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drawings/drawing3.xml" ContentType="application/vnd.openxmlformats-officedocument.drawing+xml"/>
  <Override PartName="/xl/ctrlProps/ctrlProp8.xml" ContentType="application/vnd.ms-excel.controlproperties+xml"/>
  <Override PartName="/xl/drawings/drawing4.xml" ContentType="application/vnd.openxmlformats-officedocument.drawing+xml"/>
  <Override PartName="/xl/ctrlProps/ctrlProp9.xml" ContentType="application/vnd.ms-excel.controlproperties+xml"/>
  <Override PartName="/xl/drawings/drawing5.xml" ContentType="application/vnd.openxmlformats-officedocument.drawing+xml"/>
  <Override PartName="/xl/ctrlProps/ctrlProp10.xml" ContentType="application/vnd.ms-excel.controlproperties+xml"/>
  <Override PartName="/xl/drawings/drawing6.xml" ContentType="application/vnd.openxmlformats-officedocument.drawing+xml"/>
  <Override PartName="/xl/ctrlProps/ctrlProp11.xml" ContentType="application/vnd.ms-excel.controlproperties+xml"/>
  <Override PartName="/xl/drawings/drawing7.xml" ContentType="application/vnd.openxmlformats-officedocument.drawing+xml"/>
  <Override PartName="/xl/ctrlProps/ctrlProp12.xml" ContentType="application/vnd.ms-excel.controlproperties+xml"/>
  <Override PartName="/xl/drawings/drawing8.xml" ContentType="application/vnd.openxmlformats-officedocument.drawing+xml"/>
  <Override PartName="/xl/ctrlProps/ctrlProp13.xml" ContentType="application/vnd.ms-excel.controlproperties+xml"/>
  <Override PartName="/xl/drawings/drawing9.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2.xml" ContentType="application/vnd.openxmlformats-officedocument.spreadsheetml.comments+xml"/>
  <Override PartName="/xl/drawings/drawing10.xml" ContentType="application/vnd.openxmlformats-officedocument.drawing+xml"/>
  <Override PartName="/xl/ctrlProps/ctrlProp17.xml" ContentType="application/vnd.ms-excel.controlproperties+xml"/>
  <Override PartName="/xl/drawings/drawing11.xml" ContentType="application/vnd.openxmlformats-officedocument.drawing+xml"/>
  <Override PartName="/xl/ctrlProps/ctrlProp18.xml" ContentType="application/vnd.ms-excel.controlproperties+xml"/>
  <Override PartName="/xl/ctrlProps/ctrlProp19.xml" ContentType="application/vnd.ms-excel.controlproperties+xml"/>
  <Override PartName="/xl/drawings/drawing12.xml" ContentType="application/vnd.openxmlformats-officedocument.drawing+xml"/>
  <Override PartName="/xl/ctrlProps/ctrlProp20.xml" ContentType="application/vnd.ms-excel.controlproperties+xml"/>
  <Override PartName="/xl/ctrlProps/ctrlProp21.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fileSharing readOnlyRecommended="1" userName="Downing, Michael" reservationPassword="C3BE"/>
  <workbookPr codeName="ThisWorkbook" defaultThemeVersion="124226"/>
  <bookViews>
    <workbookView xWindow="660" yWindow="-150" windowWidth="18510" windowHeight="10950" tabRatio="877" activeTab="17"/>
  </bookViews>
  <sheets>
    <sheet name="Cover" sheetId="186" r:id="rId1"/>
    <sheet name="UserInterface" sheetId="7" r:id="rId2"/>
    <sheet name="Change Control" sheetId="239" r:id="rId3"/>
    <sheet name="TaxTrigger" sheetId="187" r:id="rId4"/>
    <sheet name="MOD" sheetId="267" r:id="rId5"/>
    <sheet name="Input" sheetId="189" r:id="rId6"/>
    <sheet name="Totex" sheetId="183" r:id="rId7"/>
    <sheet name="TIM" sheetId="197" r:id="rId8"/>
    <sheet name="DARTs" sheetId="194" r:id="rId9"/>
    <sheet name="Depn" sheetId="283" r:id="rId10"/>
    <sheet name="Return&amp;RAV" sheetId="15" r:id="rId11"/>
    <sheet name="TaxPools" sheetId="195" r:id="rId12"/>
    <sheet name="Finance&amp;Tax" sheetId="161" r:id="rId13"/>
    <sheet name="Revenue" sheetId="9" r:id="rId14"/>
    <sheet name="Revenue Profiling" sheetId="308" r:id="rId15"/>
    <sheet name="LiveResults" sheetId="23" r:id="rId16"/>
    <sheet name="SavedResults" sheetId="157" r:id="rId17"/>
    <sheet name="FinancialStatements" sheetId="202" r:id="rId18"/>
    <sheet name="FinancialRatios" sheetId="203" r:id="rId19"/>
    <sheet name="Bill impact" sheetId="240" r:id="rId20"/>
    <sheet name="RoRE" sheetId="315" r:id="rId21"/>
    <sheet name="ENWL" sheetId="204" r:id="rId22"/>
    <sheet name="NPgN" sheetId="205" r:id="rId23"/>
    <sheet name="NPgY" sheetId="212" r:id="rId24"/>
    <sheet name="WMID" sheetId="213" r:id="rId25"/>
    <sheet name="EMID" sheetId="214" r:id="rId26"/>
    <sheet name="SWALES" sheetId="215" r:id="rId27"/>
    <sheet name="SWEST" sheetId="216" r:id="rId28"/>
    <sheet name="LPN" sheetId="217" r:id="rId29"/>
    <sheet name="SPN" sheetId="277" r:id="rId30"/>
    <sheet name="EPN" sheetId="278" r:id="rId31"/>
    <sheet name="SPD" sheetId="279" r:id="rId32"/>
    <sheet name="SPMW" sheetId="280" r:id="rId33"/>
    <sheet name="SSEH" sheetId="281" r:id="rId34"/>
    <sheet name="SSES" sheetId="282" r:id="rId35"/>
  </sheets>
  <externalReferences>
    <externalReference r:id="rId36"/>
    <externalReference r:id="rId37"/>
    <externalReference r:id="rId38"/>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localSheetId="9" hidden="1">0</definedName>
    <definedName name="_AtRisk_SimSetting_StdRecalcBehavior" hidden="1">1</definedName>
    <definedName name="_AtRisk_SimSetting_StdRecalcWithoutRiskStatic" hidden="1">0</definedName>
    <definedName name="_AtRisk_SimSetting_StdRecalcWithoutRiskStaticPercentile" hidden="1">0.5</definedName>
    <definedName name="_Order1" hidden="1">255</definedName>
    <definedName name="_Order2" hidden="1">0</definedName>
    <definedName name="AverageRORE" localSheetId="14">#REF!</definedName>
    <definedName name="AverageRORE" localSheetId="20">#REF!</definedName>
    <definedName name="AverageRORE">#REF!</definedName>
    <definedName name="IncentiveStrength">TIM!$I$13</definedName>
    <definedName name="IterationInput" localSheetId="20">#REF!</definedName>
    <definedName name="IterationInput">#REF!</definedName>
    <definedName name="m_calculated_tax">TaxTrigger!$AJ$59:$AQ$59</definedName>
    <definedName name="m_identity">UserInterface!$E$63</definedName>
    <definedName name="m_live_results">LiveResults!$C$15</definedName>
    <definedName name="m_live_results_end">LiveResults!$C$92</definedName>
    <definedName name="m_model_state" localSheetId="14">UserInterface!#REF!</definedName>
    <definedName name="m_model_state" localSheetId="20">[1]UserInterface!#REF!</definedName>
    <definedName name="m_model_state">UserInterface!#REF!</definedName>
    <definedName name="m_PCFM_year_t">UserInterface!$E$75</definedName>
    <definedName name="m_results_01">SavedResults!$C$19</definedName>
    <definedName name="m_results_02">SavedResults!$C$96</definedName>
    <definedName name="m_results_03">SavedResults!$C$173</definedName>
    <definedName name="m_results_04">SavedResults!$C$250</definedName>
    <definedName name="m_results_05">SavedResults!$C$327</definedName>
    <definedName name="m_results_06">SavedResults!$C$404</definedName>
    <definedName name="m_results_07">SavedResults!$C$481</definedName>
    <definedName name="m_results_08">SavedResults!$C$558</definedName>
    <definedName name="m_results_09">SavedResults!$C$635</definedName>
    <definedName name="m_results_10">SavedResults!$C$712</definedName>
    <definedName name="m_results_11">SavedResults!$C$789</definedName>
    <definedName name="m_results_12">SavedResults!$C$866</definedName>
    <definedName name="m_results_13">SavedResults!$C$943</definedName>
    <definedName name="m_results_14">SavedResults!$C$1020</definedName>
    <definedName name="m_saved_original_test">TaxTrigger!$AJ$65:$AQ$65</definedName>
    <definedName name="m_tax_trigger_results">TaxTrigger!$AJ$65:$AQ$65</definedName>
    <definedName name="m_tax_trigger_state">TaxTrigger!$E$32</definedName>
    <definedName name="NewMatrix1" localSheetId="20">#REF!</definedName>
    <definedName name="NewMatrix1">#REF!</definedName>
    <definedName name="NewMatrix2" localSheetId="20">#REF!</definedName>
    <definedName name="NewMatrix2">#REF!</definedName>
    <definedName name="NumberofOperators">UserInterface!$E$49:$E$62</definedName>
    <definedName name="_xlnm.Print_Area" localSheetId="19">'Bill impact'!$A$1:$AR$98</definedName>
    <definedName name="_xlnm.Print_Area" localSheetId="2">'Change Control'!$A$1:$N$10</definedName>
    <definedName name="_xlnm.Print_Area" localSheetId="0">Cover!$A$1:$L$54</definedName>
    <definedName name="_xlnm.Print_Area" localSheetId="8">DARTs!$A$1:$AR$73</definedName>
    <definedName name="_xlnm.Print_Area" localSheetId="9">Depn!$1:$220</definedName>
    <definedName name="_xlnm.Print_Area" localSheetId="25">EMID!$A$1:$AR$439</definedName>
    <definedName name="_xlnm.Print_Area" localSheetId="21">ENWL!$A$1:$AR$439</definedName>
    <definedName name="_xlnm.Print_Area" localSheetId="30">EPN!$A$1:$AR$439</definedName>
    <definedName name="_xlnm.Print_Area" localSheetId="12">'Finance&amp;Tax'!$A$1:$AR$231</definedName>
    <definedName name="_xlnm.Print_Area" localSheetId="18">FinancialRatios!$A$1:$AR$72</definedName>
    <definedName name="_xlnm.Print_Area" localSheetId="17">FinancialStatements!$A$1:$AR$153</definedName>
    <definedName name="_xlnm.Print_Area" localSheetId="5">Input!$A$1:$AR$439</definedName>
    <definedName name="_xlnm.Print_Area" localSheetId="15">LiveResults!$A$1:$S$92</definedName>
    <definedName name="_xlnm.Print_Area" localSheetId="28">LPN!$A$1:$AR$439</definedName>
    <definedName name="_xlnm.Print_Area" localSheetId="4">MOD!$A$1:$AR$74</definedName>
    <definedName name="_xlnm.Print_Area" localSheetId="22">NPgN!$A$1:$AR$439</definedName>
    <definedName name="_xlnm.Print_Area" localSheetId="23">NPgY!$A$1:$AR$439</definedName>
    <definedName name="_xlnm.Print_Area" localSheetId="10">'Return&amp;RAV'!$A$1:$AR$82</definedName>
    <definedName name="_xlnm.Print_Area" localSheetId="13">Revenue!$A$1:$AR$73</definedName>
    <definedName name="_xlnm.Print_Area" localSheetId="14">'Revenue Profiling'!$A$1:$AR$231</definedName>
    <definedName name="_xlnm.Print_Area" localSheetId="20">RoRE!$A$1:$AI$76</definedName>
    <definedName name="_xlnm.Print_Area" localSheetId="31">SPD!$A$1:$AR$439</definedName>
    <definedName name="_xlnm.Print_Area" localSheetId="32">SPMW!$A$1:$AR$439</definedName>
    <definedName name="_xlnm.Print_Area" localSheetId="29">SPN!$A$1:$AR$439</definedName>
    <definedName name="_xlnm.Print_Area" localSheetId="33">SSEH!$A$1:$AR$439</definedName>
    <definedName name="_xlnm.Print_Area" localSheetId="34">SSES!$A$1:$AR$439</definedName>
    <definedName name="_xlnm.Print_Area" localSheetId="26">SWALES!$A$1:$AR$439</definedName>
    <definedName name="_xlnm.Print_Area" localSheetId="27">SWEST!$A$1:$AR$439</definedName>
    <definedName name="_xlnm.Print_Area" localSheetId="11">TaxPools!$A$1:$AR$129</definedName>
    <definedName name="_xlnm.Print_Area" localSheetId="3">TaxTrigger!$A$1:$AR$137</definedName>
    <definedName name="_xlnm.Print_Area" localSheetId="7">TIM!$A$1:$AR$86</definedName>
    <definedName name="_xlnm.Print_Area" localSheetId="6">Totex!$A$1:$AR$92</definedName>
    <definedName name="_xlnm.Print_Area" localSheetId="1">UserInterface!$A$1:$H$78</definedName>
    <definedName name="_xlnm.Print_Area" localSheetId="24">WMID!$A$1:$AR$439</definedName>
    <definedName name="_xlnm.Print_Titles" localSheetId="19">'Bill impact'!$1:$7</definedName>
    <definedName name="_xlnm.Print_Titles" localSheetId="0">Cover!$1:$4</definedName>
    <definedName name="_xlnm.Print_Titles" localSheetId="8">DARTs!$1:$7</definedName>
    <definedName name="_xlnm.Print_Titles" localSheetId="9">Depn!$1:$7</definedName>
    <definedName name="_xlnm.Print_Titles" localSheetId="25">EMID!$1:$7</definedName>
    <definedName name="_xlnm.Print_Titles" localSheetId="21">ENWL!$1:$7</definedName>
    <definedName name="_xlnm.Print_Titles" localSheetId="30">EPN!$1:$7</definedName>
    <definedName name="_xlnm.Print_Titles" localSheetId="12">'Finance&amp;Tax'!$1:$7</definedName>
    <definedName name="_xlnm.Print_Titles" localSheetId="18">FinancialRatios!$1:$7</definedName>
    <definedName name="_xlnm.Print_Titles" localSheetId="17">FinancialStatements!$1:$7</definedName>
    <definedName name="_xlnm.Print_Titles" localSheetId="5">Input!$1:$7</definedName>
    <definedName name="_xlnm.Print_Titles" localSheetId="15">LiveResults!$1:$1</definedName>
    <definedName name="_xlnm.Print_Titles" localSheetId="28">LPN!$1:$7</definedName>
    <definedName name="_xlnm.Print_Titles" localSheetId="4">MOD!$1:$7</definedName>
    <definedName name="_xlnm.Print_Titles" localSheetId="22">NPgN!$1:$7</definedName>
    <definedName name="_xlnm.Print_Titles" localSheetId="23">NPgY!$1:$7</definedName>
    <definedName name="_xlnm.Print_Titles" localSheetId="10">'Return&amp;RAV'!$1:$7</definedName>
    <definedName name="_xlnm.Print_Titles" localSheetId="13">Revenue!$1:$7</definedName>
    <definedName name="_xlnm.Print_Titles" localSheetId="14">'Revenue Profiling'!$1:$7</definedName>
    <definedName name="_xlnm.Print_Titles" localSheetId="20">RoRE!$1:$7</definedName>
    <definedName name="_xlnm.Print_Titles" localSheetId="16">SavedResults!$1:$1</definedName>
    <definedName name="_xlnm.Print_Titles" localSheetId="31">SPD!$1:$7</definedName>
    <definedName name="_xlnm.Print_Titles" localSheetId="32">SPMW!$1:$7</definedName>
    <definedName name="_xlnm.Print_Titles" localSheetId="29">SPN!$1:$7</definedName>
    <definedName name="_xlnm.Print_Titles" localSheetId="33">SSEH!$1:$7</definedName>
    <definedName name="_xlnm.Print_Titles" localSheetId="34">SSES!$1:$7</definedName>
    <definedName name="_xlnm.Print_Titles" localSheetId="26">SWALES!$1:$7</definedName>
    <definedName name="_xlnm.Print_Titles" localSheetId="27">SWEST!$1:$7</definedName>
    <definedName name="_xlnm.Print_Titles" localSheetId="11">TaxPools!$1:$7</definedName>
    <definedName name="_xlnm.Print_Titles" localSheetId="3">TaxTrigger!$1:$8</definedName>
    <definedName name="_xlnm.Print_Titles" localSheetId="7">TIM!$1:$7</definedName>
    <definedName name="_xlnm.Print_Titles" localSheetId="6">Totex!$1:$7</definedName>
    <definedName name="_xlnm.Print_Titles" localSheetId="1">UserInterface!$1:$1</definedName>
    <definedName name="_xlnm.Print_Titles" localSheetId="24">WMID!$1:$7</definedName>
    <definedName name="RiskAfterRecalcMacro" hidden="1">"Simulation"</definedName>
    <definedName name="RiskAfterSimMacro" localSheetId="9" hidden="1">""</definedName>
    <definedName name="RiskAfterSimMacro" hidden="1">"Reset"</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localSheetId="9" hidden="1">100</definedName>
    <definedName name="RiskNumIterations" hidden="1">1000</definedName>
    <definedName name="RiskNumSimulations" hidden="1">1</definedName>
    <definedName name="RiskPauseOnError" hidden="1">FALSE</definedName>
    <definedName name="RiskRunAfterRecalcMacro" hidden="1">TRUE</definedName>
    <definedName name="RiskRunAfterSimMacro" localSheetId="9" hidden="1">FALSE</definedName>
    <definedName name="RiskRunAfterSimMacro" hidden="1">TRUE</definedName>
    <definedName name="RiskRunBeforeRecalcMacro" hidden="1">FALSE</definedName>
    <definedName name="RiskRunBeforeSimMacro" hidden="1">FALSE</definedName>
    <definedName name="RiskSamplingType" hidden="1">3</definedName>
    <definedName name="RiskStandardRecalc" localSheetId="9" hidden="1">1</definedName>
    <definedName name="RiskStandardRecalc" hidden="1">2</definedName>
    <definedName name="RiskUpdateDisplay" hidden="1">FALSE</definedName>
    <definedName name="RiskUseDifferentSeedForEachSim" hidden="1">FALSE</definedName>
    <definedName name="RiskUseFixedSeed" localSheetId="9" hidden="1">FALSE</definedName>
    <definedName name="RiskUseFixedSeed" hidden="1">TRUE</definedName>
    <definedName name="RiskUseMultipleCPUs" hidden="1">FALSE</definedName>
    <definedName name="RORE_paste" localSheetId="14">#REF!</definedName>
    <definedName name="RORE_paste" localSheetId="20">#REF!</definedName>
    <definedName name="RORE_paste">#REF!</definedName>
    <definedName name="s">[2]SavedResults!$C$19</definedName>
    <definedName name="SAD">[3]UserInterface!#REF!</definedName>
    <definedName name="SAPBEXhrIndnt" hidden="1">"Wide"</definedName>
    <definedName name="SAPsysID" hidden="1">"708C5W7SBKP804JT78WJ0JNKI"</definedName>
    <definedName name="SAPwbID" hidden="1">"ARS"</definedName>
    <definedName name="TVMcheck">'Revenue Profiling'!$D$274</definedName>
    <definedName name="TVMcopy">'Revenue Profiling'!$AJ$273:$AQ$273</definedName>
    <definedName name="view">UserInterface!$E$81</definedName>
  </definedNames>
  <calcPr calcId="145621"/>
</workbook>
</file>

<file path=xl/calcChain.xml><?xml version="1.0" encoding="utf-8"?>
<calcChain xmlns="http://schemas.openxmlformats.org/spreadsheetml/2006/main">
  <c r="AP248" i="308" l="1"/>
  <c r="AO248" i="308"/>
  <c r="AN248" i="308"/>
  <c r="AK248" i="308"/>
  <c r="AL248" i="308"/>
  <c r="AK249" i="308"/>
  <c r="AJ248" i="308"/>
  <c r="AJ249" i="308"/>
  <c r="AM249" i="308"/>
  <c r="AP249" i="308" l="1"/>
  <c r="AQ247" i="308"/>
  <c r="AP247" i="308"/>
  <c r="AO247" i="308"/>
  <c r="AN247" i="308"/>
  <c r="AM247" i="308"/>
  <c r="AL247" i="308"/>
  <c r="AJ247" i="308"/>
  <c r="AL249" i="308" l="1"/>
  <c r="AO249" i="308"/>
  <c r="AK447" i="217" l="1"/>
  <c r="AL447" i="217"/>
  <c r="AM447" i="217"/>
  <c r="AN447" i="217"/>
  <c r="AO447" i="217"/>
  <c r="AP447" i="217"/>
  <c r="AQ447" i="217"/>
  <c r="AJ447" i="217"/>
  <c r="AP446" i="217"/>
  <c r="AK447" i="277"/>
  <c r="AL447" i="277"/>
  <c r="AM447" i="277"/>
  <c r="AN447" i="277"/>
  <c r="AO447" i="277"/>
  <c r="AP447" i="277"/>
  <c r="AQ447" i="277"/>
  <c r="AJ447" i="277"/>
  <c r="AK446" i="277"/>
  <c r="AN446" i="277"/>
  <c r="AJ446" i="277"/>
  <c r="AK447" i="278"/>
  <c r="AL447" i="278"/>
  <c r="AM447" i="278"/>
  <c r="AN447" i="278"/>
  <c r="AO447" i="278"/>
  <c r="AP447" i="278"/>
  <c r="AQ447" i="278"/>
  <c r="AJ447" i="278"/>
  <c r="AK446" i="278"/>
  <c r="AL446" i="278"/>
  <c r="AM446" i="278"/>
  <c r="AN446" i="278"/>
  <c r="AO446" i="278"/>
  <c r="AP446" i="278"/>
  <c r="AQ446" i="278"/>
  <c r="AJ446" i="278"/>
  <c r="AO446" i="217" l="1"/>
  <c r="AN446" i="217"/>
  <c r="AM446" i="217"/>
  <c r="AL446" i="217"/>
  <c r="AK446" i="217"/>
  <c r="AQ446" i="217"/>
  <c r="AL446" i="277"/>
  <c r="AQ446" i="277"/>
  <c r="AP446" i="277"/>
  <c r="AO446" i="277"/>
  <c r="AM446" i="277"/>
  <c r="AJ446" i="217"/>
  <c r="AQ432" i="217" l="1"/>
  <c r="AP432" i="217"/>
  <c r="AO432" i="217"/>
  <c r="AN432" i="217"/>
  <c r="AM432" i="217"/>
  <c r="AL432" i="217"/>
  <c r="AK432" i="217"/>
  <c r="AJ432" i="217"/>
  <c r="AQ431" i="217"/>
  <c r="AP431" i="217"/>
  <c r="AO431" i="217"/>
  <c r="AN431" i="217"/>
  <c r="AM431" i="217"/>
  <c r="AL431" i="217"/>
  <c r="AK431" i="217"/>
  <c r="AJ431" i="217"/>
  <c r="AQ430" i="217"/>
  <c r="AP430" i="217"/>
  <c r="AO430" i="217"/>
  <c r="AN430" i="217"/>
  <c r="AM430" i="217"/>
  <c r="AL430" i="217"/>
  <c r="AK430" i="217"/>
  <c r="AJ430" i="217"/>
  <c r="AQ429" i="217"/>
  <c r="AP429" i="217"/>
  <c r="AO429" i="217"/>
  <c r="AN429" i="217"/>
  <c r="AM429" i="217"/>
  <c r="AL429" i="217"/>
  <c r="AK429" i="217"/>
  <c r="AJ429" i="217"/>
  <c r="AQ428" i="217"/>
  <c r="AP428" i="217"/>
  <c r="AO428" i="217"/>
  <c r="AN428" i="217"/>
  <c r="AM428" i="217"/>
  <c r="AL428" i="217"/>
  <c r="AK428" i="217"/>
  <c r="AJ428" i="217"/>
  <c r="AQ427" i="217"/>
  <c r="AP427" i="217"/>
  <c r="AO427" i="217"/>
  <c r="AN427" i="217"/>
  <c r="AM427" i="217"/>
  <c r="AL427" i="217"/>
  <c r="AK427" i="217"/>
  <c r="AJ427" i="217"/>
  <c r="AQ426" i="217"/>
  <c r="AP426" i="217"/>
  <c r="AO426" i="217"/>
  <c r="AN426" i="217"/>
  <c r="AM426" i="217"/>
  <c r="AL426" i="217"/>
  <c r="AK426" i="217"/>
  <c r="AJ426" i="217"/>
  <c r="AQ432" i="277"/>
  <c r="AP432" i="277"/>
  <c r="AO432" i="277"/>
  <c r="AN432" i="277"/>
  <c r="AM432" i="277"/>
  <c r="AL432" i="277"/>
  <c r="AK432" i="277"/>
  <c r="AJ432" i="277"/>
  <c r="AQ431" i="277"/>
  <c r="AP431" i="277"/>
  <c r="AO431" i="277"/>
  <c r="AN431" i="277"/>
  <c r="AM431" i="277"/>
  <c r="AL431" i="277"/>
  <c r="AK431" i="277"/>
  <c r="AJ431" i="277"/>
  <c r="AQ430" i="277"/>
  <c r="AP430" i="277"/>
  <c r="AO430" i="277"/>
  <c r="AN430" i="277"/>
  <c r="AM430" i="277"/>
  <c r="AL430" i="277"/>
  <c r="AK430" i="277"/>
  <c r="AJ430" i="277"/>
  <c r="AQ429" i="277"/>
  <c r="AP429" i="277"/>
  <c r="AO429" i="277"/>
  <c r="AN429" i="277"/>
  <c r="AM429" i="277"/>
  <c r="AL429" i="277"/>
  <c r="AK429" i="277"/>
  <c r="AJ429" i="277"/>
  <c r="AQ428" i="277"/>
  <c r="AP428" i="277"/>
  <c r="AO428" i="277"/>
  <c r="AN428" i="277"/>
  <c r="AM428" i="277"/>
  <c r="AL428" i="277"/>
  <c r="AK428" i="277"/>
  <c r="AJ428" i="277"/>
  <c r="AQ427" i="277"/>
  <c r="AP427" i="277"/>
  <c r="AO427" i="277"/>
  <c r="AN427" i="277"/>
  <c r="AM427" i="277"/>
  <c r="AL427" i="277"/>
  <c r="AK427" i="277"/>
  <c r="AJ427" i="277"/>
  <c r="AQ426" i="277"/>
  <c r="AP426" i="277"/>
  <c r="AO426" i="277"/>
  <c r="AN426" i="277"/>
  <c r="AM426" i="277"/>
  <c r="AL426" i="277"/>
  <c r="AK426" i="277"/>
  <c r="AJ426" i="277"/>
  <c r="AI41" i="189" l="1"/>
  <c r="AH41" i="189"/>
  <c r="AI40" i="189"/>
  <c r="AH40" i="189"/>
  <c r="AI39" i="189"/>
  <c r="AH39" i="189"/>
  <c r="AI38" i="189"/>
  <c r="AH38" i="189"/>
  <c r="AQ37" i="189"/>
  <c r="AP37" i="189"/>
  <c r="AO37" i="189"/>
  <c r="AN37" i="189"/>
  <c r="AM37" i="189"/>
  <c r="AL37" i="189"/>
  <c r="AK37" i="189"/>
  <c r="AJ37" i="189"/>
  <c r="AQ36" i="189"/>
  <c r="AP36" i="189"/>
  <c r="AO36" i="189"/>
  <c r="AN36" i="189"/>
  <c r="AM36" i="189"/>
  <c r="AL36" i="189"/>
  <c r="AK36" i="189"/>
  <c r="AJ36" i="189"/>
  <c r="AH35" i="189"/>
  <c r="AI35" i="189"/>
  <c r="AJ34" i="189"/>
  <c r="AI33" i="189"/>
  <c r="AH33" i="189"/>
  <c r="AJ32" i="189"/>
  <c r="AQ30" i="189"/>
  <c r="AP30" i="189"/>
  <c r="AO30" i="189"/>
  <c r="AN30" i="189"/>
  <c r="AM30" i="189"/>
  <c r="AL30" i="189"/>
  <c r="AK30" i="189"/>
  <c r="AJ30" i="189"/>
  <c r="AQ29" i="189"/>
  <c r="AP29" i="189"/>
  <c r="AO29" i="189"/>
  <c r="AN29" i="189"/>
  <c r="AM29" i="189"/>
  <c r="AL29" i="189"/>
  <c r="AK29" i="189"/>
  <c r="AJ29" i="189"/>
  <c r="AQ28" i="189"/>
  <c r="AP28" i="189"/>
  <c r="AO28" i="189"/>
  <c r="AN28" i="189"/>
  <c r="AM28" i="189"/>
  <c r="AL28" i="189"/>
  <c r="AK28" i="189"/>
  <c r="AJ28" i="189"/>
  <c r="AQ27" i="189"/>
  <c r="AP27" i="189"/>
  <c r="AO27" i="189"/>
  <c r="AN27" i="189"/>
  <c r="AM27" i="189"/>
  <c r="AL27" i="189"/>
  <c r="AK27" i="189"/>
  <c r="AJ27" i="189"/>
  <c r="AQ18" i="189"/>
  <c r="AP18" i="189"/>
  <c r="AO18" i="189"/>
  <c r="AN18" i="189"/>
  <c r="AM18" i="189"/>
  <c r="AL18" i="189"/>
  <c r="AK18" i="189"/>
  <c r="AJ18" i="189"/>
  <c r="AQ17" i="189"/>
  <c r="AP17" i="189"/>
  <c r="AO17" i="189"/>
  <c r="AN17" i="189"/>
  <c r="AM17" i="189"/>
  <c r="AL17" i="189"/>
  <c r="AK17" i="189"/>
  <c r="AJ17" i="189"/>
  <c r="AQ16" i="189"/>
  <c r="AP16" i="189"/>
  <c r="AO16" i="189"/>
  <c r="AN16" i="189"/>
  <c r="AM16" i="189"/>
  <c r="AL16" i="189"/>
  <c r="AK16" i="189"/>
  <c r="AJ16" i="189"/>
  <c r="AQ15" i="189"/>
  <c r="AP15" i="189"/>
  <c r="AO15" i="189"/>
  <c r="AN15" i="189"/>
  <c r="AM15" i="189"/>
  <c r="AL15" i="189"/>
  <c r="AK15" i="189"/>
  <c r="AJ15" i="189"/>
  <c r="AQ14" i="189"/>
  <c r="AP14" i="189"/>
  <c r="AO14" i="189"/>
  <c r="AN14" i="189"/>
  <c r="AM14" i="189"/>
  <c r="AL14" i="189"/>
  <c r="AK14" i="189"/>
  <c r="AJ14" i="189"/>
  <c r="AQ13" i="189"/>
  <c r="AP13" i="189"/>
  <c r="AO13" i="189"/>
  <c r="AN13" i="189"/>
  <c r="AM13" i="189"/>
  <c r="AL13" i="189"/>
  <c r="AK13" i="189"/>
  <c r="AJ13" i="189"/>
  <c r="AQ12" i="189"/>
  <c r="AP12" i="189"/>
  <c r="AO12" i="189"/>
  <c r="AN12" i="189"/>
  <c r="AM12" i="189"/>
  <c r="AL12" i="189"/>
  <c r="AK12" i="189"/>
  <c r="AJ12" i="189"/>
  <c r="AQ11" i="189"/>
  <c r="AP11" i="189"/>
  <c r="AO11" i="189"/>
  <c r="AN11" i="189"/>
  <c r="AM11" i="189"/>
  <c r="AL11" i="189"/>
  <c r="AK11" i="189"/>
  <c r="AJ11" i="189"/>
  <c r="AQ26" i="189" l="1"/>
  <c r="AP26" i="189"/>
  <c r="AO26" i="189"/>
  <c r="AN26" i="189"/>
  <c r="AM26" i="189"/>
  <c r="AL26" i="189"/>
  <c r="AK26" i="189"/>
  <c r="AJ26" i="189"/>
  <c r="AQ168" i="217" l="1"/>
  <c r="AP168" i="217"/>
  <c r="AO168" i="217"/>
  <c r="AN168" i="217"/>
  <c r="AM168" i="217"/>
  <c r="AL168" i="217"/>
  <c r="AK168" i="217"/>
  <c r="AQ168" i="277"/>
  <c r="AP168" i="277"/>
  <c r="AO168" i="277"/>
  <c r="AN168" i="277"/>
  <c r="AM168" i="277"/>
  <c r="AL168" i="277"/>
  <c r="AK168" i="277"/>
  <c r="AQ168" i="278"/>
  <c r="AP168" i="278"/>
  <c r="AO168" i="278"/>
  <c r="AN168" i="278"/>
  <c r="AM168" i="278"/>
  <c r="AL168" i="278"/>
  <c r="AK168" i="278"/>
  <c r="AJ168" i="217"/>
  <c r="AJ168" i="277"/>
  <c r="AJ168" i="278"/>
  <c r="F26" i="205"/>
  <c r="G26" i="205"/>
  <c r="H26" i="205"/>
  <c r="F26" i="212"/>
  <c r="G26" i="212"/>
  <c r="H26" i="212"/>
  <c r="F26" i="213"/>
  <c r="G26" i="213"/>
  <c r="H26" i="213"/>
  <c r="F26" i="214"/>
  <c r="G26" i="214"/>
  <c r="H26" i="214"/>
  <c r="F26" i="215"/>
  <c r="G26" i="215"/>
  <c r="H26" i="215"/>
  <c r="F26" i="216"/>
  <c r="G26" i="216"/>
  <c r="H26" i="216"/>
  <c r="F26" i="217"/>
  <c r="G26" i="217"/>
  <c r="H26" i="217"/>
  <c r="F26" i="277"/>
  <c r="G26" i="277"/>
  <c r="H26" i="277"/>
  <c r="F26" i="278"/>
  <c r="G26" i="278"/>
  <c r="H26" i="278"/>
  <c r="F26" i="279"/>
  <c r="G26" i="279"/>
  <c r="H26" i="279"/>
  <c r="F26" i="280"/>
  <c r="G26" i="280"/>
  <c r="H26" i="280"/>
  <c r="F26" i="281"/>
  <c r="G26" i="281"/>
  <c r="H26" i="281"/>
  <c r="F26" i="282"/>
  <c r="G26" i="282"/>
  <c r="H26" i="282"/>
  <c r="F26" i="204"/>
  <c r="G26" i="204"/>
  <c r="H26" i="204"/>
  <c r="E26" i="205"/>
  <c r="E26" i="212"/>
  <c r="E26" i="213"/>
  <c r="E26" i="214"/>
  <c r="E26" i="215"/>
  <c r="E26" i="216"/>
  <c r="E26" i="217"/>
  <c r="E26" i="277"/>
  <c r="E26" i="278"/>
  <c r="E26" i="279"/>
  <c r="E26" i="280"/>
  <c r="E26" i="281"/>
  <c r="E26" i="282"/>
  <c r="E26" i="204"/>
  <c r="E175" i="204"/>
  <c r="E174" i="204"/>
  <c r="E172" i="204"/>
  <c r="E171" i="204"/>
  <c r="E170" i="204"/>
  <c r="E169" i="204"/>
  <c r="E175" i="205"/>
  <c r="E174" i="205"/>
  <c r="E172" i="205"/>
  <c r="E171" i="205"/>
  <c r="E170" i="205"/>
  <c r="E169" i="205"/>
  <c r="E175" i="212"/>
  <c r="E174" i="212"/>
  <c r="E172" i="212"/>
  <c r="E171" i="212"/>
  <c r="E170" i="212"/>
  <c r="E169" i="212"/>
  <c r="E175" i="213"/>
  <c r="E174" i="213"/>
  <c r="E172" i="213"/>
  <c r="E171" i="213"/>
  <c r="E170" i="213"/>
  <c r="E169" i="213"/>
  <c r="E175" i="214"/>
  <c r="E174" i="214"/>
  <c r="E172" i="214"/>
  <c r="E171" i="214"/>
  <c r="E170" i="214"/>
  <c r="E169" i="214"/>
  <c r="E175" i="215"/>
  <c r="E174" i="215"/>
  <c r="E172" i="215"/>
  <c r="E171" i="215"/>
  <c r="E170" i="215"/>
  <c r="E169" i="215"/>
  <c r="E175" i="216"/>
  <c r="E174" i="216"/>
  <c r="E172" i="216"/>
  <c r="E171" i="216"/>
  <c r="E170" i="216"/>
  <c r="E169" i="216"/>
  <c r="E175" i="217"/>
  <c r="E174" i="217"/>
  <c r="E172" i="217"/>
  <c r="E171" i="217"/>
  <c r="E170" i="217"/>
  <c r="E169" i="217"/>
  <c r="E175" i="277"/>
  <c r="E174" i="277"/>
  <c r="E172" i="277"/>
  <c r="E171" i="277"/>
  <c r="E170" i="277"/>
  <c r="E169" i="277"/>
  <c r="E175" i="278"/>
  <c r="E174" i="278"/>
  <c r="E172" i="278"/>
  <c r="E171" i="278"/>
  <c r="E170" i="278"/>
  <c r="E169" i="278"/>
  <c r="E175" i="279"/>
  <c r="E174" i="279"/>
  <c r="E172" i="279"/>
  <c r="E171" i="279"/>
  <c r="E170" i="279"/>
  <c r="E169" i="279"/>
  <c r="E175" i="280"/>
  <c r="E174" i="280"/>
  <c r="E172" i="280"/>
  <c r="E171" i="280"/>
  <c r="E170" i="280"/>
  <c r="E169" i="280"/>
  <c r="E175" i="281"/>
  <c r="E174" i="281"/>
  <c r="E172" i="281"/>
  <c r="E171" i="281"/>
  <c r="E170" i="281"/>
  <c r="E169" i="281"/>
  <c r="E175" i="282"/>
  <c r="E174" i="282"/>
  <c r="E172" i="282"/>
  <c r="E171" i="282"/>
  <c r="E170" i="282"/>
  <c r="E169" i="282"/>
  <c r="AJ168" i="189"/>
  <c r="AQ168" i="189"/>
  <c r="AP168" i="189"/>
  <c r="AO168" i="189"/>
  <c r="AN168" i="189"/>
  <c r="AM168" i="189"/>
  <c r="AL168" i="189"/>
  <c r="AK168" i="189"/>
  <c r="AQ175" i="189"/>
  <c r="AP175" i="189"/>
  <c r="AO175" i="189"/>
  <c r="AN175" i="189"/>
  <c r="AM175" i="189"/>
  <c r="AL175" i="189"/>
  <c r="AK175" i="189"/>
  <c r="AJ175" i="189"/>
  <c r="AQ174" i="189"/>
  <c r="AP174" i="189"/>
  <c r="AO174" i="189"/>
  <c r="AN174" i="189"/>
  <c r="AM174" i="189"/>
  <c r="AL174" i="189"/>
  <c r="AK174" i="189"/>
  <c r="AJ174" i="189"/>
  <c r="AQ173" i="189"/>
  <c r="AP173" i="189"/>
  <c r="AO173" i="189"/>
  <c r="AN173" i="189"/>
  <c r="AM173" i="189"/>
  <c r="AL173" i="189"/>
  <c r="AK173" i="189"/>
  <c r="AJ173" i="189"/>
  <c r="AQ172" i="189"/>
  <c r="AP172" i="189"/>
  <c r="AO172" i="189"/>
  <c r="AN172" i="189"/>
  <c r="AM172" i="189"/>
  <c r="AL172" i="189"/>
  <c r="AK172" i="189"/>
  <c r="AJ172" i="189"/>
  <c r="AQ171" i="189"/>
  <c r="AP171" i="189"/>
  <c r="AO171" i="189"/>
  <c r="AN171" i="189"/>
  <c r="AM171" i="189"/>
  <c r="AL171" i="189"/>
  <c r="AK171" i="189"/>
  <c r="AJ171" i="189"/>
  <c r="AQ170" i="189"/>
  <c r="AP170" i="189"/>
  <c r="AO170" i="189"/>
  <c r="AN170" i="189"/>
  <c r="AM170" i="189"/>
  <c r="AL170" i="189"/>
  <c r="AK170" i="189"/>
  <c r="AJ170" i="189"/>
  <c r="AQ169" i="189"/>
  <c r="AP169" i="189"/>
  <c r="AO169" i="189"/>
  <c r="AN169" i="189"/>
  <c r="AM169" i="189"/>
  <c r="AL169" i="189"/>
  <c r="AK169" i="189"/>
  <c r="AJ169" i="189"/>
  <c r="E168" i="189"/>
  <c r="E168" i="204" s="1"/>
  <c r="E168" i="282" l="1"/>
  <c r="E168" i="280"/>
  <c r="E168" i="278"/>
  <c r="E168" i="217"/>
  <c r="E168" i="215"/>
  <c r="E168" i="213"/>
  <c r="E168" i="205"/>
  <c r="E168" i="281"/>
  <c r="E168" i="279"/>
  <c r="E168" i="277"/>
  <c r="E168" i="216"/>
  <c r="E168" i="214"/>
  <c r="E168" i="212"/>
  <c r="AS23" i="315" l="1"/>
  <c r="AR23" i="315"/>
  <c r="AQ23" i="315"/>
  <c r="AQ25" i="189" l="1"/>
  <c r="AP25" i="189"/>
  <c r="AO25" i="189"/>
  <c r="AN25" i="189"/>
  <c r="AM25" i="189"/>
  <c r="AL25" i="189"/>
  <c r="AK25" i="189"/>
  <c r="AJ25" i="189"/>
  <c r="AQ24" i="189"/>
  <c r="AP24" i="189"/>
  <c r="AO24" i="189"/>
  <c r="AN24" i="189"/>
  <c r="AM24" i="189"/>
  <c r="AL24" i="189"/>
  <c r="AK24" i="189"/>
  <c r="AJ24" i="189"/>
  <c r="AQ23" i="189"/>
  <c r="AP23" i="189"/>
  <c r="AO23" i="189"/>
  <c r="AN23" i="189"/>
  <c r="AM23" i="189"/>
  <c r="AL23" i="189"/>
  <c r="AK23" i="189"/>
  <c r="AJ23" i="189"/>
  <c r="AQ22" i="189"/>
  <c r="AP22" i="189"/>
  <c r="AO22" i="189"/>
  <c r="AN22" i="189"/>
  <c r="AM22" i="189"/>
  <c r="AL22" i="189"/>
  <c r="AK22" i="189"/>
  <c r="AJ22" i="189"/>
  <c r="AQ21" i="189"/>
  <c r="AP21" i="189"/>
  <c r="AO21" i="189"/>
  <c r="AN21" i="189"/>
  <c r="AM21" i="189"/>
  <c r="AL21" i="189"/>
  <c r="AK21" i="189"/>
  <c r="AJ21" i="189"/>
  <c r="AQ20" i="189"/>
  <c r="AP20" i="189"/>
  <c r="AO20" i="189"/>
  <c r="AN20" i="189"/>
  <c r="AM20" i="189"/>
  <c r="AL20" i="189"/>
  <c r="AK20" i="189"/>
  <c r="AJ20" i="189"/>
  <c r="AQ19" i="189"/>
  <c r="AP19" i="189"/>
  <c r="AO19" i="189"/>
  <c r="AN19" i="189"/>
  <c r="AM19" i="189"/>
  <c r="AL19" i="189"/>
  <c r="AK19" i="189"/>
  <c r="AJ19" i="189"/>
  <c r="AQ31" i="189" l="1"/>
  <c r="AP31" i="189"/>
  <c r="AO31" i="189"/>
  <c r="AN31" i="189"/>
  <c r="AM31" i="189"/>
  <c r="AL31" i="189"/>
  <c r="AK31" i="189"/>
  <c r="AJ31" i="189"/>
  <c r="AQ309" i="217" l="1"/>
  <c r="AP309" i="217"/>
  <c r="AO309" i="217"/>
  <c r="AN309" i="217"/>
  <c r="AM309" i="217"/>
  <c r="AL309" i="217"/>
  <c r="AK309" i="217"/>
  <c r="AJ309" i="217"/>
  <c r="AI309" i="217"/>
  <c r="AH309" i="217"/>
  <c r="AG309" i="217"/>
  <c r="AF309" i="217"/>
  <c r="AE309" i="217"/>
  <c r="AQ305" i="217"/>
  <c r="AP305" i="217"/>
  <c r="AO305" i="217"/>
  <c r="AN305" i="217"/>
  <c r="AM305" i="217"/>
  <c r="AL305" i="217"/>
  <c r="AK305" i="217"/>
  <c r="AJ305" i="217"/>
  <c r="AI305" i="217"/>
  <c r="AH305" i="217"/>
  <c r="AG305" i="217"/>
  <c r="AF305" i="217"/>
  <c r="AE305" i="217"/>
  <c r="AQ301" i="217"/>
  <c r="AP301" i="217"/>
  <c r="AO301" i="217"/>
  <c r="AN301" i="217"/>
  <c r="AM301" i="217"/>
  <c r="AL301" i="217"/>
  <c r="AK301" i="217"/>
  <c r="AJ301" i="217"/>
  <c r="AI301" i="217"/>
  <c r="AH301" i="217"/>
  <c r="AG301" i="217"/>
  <c r="AF301" i="217"/>
  <c r="AE301" i="217"/>
  <c r="AQ297" i="217"/>
  <c r="AP297" i="217"/>
  <c r="AO297" i="217"/>
  <c r="AN297" i="217"/>
  <c r="AM297" i="217"/>
  <c r="AL297" i="217"/>
  <c r="AK297" i="217"/>
  <c r="AJ297" i="217"/>
  <c r="AI297" i="217"/>
  <c r="AH297" i="217"/>
  <c r="AG297" i="217"/>
  <c r="AF297" i="217"/>
  <c r="AE297" i="217"/>
  <c r="AQ293" i="217"/>
  <c r="AP293" i="217"/>
  <c r="AO293" i="217"/>
  <c r="AN293" i="217"/>
  <c r="AM293" i="217"/>
  <c r="AL293" i="217"/>
  <c r="AK293" i="217"/>
  <c r="AJ293" i="217"/>
  <c r="AI293" i="217"/>
  <c r="AH293" i="217"/>
  <c r="AG293" i="217"/>
  <c r="AF293" i="217"/>
  <c r="AE293" i="217"/>
  <c r="AQ289" i="217"/>
  <c r="AP289" i="217"/>
  <c r="AO289" i="217"/>
  <c r="AN289" i="217"/>
  <c r="AM289" i="217"/>
  <c r="AL289" i="217"/>
  <c r="AK289" i="217"/>
  <c r="AJ289" i="217"/>
  <c r="AI289" i="217"/>
  <c r="AH289" i="217"/>
  <c r="AG289" i="217"/>
  <c r="AF289" i="217"/>
  <c r="AE289" i="217"/>
  <c r="AQ285" i="217"/>
  <c r="AP285" i="217"/>
  <c r="AO285" i="217"/>
  <c r="AN285" i="217"/>
  <c r="AM285" i="217"/>
  <c r="AL285" i="217"/>
  <c r="AK285" i="217"/>
  <c r="AJ285" i="217"/>
  <c r="AI285" i="217"/>
  <c r="AH285" i="217"/>
  <c r="AG285" i="217"/>
  <c r="AF285" i="217"/>
  <c r="AE285" i="217"/>
  <c r="AQ281" i="217"/>
  <c r="AP281" i="217"/>
  <c r="AO281" i="217"/>
  <c r="AN281" i="217"/>
  <c r="AM281" i="217"/>
  <c r="AL281" i="217"/>
  <c r="AK281" i="217"/>
  <c r="AJ281" i="217"/>
  <c r="AI281" i="217"/>
  <c r="AH281" i="217"/>
  <c r="AG281" i="217"/>
  <c r="AF281" i="217"/>
  <c r="AE281" i="217"/>
  <c r="AQ277" i="217"/>
  <c r="AP277" i="217"/>
  <c r="AO277" i="217"/>
  <c r="AN277" i="217"/>
  <c r="AM277" i="217"/>
  <c r="AL277" i="217"/>
  <c r="AK277" i="217"/>
  <c r="AJ277" i="217"/>
  <c r="AI277" i="217"/>
  <c r="AH277" i="217"/>
  <c r="AG277" i="217"/>
  <c r="AF277" i="217"/>
  <c r="AE277" i="217"/>
  <c r="AQ273" i="217"/>
  <c r="AP273" i="217"/>
  <c r="AO273" i="217"/>
  <c r="AN273" i="217"/>
  <c r="AM273" i="217"/>
  <c r="AL273" i="217"/>
  <c r="AK273" i="217"/>
  <c r="AJ273" i="217"/>
  <c r="AI273" i="217"/>
  <c r="AH273" i="217"/>
  <c r="AG273" i="217"/>
  <c r="AF273" i="217"/>
  <c r="AE273" i="217"/>
  <c r="AQ269" i="217"/>
  <c r="AP269" i="217"/>
  <c r="AO269" i="217"/>
  <c r="AN269" i="217"/>
  <c r="AM269" i="217"/>
  <c r="AL269" i="217"/>
  <c r="AK269" i="217"/>
  <c r="AJ269" i="217"/>
  <c r="AI269" i="217"/>
  <c r="AH269" i="217"/>
  <c r="AG269" i="217"/>
  <c r="AF269" i="217"/>
  <c r="AE269" i="217"/>
  <c r="AQ263" i="217"/>
  <c r="AQ265" i="217" s="1"/>
  <c r="AO263" i="217"/>
  <c r="AO265" i="217" s="1"/>
  <c r="AM263" i="217"/>
  <c r="AM265" i="217" s="1"/>
  <c r="AK263" i="217"/>
  <c r="AK265" i="217" s="1"/>
  <c r="AI263" i="217"/>
  <c r="AI265" i="217" s="1"/>
  <c r="AG263" i="217"/>
  <c r="AG265" i="217" s="1"/>
  <c r="AE263" i="217"/>
  <c r="AE265" i="217" s="1"/>
  <c r="AP263" i="217"/>
  <c r="AP265" i="217" s="1"/>
  <c r="AN263" i="217"/>
  <c r="AN265" i="217" s="1"/>
  <c r="AL263" i="217"/>
  <c r="AL265" i="217" s="1"/>
  <c r="AJ263" i="217"/>
  <c r="AJ265" i="217" s="1"/>
  <c r="AH263" i="217"/>
  <c r="AH265" i="217" s="1"/>
  <c r="AF263" i="217"/>
  <c r="AF265" i="217" s="1"/>
  <c r="AP259" i="217"/>
  <c r="AP261" i="217" s="1"/>
  <c r="AN259" i="217"/>
  <c r="AN261" i="217" s="1"/>
  <c r="AL259" i="217"/>
  <c r="AL261" i="217" s="1"/>
  <c r="AJ259" i="217"/>
  <c r="AJ261" i="217" s="1"/>
  <c r="AH259" i="217"/>
  <c r="AH261" i="217" s="1"/>
  <c r="AF259" i="217"/>
  <c r="AF261" i="217" s="1"/>
  <c r="AQ259" i="217"/>
  <c r="AQ261" i="217" s="1"/>
  <c r="AO259" i="217"/>
  <c r="AO261" i="217" s="1"/>
  <c r="AM259" i="217"/>
  <c r="AM261" i="217" s="1"/>
  <c r="AK259" i="217"/>
  <c r="AK261" i="217" s="1"/>
  <c r="AI259" i="217"/>
  <c r="AI261" i="217" s="1"/>
  <c r="AG259" i="217"/>
  <c r="AG261" i="217" s="1"/>
  <c r="AE259" i="217"/>
  <c r="AE261" i="217" s="1"/>
  <c r="AQ254" i="217"/>
  <c r="AQ255" i="217" s="1"/>
  <c r="AO254" i="217"/>
  <c r="AO255" i="217" s="1"/>
  <c r="AM254" i="217"/>
  <c r="AM255" i="217" s="1"/>
  <c r="AK254" i="217"/>
  <c r="AI254" i="217"/>
  <c r="AI255" i="217" s="1"/>
  <c r="AG254" i="217"/>
  <c r="AG255" i="217" s="1"/>
  <c r="AE254" i="217"/>
  <c r="AE255" i="217" s="1"/>
  <c r="AK255" i="217"/>
  <c r="AQ309" i="277"/>
  <c r="AP309" i="277"/>
  <c r="AO309" i="277"/>
  <c r="AN309" i="277"/>
  <c r="AM309" i="277"/>
  <c r="AL309" i="277"/>
  <c r="AK309" i="277"/>
  <c r="AJ309" i="277"/>
  <c r="AI309" i="277"/>
  <c r="AH309" i="277"/>
  <c r="AG309" i="277"/>
  <c r="AF309" i="277"/>
  <c r="AE309" i="277"/>
  <c r="AQ305" i="277"/>
  <c r="AP305" i="277"/>
  <c r="AO305" i="277"/>
  <c r="AN305" i="277"/>
  <c r="AM305" i="277"/>
  <c r="AL305" i="277"/>
  <c r="AK305" i="277"/>
  <c r="AJ305" i="277"/>
  <c r="AI305" i="277"/>
  <c r="AH305" i="277"/>
  <c r="AG305" i="277"/>
  <c r="AF305" i="277"/>
  <c r="AE305" i="277"/>
  <c r="AQ301" i="277"/>
  <c r="AP301" i="277"/>
  <c r="AO301" i="277"/>
  <c r="AN301" i="277"/>
  <c r="AM301" i="277"/>
  <c r="AL301" i="277"/>
  <c r="AK301" i="277"/>
  <c r="AJ301" i="277"/>
  <c r="AI301" i="277"/>
  <c r="AH301" i="277"/>
  <c r="AG301" i="277"/>
  <c r="AF301" i="277"/>
  <c r="AE301" i="277"/>
  <c r="AQ297" i="277"/>
  <c r="AP297" i="277"/>
  <c r="AO297" i="277"/>
  <c r="AN297" i="277"/>
  <c r="AM297" i="277"/>
  <c r="AL297" i="277"/>
  <c r="AK297" i="277"/>
  <c r="AJ297" i="277"/>
  <c r="AI297" i="277"/>
  <c r="AH297" i="277"/>
  <c r="AG297" i="277"/>
  <c r="AF297" i="277"/>
  <c r="AE297" i="277"/>
  <c r="AQ293" i="277"/>
  <c r="AP293" i="277"/>
  <c r="AO293" i="277"/>
  <c r="AN293" i="277"/>
  <c r="AM293" i="277"/>
  <c r="AL293" i="277"/>
  <c r="AK293" i="277"/>
  <c r="AJ293" i="277"/>
  <c r="AI293" i="277"/>
  <c r="AH293" i="277"/>
  <c r="AG293" i="277"/>
  <c r="AF293" i="277"/>
  <c r="AE293" i="277"/>
  <c r="AQ289" i="277"/>
  <c r="AP289" i="277"/>
  <c r="AO289" i="277"/>
  <c r="AN289" i="277"/>
  <c r="AM289" i="277"/>
  <c r="AL289" i="277"/>
  <c r="AK289" i="277"/>
  <c r="AJ289" i="277"/>
  <c r="AI289" i="277"/>
  <c r="AH289" i="277"/>
  <c r="AG289" i="277"/>
  <c r="AF289" i="277"/>
  <c r="AE289" i="277"/>
  <c r="AQ285" i="277"/>
  <c r="AP285" i="277"/>
  <c r="AO285" i="277"/>
  <c r="AN285" i="277"/>
  <c r="AM285" i="277"/>
  <c r="AL285" i="277"/>
  <c r="AK285" i="277"/>
  <c r="AJ285" i="277"/>
  <c r="AI285" i="277"/>
  <c r="AH285" i="277"/>
  <c r="AG285" i="277"/>
  <c r="AF285" i="277"/>
  <c r="AE285" i="277"/>
  <c r="AQ281" i="277"/>
  <c r="AP281" i="277"/>
  <c r="AO281" i="277"/>
  <c r="AN281" i="277"/>
  <c r="AM281" i="277"/>
  <c r="AL281" i="277"/>
  <c r="AK281" i="277"/>
  <c r="AJ281" i="277"/>
  <c r="AI281" i="277"/>
  <c r="AH281" i="277"/>
  <c r="AG281" i="277"/>
  <c r="AF281" i="277"/>
  <c r="AE281" i="277"/>
  <c r="AQ277" i="277"/>
  <c r="AP277" i="277"/>
  <c r="AO277" i="277"/>
  <c r="AN277" i="277"/>
  <c r="AM277" i="277"/>
  <c r="AL277" i="277"/>
  <c r="AK277" i="277"/>
  <c r="AJ277" i="277"/>
  <c r="AI277" i="277"/>
  <c r="AH277" i="277"/>
  <c r="AG277" i="277"/>
  <c r="AF277" i="277"/>
  <c r="AE277" i="277"/>
  <c r="AQ273" i="277"/>
  <c r="AP273" i="277"/>
  <c r="AO273" i="277"/>
  <c r="AN273" i="277"/>
  <c r="AM273" i="277"/>
  <c r="AL273" i="277"/>
  <c r="AK273" i="277"/>
  <c r="AJ273" i="277"/>
  <c r="AI273" i="277"/>
  <c r="AH273" i="277"/>
  <c r="AG273" i="277"/>
  <c r="AF273" i="277"/>
  <c r="AE273" i="277"/>
  <c r="AQ269" i="277"/>
  <c r="AP269" i="277"/>
  <c r="AO269" i="277"/>
  <c r="AN269" i="277"/>
  <c r="AM269" i="277"/>
  <c r="AL269" i="277"/>
  <c r="AK269" i="277"/>
  <c r="AJ269" i="277"/>
  <c r="AI269" i="277"/>
  <c r="AH269" i="277"/>
  <c r="AG269" i="277"/>
  <c r="AF269" i="277"/>
  <c r="AE269" i="277"/>
  <c r="AP263" i="277"/>
  <c r="AP265" i="277" s="1"/>
  <c r="AN263" i="277"/>
  <c r="AN265" i="277" s="1"/>
  <c r="AL263" i="277"/>
  <c r="AL265" i="277" s="1"/>
  <c r="AJ263" i="277"/>
  <c r="AJ265" i="277" s="1"/>
  <c r="AH263" i="277"/>
  <c r="AH265" i="277" s="1"/>
  <c r="AF263" i="277"/>
  <c r="AF265" i="277" s="1"/>
  <c r="AQ263" i="277"/>
  <c r="AQ265" i="277" s="1"/>
  <c r="AO263" i="277"/>
  <c r="AO265" i="277" s="1"/>
  <c r="AM263" i="277"/>
  <c r="AM265" i="277" s="1"/>
  <c r="AK263" i="277"/>
  <c r="AK265" i="277" s="1"/>
  <c r="AI263" i="277"/>
  <c r="AI265" i="277" s="1"/>
  <c r="AG263" i="277"/>
  <c r="AG265" i="277" s="1"/>
  <c r="AE263" i="277"/>
  <c r="AE265" i="277" s="1"/>
  <c r="AQ259" i="277"/>
  <c r="AQ261" i="277" s="1"/>
  <c r="AO259" i="277"/>
  <c r="AO261" i="277" s="1"/>
  <c r="AM259" i="277"/>
  <c r="AM261" i="277" s="1"/>
  <c r="AK259" i="277"/>
  <c r="AK261" i="277" s="1"/>
  <c r="AI259" i="277"/>
  <c r="AI261" i="277" s="1"/>
  <c r="AG259" i="277"/>
  <c r="AG261" i="277" s="1"/>
  <c r="AE259" i="277"/>
  <c r="AE261" i="277" s="1"/>
  <c r="AP259" i="277"/>
  <c r="AP261" i="277" s="1"/>
  <c r="AN259" i="277"/>
  <c r="AN261" i="277" s="1"/>
  <c r="AL259" i="277"/>
  <c r="AL261" i="277" s="1"/>
  <c r="AJ259" i="277"/>
  <c r="AJ261" i="277" s="1"/>
  <c r="AH259" i="277"/>
  <c r="AH261" i="277" s="1"/>
  <c r="AF259" i="277"/>
  <c r="AF261" i="277" s="1"/>
  <c r="AP254" i="277"/>
  <c r="AP255" i="277" s="1"/>
  <c r="AN254" i="277"/>
  <c r="AN255" i="277" s="1"/>
  <c r="AL254" i="277"/>
  <c r="AJ254" i="277"/>
  <c r="AH254" i="277"/>
  <c r="AH255" i="277" s="1"/>
  <c r="AF254" i="277"/>
  <c r="AF255" i="277" s="1"/>
  <c r="AL255" i="277"/>
  <c r="AJ255" i="277"/>
  <c r="AQ309" i="278"/>
  <c r="AP309" i="278"/>
  <c r="AO309" i="278"/>
  <c r="AN309" i="278"/>
  <c r="AM309" i="278"/>
  <c r="AL309" i="278"/>
  <c r="AK309" i="278"/>
  <c r="AJ309" i="278"/>
  <c r="AI309" i="278"/>
  <c r="AH309" i="278"/>
  <c r="AG309" i="278"/>
  <c r="AF309" i="278"/>
  <c r="AE309" i="278"/>
  <c r="AQ305" i="278"/>
  <c r="AP305" i="278"/>
  <c r="AO305" i="278"/>
  <c r="AN305" i="278"/>
  <c r="AM305" i="278"/>
  <c r="AL305" i="278"/>
  <c r="AK305" i="278"/>
  <c r="AJ305" i="278"/>
  <c r="AI305" i="278"/>
  <c r="AH305" i="278"/>
  <c r="AG305" i="278"/>
  <c r="AF305" i="278"/>
  <c r="AE305" i="278"/>
  <c r="AQ301" i="278"/>
  <c r="AP301" i="278"/>
  <c r="AO301" i="278"/>
  <c r="AN301" i="278"/>
  <c r="AM301" i="278"/>
  <c r="AL301" i="278"/>
  <c r="AK301" i="278"/>
  <c r="AJ301" i="278"/>
  <c r="AI301" i="278"/>
  <c r="AH301" i="278"/>
  <c r="AG301" i="278"/>
  <c r="AF301" i="278"/>
  <c r="AE301" i="278"/>
  <c r="AQ297" i="278"/>
  <c r="AP297" i="278"/>
  <c r="AO297" i="278"/>
  <c r="AN297" i="278"/>
  <c r="AM297" i="278"/>
  <c r="AL297" i="278"/>
  <c r="AK297" i="278"/>
  <c r="AJ297" i="278"/>
  <c r="AI297" i="278"/>
  <c r="AH297" i="278"/>
  <c r="AG297" i="278"/>
  <c r="AF297" i="278"/>
  <c r="AE297" i="278"/>
  <c r="AQ293" i="278"/>
  <c r="AP293" i="278"/>
  <c r="AO293" i="278"/>
  <c r="AN293" i="278"/>
  <c r="AM293" i="278"/>
  <c r="AL293" i="278"/>
  <c r="AK293" i="278"/>
  <c r="AJ293" i="278"/>
  <c r="AI293" i="278"/>
  <c r="AH293" i="278"/>
  <c r="AG293" i="278"/>
  <c r="AF293" i="278"/>
  <c r="AE293" i="278"/>
  <c r="AQ289" i="278"/>
  <c r="AP289" i="278"/>
  <c r="AO289" i="278"/>
  <c r="AN289" i="278"/>
  <c r="AM289" i="278"/>
  <c r="AL289" i="278"/>
  <c r="AK289" i="278"/>
  <c r="AJ289" i="278"/>
  <c r="AI289" i="278"/>
  <c r="AH289" i="278"/>
  <c r="AG289" i="278"/>
  <c r="AF289" i="278"/>
  <c r="AE289" i="278"/>
  <c r="AO285" i="278"/>
  <c r="AK285" i="278"/>
  <c r="AG285" i="278"/>
  <c r="AQ285" i="278"/>
  <c r="AP285" i="278"/>
  <c r="AN285" i="278"/>
  <c r="AM285" i="278"/>
  <c r="AL285" i="278"/>
  <c r="AJ285" i="278"/>
  <c r="AI285" i="278"/>
  <c r="AH285" i="278"/>
  <c r="AF285" i="278"/>
  <c r="AE285" i="278"/>
  <c r="AP281" i="278"/>
  <c r="AN281" i="278"/>
  <c r="AL281" i="278"/>
  <c r="AK281" i="278"/>
  <c r="AJ281" i="278"/>
  <c r="AI281" i="278"/>
  <c r="AH281" i="278"/>
  <c r="AG281" i="278"/>
  <c r="AF281" i="278"/>
  <c r="AE281" i="278"/>
  <c r="AQ277" i="278"/>
  <c r="AP277" i="278"/>
  <c r="AO277" i="278"/>
  <c r="AN277" i="278"/>
  <c r="AM277" i="278"/>
  <c r="AL277" i="278"/>
  <c r="AK277" i="278"/>
  <c r="AJ277" i="278"/>
  <c r="AI277" i="278"/>
  <c r="AH277" i="278"/>
  <c r="AG277" i="278"/>
  <c r="AF277" i="278"/>
  <c r="AE277" i="278"/>
  <c r="AQ273" i="278"/>
  <c r="AP273" i="278"/>
  <c r="AO273" i="278"/>
  <c r="AN273" i="278"/>
  <c r="AM273" i="278"/>
  <c r="AL273" i="278"/>
  <c r="AK273" i="278"/>
  <c r="AJ273" i="278"/>
  <c r="AI273" i="278"/>
  <c r="AH273" i="278"/>
  <c r="AG273" i="278"/>
  <c r="AF273" i="278"/>
  <c r="AE273" i="278"/>
  <c r="AQ269" i="278"/>
  <c r="AP269" i="278"/>
  <c r="AO269" i="278"/>
  <c r="AN269" i="278"/>
  <c r="AM269" i="278"/>
  <c r="AL269" i="278"/>
  <c r="AK269" i="278"/>
  <c r="AJ269" i="278"/>
  <c r="AI269" i="278"/>
  <c r="AH269" i="278"/>
  <c r="AG269" i="278"/>
  <c r="AF269" i="278"/>
  <c r="AE269" i="278"/>
  <c r="AQ263" i="278"/>
  <c r="AQ265" i="278" s="1"/>
  <c r="AO263" i="278"/>
  <c r="AO265" i="278" s="1"/>
  <c r="AM263" i="278"/>
  <c r="AM265" i="278" s="1"/>
  <c r="AK263" i="278"/>
  <c r="AK265" i="278" s="1"/>
  <c r="AI263" i="278"/>
  <c r="AI265" i="278" s="1"/>
  <c r="AG263" i="278"/>
  <c r="AG265" i="278" s="1"/>
  <c r="AE263" i="278"/>
  <c r="AE265" i="278" s="1"/>
  <c r="AP263" i="278"/>
  <c r="AP265" i="278" s="1"/>
  <c r="AN263" i="278"/>
  <c r="AN265" i="278" s="1"/>
  <c r="AL263" i="278"/>
  <c r="AL265" i="278" s="1"/>
  <c r="AJ263" i="278"/>
  <c r="AJ265" i="278" s="1"/>
  <c r="AH263" i="278"/>
  <c r="AH265" i="278" s="1"/>
  <c r="AF263" i="278"/>
  <c r="AF265" i="278" s="1"/>
  <c r="AP259" i="278"/>
  <c r="AP261" i="278" s="1"/>
  <c r="AN259" i="278"/>
  <c r="AN261" i="278" s="1"/>
  <c r="AL259" i="278"/>
  <c r="AL261" i="278" s="1"/>
  <c r="AJ259" i="278"/>
  <c r="AJ261" i="278" s="1"/>
  <c r="AH259" i="278"/>
  <c r="AH261" i="278" s="1"/>
  <c r="AF259" i="278"/>
  <c r="AF261" i="278" s="1"/>
  <c r="AQ259" i="278"/>
  <c r="AQ261" i="278" s="1"/>
  <c r="AO259" i="278"/>
  <c r="AO261" i="278" s="1"/>
  <c r="AM259" i="278"/>
  <c r="AM261" i="278" s="1"/>
  <c r="AK259" i="278"/>
  <c r="AK261" i="278" s="1"/>
  <c r="AI259" i="278"/>
  <c r="AI261" i="278" s="1"/>
  <c r="AG259" i="278"/>
  <c r="AG261" i="278" s="1"/>
  <c r="AE259" i="278"/>
  <c r="AE261" i="278" s="1"/>
  <c r="AQ254" i="278"/>
  <c r="AQ255" i="278" s="1"/>
  <c r="AO254" i="278"/>
  <c r="AO255" i="278" s="1"/>
  <c r="AM254" i="278"/>
  <c r="AM255" i="278" s="1"/>
  <c r="AK254" i="278"/>
  <c r="AK255" i="278" s="1"/>
  <c r="AI254" i="278"/>
  <c r="AI255" i="278" s="1"/>
  <c r="AG254" i="278"/>
  <c r="AG255" i="278" s="1"/>
  <c r="AE254" i="278"/>
  <c r="AE255" i="278" s="1"/>
  <c r="AQ195" i="217"/>
  <c r="AP195" i="217"/>
  <c r="AO195" i="217"/>
  <c r="AN195" i="217"/>
  <c r="AM195" i="217"/>
  <c r="AL195" i="217"/>
  <c r="AK195" i="217"/>
  <c r="AJ195" i="217"/>
  <c r="AQ186" i="217"/>
  <c r="AP186" i="217"/>
  <c r="AO186" i="217"/>
  <c r="AN186" i="217"/>
  <c r="AM186" i="217"/>
  <c r="AL186" i="217"/>
  <c r="AK186" i="217"/>
  <c r="AJ186" i="217"/>
  <c r="AQ177" i="217"/>
  <c r="AP177" i="217"/>
  <c r="AO177" i="217"/>
  <c r="AN177" i="217"/>
  <c r="AM177" i="217"/>
  <c r="AL177" i="217"/>
  <c r="AK177" i="217"/>
  <c r="AJ177" i="217"/>
  <c r="AQ159" i="217"/>
  <c r="AP159" i="217"/>
  <c r="AO159" i="217"/>
  <c r="AN159" i="217"/>
  <c r="AM159" i="217"/>
  <c r="AL159" i="217"/>
  <c r="AK159" i="217"/>
  <c r="AJ159" i="217"/>
  <c r="AQ150" i="217"/>
  <c r="AP150" i="217"/>
  <c r="AO150" i="217"/>
  <c r="AN150" i="217"/>
  <c r="AM150" i="217"/>
  <c r="AL150" i="217"/>
  <c r="AK150" i="217"/>
  <c r="AJ150" i="217"/>
  <c r="AQ141" i="217"/>
  <c r="AP141" i="217"/>
  <c r="AO141" i="217"/>
  <c r="AN141" i="217"/>
  <c r="AM141" i="217"/>
  <c r="AL141" i="217"/>
  <c r="AK141" i="217"/>
  <c r="AJ141" i="217"/>
  <c r="AQ132" i="217"/>
  <c r="AP132" i="217"/>
  <c r="AO132" i="217"/>
  <c r="AN132" i="217"/>
  <c r="AM132" i="217"/>
  <c r="AL132" i="217"/>
  <c r="AK132" i="217"/>
  <c r="AJ132" i="217"/>
  <c r="AQ123" i="217"/>
  <c r="AP123" i="217"/>
  <c r="AO123" i="217"/>
  <c r="AN123" i="217"/>
  <c r="AM123" i="217"/>
  <c r="AL123" i="217"/>
  <c r="AK123" i="217"/>
  <c r="AJ123" i="217"/>
  <c r="AQ114" i="217"/>
  <c r="AP114" i="217"/>
  <c r="AO114" i="217"/>
  <c r="AN114" i="217"/>
  <c r="AM114" i="217"/>
  <c r="AL114" i="217"/>
  <c r="AK114" i="217"/>
  <c r="AJ114" i="217"/>
  <c r="AQ105" i="217"/>
  <c r="AP105" i="217"/>
  <c r="AO105" i="217"/>
  <c r="AN105" i="217"/>
  <c r="AM105" i="217"/>
  <c r="AL105" i="217"/>
  <c r="AK105" i="217"/>
  <c r="AJ105" i="217"/>
  <c r="AQ195" i="277"/>
  <c r="AP195" i="277"/>
  <c r="AO195" i="277"/>
  <c r="AN195" i="277"/>
  <c r="AM195" i="277"/>
  <c r="AL195" i="277"/>
  <c r="AK195" i="277"/>
  <c r="AJ195" i="277"/>
  <c r="AQ186" i="277"/>
  <c r="AP186" i="277"/>
  <c r="AO186" i="277"/>
  <c r="AN186" i="277"/>
  <c r="AM186" i="277"/>
  <c r="AL186" i="277"/>
  <c r="AK186" i="277"/>
  <c r="AJ186" i="277"/>
  <c r="AQ177" i="277"/>
  <c r="AP177" i="277"/>
  <c r="AO177" i="277"/>
  <c r="AN177" i="277"/>
  <c r="AM177" i="277"/>
  <c r="AL177" i="277"/>
  <c r="AK177" i="277"/>
  <c r="AJ177" i="277"/>
  <c r="AQ159" i="277"/>
  <c r="AP159" i="277"/>
  <c r="AO159" i="277"/>
  <c r="AN159" i="277"/>
  <c r="AM159" i="277"/>
  <c r="AL159" i="277"/>
  <c r="AK159" i="277"/>
  <c r="AJ159" i="277"/>
  <c r="AQ150" i="277"/>
  <c r="AP150" i="277"/>
  <c r="AO150" i="277"/>
  <c r="AN150" i="277"/>
  <c r="AM150" i="277"/>
  <c r="AL150" i="277"/>
  <c r="AK150" i="277"/>
  <c r="AJ150" i="277"/>
  <c r="AQ141" i="277"/>
  <c r="AP141" i="277"/>
  <c r="AO141" i="277"/>
  <c r="AN141" i="277"/>
  <c r="AM141" i="277"/>
  <c r="AL141" i="277"/>
  <c r="AK141" i="277"/>
  <c r="AJ141" i="277"/>
  <c r="AQ132" i="277"/>
  <c r="AP132" i="277"/>
  <c r="AO132" i="277"/>
  <c r="AN132" i="277"/>
  <c r="AM132" i="277"/>
  <c r="AL132" i="277"/>
  <c r="AK132" i="277"/>
  <c r="AJ132" i="277"/>
  <c r="AQ123" i="277"/>
  <c r="AP123" i="277"/>
  <c r="AO123" i="277"/>
  <c r="AN123" i="277"/>
  <c r="AM123" i="277"/>
  <c r="AL123" i="277"/>
  <c r="AK123" i="277"/>
  <c r="AJ123" i="277"/>
  <c r="AQ114" i="277"/>
  <c r="AP114" i="277"/>
  <c r="AO114" i="277"/>
  <c r="AN114" i="277"/>
  <c r="AM114" i="277"/>
  <c r="AL114" i="277"/>
  <c r="AK114" i="277"/>
  <c r="AJ114" i="277"/>
  <c r="AQ105" i="277"/>
  <c r="AP105" i="277"/>
  <c r="AO105" i="277"/>
  <c r="AN105" i="277"/>
  <c r="AM105" i="277"/>
  <c r="AL105" i="277"/>
  <c r="AK105" i="277"/>
  <c r="AJ105" i="277"/>
  <c r="AQ195" i="278"/>
  <c r="AP195" i="278"/>
  <c r="AO195" i="278"/>
  <c r="AN195" i="278"/>
  <c r="AM195" i="278"/>
  <c r="AL195" i="278"/>
  <c r="AK195" i="278"/>
  <c r="AJ195" i="278"/>
  <c r="AQ186" i="278"/>
  <c r="AP186" i="278"/>
  <c r="AO186" i="278"/>
  <c r="AN186" i="278"/>
  <c r="AM186" i="278"/>
  <c r="AL186" i="278"/>
  <c r="AK186" i="278"/>
  <c r="AJ186" i="278"/>
  <c r="AQ177" i="278"/>
  <c r="AP177" i="278"/>
  <c r="AO177" i="278"/>
  <c r="AN177" i="278"/>
  <c r="AM177" i="278"/>
  <c r="AL177" i="278"/>
  <c r="AK177" i="278"/>
  <c r="AJ177" i="278"/>
  <c r="AQ159" i="278"/>
  <c r="AP159" i="278"/>
  <c r="AO159" i="278"/>
  <c r="AN159" i="278"/>
  <c r="AM159" i="278"/>
  <c r="AL159" i="278"/>
  <c r="AK159" i="278"/>
  <c r="AJ159" i="278"/>
  <c r="AQ150" i="278"/>
  <c r="AP150" i="278"/>
  <c r="AO150" i="278"/>
  <c r="AN150" i="278"/>
  <c r="AM150" i="278"/>
  <c r="AL150" i="278"/>
  <c r="AK150" i="278"/>
  <c r="AJ150" i="278"/>
  <c r="AQ141" i="278"/>
  <c r="AP141" i="278"/>
  <c r="AO141" i="278"/>
  <c r="AN141" i="278"/>
  <c r="AM141" i="278"/>
  <c r="AL141" i="278"/>
  <c r="AK141" i="278"/>
  <c r="AJ141" i="278"/>
  <c r="AQ132" i="278"/>
  <c r="AP132" i="278"/>
  <c r="AO132" i="278"/>
  <c r="AN132" i="278"/>
  <c r="AM132" i="278"/>
  <c r="AL132" i="278"/>
  <c r="AK132" i="278"/>
  <c r="AJ132" i="278"/>
  <c r="AQ123" i="278"/>
  <c r="AP123" i="278"/>
  <c r="AO123" i="278"/>
  <c r="AN123" i="278"/>
  <c r="AM123" i="278"/>
  <c r="AL123" i="278"/>
  <c r="AK123" i="278"/>
  <c r="AJ123" i="278"/>
  <c r="AQ114" i="278"/>
  <c r="AP114" i="278"/>
  <c r="AO114" i="278"/>
  <c r="AN114" i="278"/>
  <c r="AM114" i="278"/>
  <c r="AL114" i="278"/>
  <c r="AK114" i="278"/>
  <c r="AJ114" i="278"/>
  <c r="AQ105" i="278"/>
  <c r="AP105" i="278"/>
  <c r="AO105" i="278"/>
  <c r="AN105" i="278"/>
  <c r="AM105" i="278"/>
  <c r="AL105" i="278"/>
  <c r="AK105" i="278"/>
  <c r="AJ105" i="278"/>
  <c r="AF311" i="278" l="1"/>
  <c r="AJ311" i="278"/>
  <c r="AN311" i="278"/>
  <c r="AK311" i="277"/>
  <c r="AO311" i="277"/>
  <c r="AF311" i="217"/>
  <c r="AJ311" i="217"/>
  <c r="AN311" i="217"/>
  <c r="AG311" i="277"/>
  <c r="AE311" i="278"/>
  <c r="AI311" i="278"/>
  <c r="AH311" i="278"/>
  <c r="AL311" i="278"/>
  <c r="AP311" i="278"/>
  <c r="AF311" i="277"/>
  <c r="AJ311" i="277"/>
  <c r="AN311" i="277"/>
  <c r="AE311" i="277"/>
  <c r="AI311" i="277"/>
  <c r="AM311" i="277"/>
  <c r="AQ311" i="277"/>
  <c r="AE311" i="217"/>
  <c r="AI311" i="217"/>
  <c r="AM311" i="217"/>
  <c r="AQ311" i="217"/>
  <c r="AH311" i="217"/>
  <c r="AL311" i="217"/>
  <c r="AP311" i="217"/>
  <c r="AG311" i="278"/>
  <c r="AK311" i="278"/>
  <c r="AF254" i="278"/>
  <c r="AF255" i="278" s="1"/>
  <c r="AH254" i="278"/>
  <c r="AH255" i="278" s="1"/>
  <c r="AJ254" i="278"/>
  <c r="AJ255" i="278" s="1"/>
  <c r="AL254" i="278"/>
  <c r="AL255" i="278" s="1"/>
  <c r="AN254" i="278"/>
  <c r="AN255" i="278" s="1"/>
  <c r="AP254" i="278"/>
  <c r="AP255" i="278" s="1"/>
  <c r="AM281" i="278"/>
  <c r="AM311" i="278" s="1"/>
  <c r="AO281" i="278"/>
  <c r="AO311" i="278" s="1"/>
  <c r="AQ281" i="278"/>
  <c r="AQ311" i="278" s="1"/>
  <c r="AH311" i="277"/>
  <c r="AL311" i="277"/>
  <c r="AP311" i="277"/>
  <c r="AG311" i="217"/>
  <c r="AK311" i="217"/>
  <c r="AO311" i="217"/>
  <c r="AE254" i="277"/>
  <c r="AE255" i="277" s="1"/>
  <c r="AG254" i="277"/>
  <c r="AG255" i="277" s="1"/>
  <c r="AI254" i="277"/>
  <c r="AI255" i="277" s="1"/>
  <c r="AK254" i="277"/>
  <c r="AK255" i="277" s="1"/>
  <c r="AM254" i="277"/>
  <c r="AM255" i="277" s="1"/>
  <c r="AO254" i="277"/>
  <c r="AO255" i="277" s="1"/>
  <c r="AQ254" i="277"/>
  <c r="AQ255" i="277" s="1"/>
  <c r="AF254" i="217"/>
  <c r="AF255" i="217" s="1"/>
  <c r="AH254" i="217"/>
  <c r="AH255" i="217" s="1"/>
  <c r="AJ254" i="217"/>
  <c r="AJ255" i="217" s="1"/>
  <c r="AL254" i="217"/>
  <c r="AL255" i="217" s="1"/>
  <c r="AN254" i="217"/>
  <c r="AN255" i="217" s="1"/>
  <c r="AP254" i="217"/>
  <c r="AP255" i="217" s="1"/>
  <c r="AJ430" i="278" l="1"/>
  <c r="AJ419" i="189" l="1"/>
  <c r="AK419" i="189"/>
  <c r="AL419" i="189"/>
  <c r="AM419" i="189"/>
  <c r="AN419" i="189"/>
  <c r="AO419" i="189"/>
  <c r="AP419" i="189"/>
  <c r="AQ419" i="189"/>
  <c r="AJ409" i="189"/>
  <c r="AJ399" i="189"/>
  <c r="AK399" i="189"/>
  <c r="AL399" i="189"/>
  <c r="AM399" i="189"/>
  <c r="AN399" i="189"/>
  <c r="AO399" i="189"/>
  <c r="AP399" i="189"/>
  <c r="AQ399" i="189"/>
  <c r="AJ389" i="189"/>
  <c r="AK389" i="189"/>
  <c r="AL389" i="189"/>
  <c r="AM389" i="189"/>
  <c r="AN389" i="189"/>
  <c r="AO389" i="189"/>
  <c r="AP389" i="189"/>
  <c r="AQ389" i="189"/>
  <c r="AJ379" i="189"/>
  <c r="AK379" i="189"/>
  <c r="AL379" i="189"/>
  <c r="AM379" i="189"/>
  <c r="AN379" i="189"/>
  <c r="AO379" i="189"/>
  <c r="AP379" i="189"/>
  <c r="AQ379" i="189"/>
  <c r="AJ209" i="189"/>
  <c r="AK209" i="189"/>
  <c r="AL209" i="189"/>
  <c r="AM209" i="189"/>
  <c r="AN209" i="189"/>
  <c r="AO209" i="189"/>
  <c r="AP209" i="189"/>
  <c r="AQ209" i="189"/>
  <c r="AJ200" i="189"/>
  <c r="AK200" i="189"/>
  <c r="AL200" i="189"/>
  <c r="AM200" i="189"/>
  <c r="AN200" i="189"/>
  <c r="AO200" i="189"/>
  <c r="AP200" i="189"/>
  <c r="AQ200" i="189"/>
  <c r="AJ191" i="189"/>
  <c r="AK191" i="189"/>
  <c r="AL191" i="189"/>
  <c r="AM191" i="189"/>
  <c r="AN191" i="189"/>
  <c r="AO191" i="189"/>
  <c r="AP191" i="189"/>
  <c r="AQ191" i="189"/>
  <c r="AJ182" i="189"/>
  <c r="AK182" i="189"/>
  <c r="AL182" i="189"/>
  <c r="AM182" i="189"/>
  <c r="AN182" i="189"/>
  <c r="AO182" i="189"/>
  <c r="AP182" i="189"/>
  <c r="AQ182" i="189"/>
  <c r="AJ164" i="189"/>
  <c r="AK164" i="189"/>
  <c r="AL164" i="189"/>
  <c r="AM164" i="189"/>
  <c r="AN164" i="189"/>
  <c r="AO164" i="189"/>
  <c r="AP164" i="189"/>
  <c r="AQ164" i="189"/>
  <c r="AJ155" i="189"/>
  <c r="AK155" i="189"/>
  <c r="AL155" i="189"/>
  <c r="AM155" i="189"/>
  <c r="AN155" i="189"/>
  <c r="AO155" i="189"/>
  <c r="AP155" i="189"/>
  <c r="AQ155" i="189"/>
  <c r="AJ146" i="189"/>
  <c r="AK146" i="189"/>
  <c r="AL146" i="189"/>
  <c r="AM146" i="189"/>
  <c r="AN146" i="189"/>
  <c r="AO146" i="189"/>
  <c r="AP146" i="189"/>
  <c r="AQ146" i="189"/>
  <c r="AJ137" i="189"/>
  <c r="AK137" i="189"/>
  <c r="AL137" i="189"/>
  <c r="AM137" i="189"/>
  <c r="AN137" i="189"/>
  <c r="AO137" i="189"/>
  <c r="AP137" i="189"/>
  <c r="AQ137" i="189"/>
  <c r="AK128" i="189"/>
  <c r="AL128" i="189"/>
  <c r="AM128" i="189"/>
  <c r="AN128" i="189"/>
  <c r="AO128" i="189"/>
  <c r="AP128" i="189"/>
  <c r="AQ128" i="189"/>
  <c r="AJ128" i="189"/>
  <c r="AJ119" i="189"/>
  <c r="AK119" i="189"/>
  <c r="AL119" i="189"/>
  <c r="AM119" i="189"/>
  <c r="AN119" i="189"/>
  <c r="AO119" i="189"/>
  <c r="AP119" i="189"/>
  <c r="AQ119" i="189"/>
  <c r="AJ110" i="189"/>
  <c r="AK110" i="189"/>
  <c r="AL110" i="189"/>
  <c r="AM110" i="189"/>
  <c r="AN110" i="189"/>
  <c r="AO110" i="189"/>
  <c r="AP110" i="189"/>
  <c r="AQ110" i="189"/>
  <c r="AK99" i="189"/>
  <c r="AL99" i="189"/>
  <c r="AM99" i="189"/>
  <c r="AN99" i="189"/>
  <c r="AO99" i="189"/>
  <c r="AP99" i="189"/>
  <c r="AQ99" i="189"/>
  <c r="AJ99" i="189"/>
  <c r="AK98" i="189"/>
  <c r="AL98" i="189"/>
  <c r="AM98" i="189"/>
  <c r="AN98" i="189"/>
  <c r="AO98" i="189"/>
  <c r="AP98" i="189"/>
  <c r="AQ98" i="189"/>
  <c r="AJ430" i="189" l="1"/>
  <c r="AK409" i="189" l="1"/>
  <c r="AK430" i="189" s="1"/>
  <c r="AK430" i="278"/>
  <c r="AK83" i="195"/>
  <c r="AL83" i="195"/>
  <c r="AM83" i="195"/>
  <c r="AN83" i="195"/>
  <c r="AO83" i="195"/>
  <c r="AP83" i="195"/>
  <c r="AQ83" i="195"/>
  <c r="AJ83" i="195"/>
  <c r="AJ71" i="195"/>
  <c r="AK57" i="195"/>
  <c r="AL57" i="195"/>
  <c r="AM57" i="195"/>
  <c r="AN57" i="195"/>
  <c r="AO57" i="195"/>
  <c r="AP57" i="195"/>
  <c r="AQ57" i="195"/>
  <c r="AJ57" i="195"/>
  <c r="AK45" i="195"/>
  <c r="AL45" i="195"/>
  <c r="AM45" i="195"/>
  <c r="AN45" i="195"/>
  <c r="AO45" i="195"/>
  <c r="AP45" i="195"/>
  <c r="AQ45" i="195"/>
  <c r="AJ45" i="195"/>
  <c r="AK33" i="195"/>
  <c r="AL33" i="195"/>
  <c r="AM33" i="195"/>
  <c r="AN33" i="195"/>
  <c r="AO33" i="195"/>
  <c r="AP33" i="195"/>
  <c r="AQ33" i="195"/>
  <c r="AJ33" i="195"/>
  <c r="AK226" i="217"/>
  <c r="AL226" i="217"/>
  <c r="AM226" i="217"/>
  <c r="AN226" i="217"/>
  <c r="AO226" i="217"/>
  <c r="AP226" i="217"/>
  <c r="AQ226" i="217"/>
  <c r="AK227" i="217"/>
  <c r="AL227" i="217"/>
  <c r="AM227" i="217"/>
  <c r="AN227" i="217"/>
  <c r="AO227" i="217"/>
  <c r="AP227" i="217"/>
  <c r="AQ227" i="217"/>
  <c r="AK226" i="277"/>
  <c r="AL226" i="277"/>
  <c r="AM226" i="277"/>
  <c r="AN226" i="277"/>
  <c r="AO226" i="277"/>
  <c r="AP226" i="277"/>
  <c r="AQ226" i="277"/>
  <c r="AK227" i="277"/>
  <c r="AL227" i="277"/>
  <c r="AM227" i="277"/>
  <c r="AN227" i="277"/>
  <c r="AO227" i="277"/>
  <c r="AP227" i="277"/>
  <c r="AQ227" i="277"/>
  <c r="AK226" i="278"/>
  <c r="AL226" i="278"/>
  <c r="AM226" i="278"/>
  <c r="AN226" i="278"/>
  <c r="AO226" i="278"/>
  <c r="AP226" i="278"/>
  <c r="AQ226" i="278"/>
  <c r="AK227" i="278"/>
  <c r="AL227" i="278"/>
  <c r="AM227" i="278"/>
  <c r="AN227" i="278"/>
  <c r="AO227" i="278"/>
  <c r="AP227" i="278"/>
  <c r="AQ227" i="278"/>
  <c r="AJ227" i="217"/>
  <c r="AJ227" i="277"/>
  <c r="AJ227" i="278"/>
  <c r="AK21" i="183"/>
  <c r="AL21" i="183"/>
  <c r="AM21" i="183"/>
  <c r="AN21" i="183"/>
  <c r="AO21" i="183"/>
  <c r="AP21" i="183"/>
  <c r="AQ21" i="183"/>
  <c r="AJ21" i="183"/>
  <c r="AK227" i="189"/>
  <c r="AL227" i="189"/>
  <c r="AM227" i="189"/>
  <c r="AN227" i="189"/>
  <c r="AO227" i="189"/>
  <c r="AP227" i="189"/>
  <c r="AQ227" i="189"/>
  <c r="AJ227" i="189"/>
  <c r="AS59" i="315"/>
  <c r="AR59" i="315"/>
  <c r="AQ59" i="315"/>
  <c r="AK71" i="195" l="1"/>
  <c r="AL430" i="278"/>
  <c r="AL409" i="189"/>
  <c r="AL430" i="189" l="1"/>
  <c r="AL71" i="195"/>
  <c r="AM409" i="189"/>
  <c r="AM430" i="278"/>
  <c r="AN430" i="278" l="1"/>
  <c r="AM430" i="189"/>
  <c r="AM71" i="195"/>
  <c r="AN409" i="189"/>
  <c r="AN430" i="189" l="1"/>
  <c r="AN71" i="195"/>
  <c r="AO409" i="189"/>
  <c r="AO430" i="278"/>
  <c r="AQ430" i="278" l="1"/>
  <c r="AP430" i="278"/>
  <c r="AO430" i="189"/>
  <c r="AO71" i="195"/>
  <c r="AP409" i="189"/>
  <c r="AP430" i="189" l="1"/>
  <c r="AP71" i="195"/>
  <c r="AQ409" i="189"/>
  <c r="AQ430" i="189" l="1"/>
  <c r="AQ71" i="195"/>
  <c r="AS73" i="315" l="1"/>
  <c r="AR73" i="315"/>
  <c r="AQ73" i="315"/>
  <c r="AS70" i="315"/>
  <c r="AR70" i="315"/>
  <c r="AQ70" i="315"/>
  <c r="AS68" i="315"/>
  <c r="AR68" i="315"/>
  <c r="AQ68" i="315"/>
  <c r="AS64" i="315"/>
  <c r="AR64" i="315"/>
  <c r="AQ64" i="315"/>
  <c r="AS54" i="315"/>
  <c r="AR54" i="315"/>
  <c r="AQ54" i="315"/>
  <c r="AS49" i="315"/>
  <c r="AR49" i="315"/>
  <c r="AQ49" i="315"/>
  <c r="AS40" i="315"/>
  <c r="AR40" i="315"/>
  <c r="AQ40" i="315"/>
  <c r="AS38" i="315"/>
  <c r="AR38" i="315"/>
  <c r="AQ38" i="315"/>
  <c r="AS95" i="315" l="1"/>
  <c r="AS132" i="315"/>
  <c r="AS117" i="315"/>
  <c r="AQ95" i="315"/>
  <c r="AQ132" i="315"/>
  <c r="AQ117" i="315"/>
  <c r="AR117" i="315"/>
  <c r="AR95" i="315"/>
  <c r="AR132" i="315"/>
  <c r="AR129" i="315"/>
  <c r="AR133" i="315"/>
  <c r="AR69" i="315"/>
  <c r="AR75" i="315"/>
  <c r="AR74" i="315" s="1"/>
  <c r="AR98" i="315" s="1"/>
  <c r="AR92" i="315"/>
  <c r="AR96" i="315"/>
  <c r="AR114" i="315"/>
  <c r="AR118" i="315"/>
  <c r="AQ129" i="315"/>
  <c r="AS129" i="315"/>
  <c r="AQ133" i="315"/>
  <c r="AS133" i="315"/>
  <c r="AQ69" i="315"/>
  <c r="AS69" i="315"/>
  <c r="AQ75" i="315"/>
  <c r="AQ74" i="315" s="1"/>
  <c r="AQ98" i="315" s="1"/>
  <c r="AS75" i="315"/>
  <c r="AQ92" i="315"/>
  <c r="AS92" i="315"/>
  <c r="AQ96" i="315"/>
  <c r="AS96" i="315"/>
  <c r="AQ114" i="315"/>
  <c r="AS114" i="315"/>
  <c r="AQ118" i="315"/>
  <c r="AS118" i="315"/>
  <c r="E330" i="189"/>
  <c r="E330" i="212" s="1"/>
  <c r="E248" i="189"/>
  <c r="E244" i="189"/>
  <c r="E245" i="205"/>
  <c r="E245" i="212"/>
  <c r="E245" i="213"/>
  <c r="E245" i="214"/>
  <c r="E245" i="215"/>
  <c r="E245" i="216"/>
  <c r="E245" i="217"/>
  <c r="E245" i="277"/>
  <c r="E245" i="278"/>
  <c r="E245" i="279"/>
  <c r="E245" i="280"/>
  <c r="E245" i="281"/>
  <c r="E245" i="282"/>
  <c r="E245" i="204"/>
  <c r="AR120" i="315" l="1"/>
  <c r="AQ135" i="315"/>
  <c r="AS74" i="315"/>
  <c r="AR135" i="315"/>
  <c r="AQ120" i="315"/>
  <c r="E330" i="282"/>
  <c r="E330" i="280"/>
  <c r="E330" i="278"/>
  <c r="E330" i="217"/>
  <c r="E330" i="215"/>
  <c r="E330" i="213"/>
  <c r="E330" i="205"/>
  <c r="E330" i="204"/>
  <c r="E330" i="281"/>
  <c r="E330" i="279"/>
  <c r="E330" i="277"/>
  <c r="E330" i="216"/>
  <c r="E330" i="214"/>
  <c r="AS98" i="315" l="1"/>
  <c r="AS120" i="315"/>
  <c r="AS135" i="315"/>
  <c r="F11" i="23" l="1"/>
  <c r="AK39" i="240" l="1"/>
  <c r="AM39" i="240"/>
  <c r="AO39" i="240"/>
  <c r="AQ39" i="240"/>
  <c r="AJ39" i="240"/>
  <c r="AL39" i="240"/>
  <c r="AN39" i="240"/>
  <c r="AP39" i="240"/>
  <c r="AR82" i="315"/>
  <c r="AQ82" i="315"/>
  <c r="AS82" i="315"/>
  <c r="AR28" i="315"/>
  <c r="AQ28" i="315"/>
  <c r="AS28" i="315"/>
  <c r="AQ17" i="315"/>
  <c r="AS17" i="315"/>
  <c r="AQ18" i="315"/>
  <c r="AS18" i="315"/>
  <c r="AQ19" i="315"/>
  <c r="AS19" i="315"/>
  <c r="AR17" i="315"/>
  <c r="AR18" i="315"/>
  <c r="AR19" i="315"/>
  <c r="AQ130" i="315" l="1"/>
  <c r="AQ131" i="315"/>
  <c r="AQ93" i="315"/>
  <c r="AQ94" i="315"/>
  <c r="AQ126" i="315"/>
  <c r="AQ112" i="315" s="1"/>
  <c r="AQ89" i="315"/>
  <c r="AQ115" i="315"/>
  <c r="AQ116" i="315"/>
  <c r="AQ91" i="315"/>
  <c r="AQ128" i="315"/>
  <c r="AQ113" i="315"/>
  <c r="AQ90" i="315"/>
  <c r="AQ97" i="315"/>
  <c r="AQ134" i="315"/>
  <c r="AQ119" i="315"/>
  <c r="AQ111" i="315"/>
  <c r="AR130" i="315"/>
  <c r="AR131" i="315"/>
  <c r="AR89" i="315"/>
  <c r="AR126" i="315"/>
  <c r="AR93" i="315"/>
  <c r="AR94" i="315"/>
  <c r="AR115" i="315"/>
  <c r="AR116" i="315"/>
  <c r="AR91" i="315"/>
  <c r="AR113" i="315"/>
  <c r="AR128" i="315"/>
  <c r="AR90" i="315"/>
  <c r="AR134" i="315"/>
  <c r="AR97" i="315"/>
  <c r="AR119" i="315"/>
  <c r="AS89" i="315"/>
  <c r="AS115" i="315"/>
  <c r="AS116" i="315"/>
  <c r="AS126" i="315"/>
  <c r="AS112" i="315" s="1"/>
  <c r="AS130" i="315"/>
  <c r="AS131" i="315"/>
  <c r="AS93" i="315"/>
  <c r="AS94" i="315"/>
  <c r="AS113" i="315"/>
  <c r="AS91" i="315"/>
  <c r="AS128" i="315"/>
  <c r="AS90" i="315"/>
  <c r="AS134" i="315"/>
  <c r="AS97" i="315"/>
  <c r="AS119" i="315"/>
  <c r="AS111" i="315"/>
  <c r="AS127" i="315" s="1"/>
  <c r="AR111" i="315"/>
  <c r="AR112" i="315" l="1"/>
  <c r="AQ121" i="315"/>
  <c r="AS121" i="315"/>
  <c r="AS136" i="315"/>
  <c r="AS99" i="315"/>
  <c r="AS104" i="315" s="1"/>
  <c r="AR127" i="315"/>
  <c r="AR99" i="315"/>
  <c r="AR104" i="315" s="1"/>
  <c r="AQ127" i="315"/>
  <c r="AQ99" i="315"/>
  <c r="AQ104" i="315" s="1"/>
  <c r="AQ136" i="315" l="1"/>
  <c r="AR136" i="315"/>
  <c r="AR121" i="315"/>
  <c r="AI331" i="189" l="1"/>
  <c r="E35" i="205"/>
  <c r="E34" i="205"/>
  <c r="E33" i="205"/>
  <c r="E32" i="205"/>
  <c r="E35" i="212"/>
  <c r="E34" i="212"/>
  <c r="E33" i="212"/>
  <c r="E32" i="212"/>
  <c r="E35" i="213"/>
  <c r="E34" i="213"/>
  <c r="E33" i="213"/>
  <c r="E32" i="213"/>
  <c r="E35" i="214"/>
  <c r="E34" i="214"/>
  <c r="E33" i="214"/>
  <c r="E32" i="214"/>
  <c r="E35" i="215"/>
  <c r="E34" i="215"/>
  <c r="E33" i="215"/>
  <c r="E32" i="215"/>
  <c r="E35" i="216"/>
  <c r="E34" i="216"/>
  <c r="E33" i="216"/>
  <c r="E32" i="216"/>
  <c r="E35" i="217"/>
  <c r="E34" i="217"/>
  <c r="E33" i="217"/>
  <c r="E32" i="217"/>
  <c r="E35" i="277"/>
  <c r="E34" i="277"/>
  <c r="E33" i="277"/>
  <c r="E32" i="277"/>
  <c r="E35" i="278"/>
  <c r="E34" i="278"/>
  <c r="E33" i="278"/>
  <c r="E32" i="278"/>
  <c r="E35" i="279"/>
  <c r="E34" i="279"/>
  <c r="E33" i="279"/>
  <c r="E32" i="279"/>
  <c r="E35" i="280"/>
  <c r="E34" i="280"/>
  <c r="E33" i="280"/>
  <c r="E32" i="280"/>
  <c r="E35" i="281"/>
  <c r="E34" i="281"/>
  <c r="E33" i="281"/>
  <c r="E32" i="281"/>
  <c r="E35" i="282"/>
  <c r="E34" i="282"/>
  <c r="E33" i="282"/>
  <c r="E32" i="282"/>
  <c r="E35" i="204"/>
  <c r="E34" i="204"/>
  <c r="E33" i="204"/>
  <c r="E32" i="204"/>
  <c r="G249" i="205"/>
  <c r="G248" i="205"/>
  <c r="G247" i="205"/>
  <c r="G249" i="212"/>
  <c r="G248" i="212"/>
  <c r="G247" i="212"/>
  <c r="G249" i="213"/>
  <c r="G248" i="213"/>
  <c r="G247" i="213"/>
  <c r="G249" i="214"/>
  <c r="G248" i="214"/>
  <c r="G247" i="214"/>
  <c r="G249" i="215"/>
  <c r="G248" i="215"/>
  <c r="G247" i="215"/>
  <c r="G249" i="216"/>
  <c r="G248" i="216"/>
  <c r="G247" i="216"/>
  <c r="G249" i="217"/>
  <c r="G248" i="217"/>
  <c r="G247" i="217"/>
  <c r="G249" i="277"/>
  <c r="G248" i="277"/>
  <c r="G247" i="277"/>
  <c r="G249" i="278"/>
  <c r="G248" i="278"/>
  <c r="G247" i="278"/>
  <c r="G249" i="279"/>
  <c r="G248" i="279"/>
  <c r="G247" i="279"/>
  <c r="G249" i="280"/>
  <c r="G248" i="280"/>
  <c r="G247" i="280"/>
  <c r="G249" i="281"/>
  <c r="G248" i="281"/>
  <c r="G247" i="281"/>
  <c r="G249" i="282"/>
  <c r="G248" i="282"/>
  <c r="G247" i="282"/>
  <c r="G249" i="204"/>
  <c r="G248" i="204"/>
  <c r="G247" i="204"/>
  <c r="AQ234" i="189" l="1"/>
  <c r="AP234" i="189"/>
  <c r="AO234" i="189"/>
  <c r="AN234" i="189"/>
  <c r="AM234" i="189"/>
  <c r="AL234" i="189"/>
  <c r="AK234" i="189"/>
  <c r="AJ234" i="189"/>
  <c r="AE307" i="189" l="1"/>
  <c r="AF307" i="189"/>
  <c r="AG307" i="189"/>
  <c r="AH307" i="189"/>
  <c r="AI307" i="189"/>
  <c r="AE308" i="189"/>
  <c r="AF308" i="189"/>
  <c r="AG308" i="189"/>
  <c r="AH308" i="189"/>
  <c r="AI308" i="189"/>
  <c r="AP45" i="240" l="1"/>
  <c r="AN45" i="240"/>
  <c r="AL45" i="240"/>
  <c r="AQ44" i="240"/>
  <c r="AO44" i="240"/>
  <c r="AM44" i="240"/>
  <c r="AK44" i="240"/>
  <c r="AP43" i="240"/>
  <c r="AN43" i="240"/>
  <c r="AL43" i="240"/>
  <c r="AQ42" i="240"/>
  <c r="AO42" i="240"/>
  <c r="AM42" i="240"/>
  <c r="AK42" i="240"/>
  <c r="AP41" i="240"/>
  <c r="AN41" i="240"/>
  <c r="AL41" i="240"/>
  <c r="AQ40" i="240"/>
  <c r="AO40" i="240"/>
  <c r="AM40" i="240"/>
  <c r="AK40" i="240"/>
  <c r="AQ38" i="240"/>
  <c r="AO38" i="240"/>
  <c r="AM38" i="240"/>
  <c r="AK38" i="240"/>
  <c r="AP37" i="240"/>
  <c r="AN37" i="240"/>
  <c r="AL37" i="240"/>
  <c r="AQ36" i="240"/>
  <c r="AO36" i="240"/>
  <c r="AM36" i="240"/>
  <c r="AK36" i="240"/>
  <c r="AP35" i="240"/>
  <c r="AN35" i="240"/>
  <c r="AL35" i="240"/>
  <c r="AQ34" i="240"/>
  <c r="AO34" i="240"/>
  <c r="AM34" i="240"/>
  <c r="AK34" i="240"/>
  <c r="AP33" i="240"/>
  <c r="AN33" i="240"/>
  <c r="AL33" i="240"/>
  <c r="AQ32" i="240"/>
  <c r="AO32" i="240"/>
  <c r="AM32" i="240"/>
  <c r="AK32" i="240"/>
  <c r="AJ44" i="240"/>
  <c r="AJ42" i="240"/>
  <c r="AJ40" i="240"/>
  <c r="AJ38" i="240"/>
  <c r="AJ36" i="240"/>
  <c r="AJ34" i="240"/>
  <c r="AJ32" i="240"/>
  <c r="AQ45" i="240"/>
  <c r="AO45" i="240"/>
  <c r="AM45" i="240"/>
  <c r="AK45" i="240"/>
  <c r="AP44" i="240"/>
  <c r="AN44" i="240"/>
  <c r="AL44" i="240"/>
  <c r="AQ43" i="240"/>
  <c r="AO43" i="240"/>
  <c r="AM43" i="240"/>
  <c r="AK43" i="240"/>
  <c r="AP42" i="240"/>
  <c r="AN42" i="240"/>
  <c r="AL42" i="240"/>
  <c r="AQ41" i="240"/>
  <c r="AO41" i="240"/>
  <c r="AM41" i="240"/>
  <c r="AK41" i="240"/>
  <c r="AP40" i="240"/>
  <c r="AN40" i="240"/>
  <c r="AL40" i="240"/>
  <c r="AP38" i="240"/>
  <c r="AN38" i="240"/>
  <c r="AL38" i="240"/>
  <c r="AQ37" i="240"/>
  <c r="AO37" i="240"/>
  <c r="AM37" i="240"/>
  <c r="AK37" i="240"/>
  <c r="AP36" i="240"/>
  <c r="AN36" i="240"/>
  <c r="AL36" i="240"/>
  <c r="AQ35" i="240"/>
  <c r="AO35" i="240"/>
  <c r="AM35" i="240"/>
  <c r="AK35" i="240"/>
  <c r="AP34" i="240"/>
  <c r="AN34" i="240"/>
  <c r="AL34" i="240"/>
  <c r="AQ33" i="240"/>
  <c r="AO33" i="240"/>
  <c r="AM33" i="240"/>
  <c r="AK33" i="240"/>
  <c r="AP32" i="240"/>
  <c r="AN32" i="240"/>
  <c r="AL32" i="240"/>
  <c r="AJ45" i="240"/>
  <c r="AJ43" i="240"/>
  <c r="AJ41" i="240"/>
  <c r="AJ37" i="240"/>
  <c r="AJ35" i="240"/>
  <c r="AJ33" i="240"/>
  <c r="AF309" i="189"/>
  <c r="AH309" i="189"/>
  <c r="AI309" i="189"/>
  <c r="AG309" i="189"/>
  <c r="AE309" i="189"/>
  <c r="AL46" i="240" l="1"/>
  <c r="AP46" i="240"/>
  <c r="AN46" i="240"/>
  <c r="AK46" i="240"/>
  <c r="AO46" i="240"/>
  <c r="AM46" i="240"/>
  <c r="AQ46" i="240"/>
  <c r="AJ46" i="240"/>
  <c r="AI304" i="189"/>
  <c r="AH304" i="189"/>
  <c r="AG304" i="189"/>
  <c r="AF304" i="189"/>
  <c r="AE304" i="189"/>
  <c r="AI300" i="189"/>
  <c r="AH300" i="189"/>
  <c r="AG300" i="189"/>
  <c r="AF300" i="189"/>
  <c r="AE300" i="189"/>
  <c r="AI296" i="189"/>
  <c r="AH296" i="189"/>
  <c r="AG296" i="189"/>
  <c r="AF296" i="189"/>
  <c r="AE296" i="189"/>
  <c r="AI292" i="189"/>
  <c r="AH292" i="189"/>
  <c r="AG292" i="189"/>
  <c r="AF292" i="189"/>
  <c r="AE292" i="189"/>
  <c r="AI288" i="189"/>
  <c r="AH288" i="189"/>
  <c r="AG288" i="189"/>
  <c r="AF288" i="189"/>
  <c r="AE288" i="189"/>
  <c r="AI284" i="189"/>
  <c r="AH284" i="189"/>
  <c r="AG284" i="189"/>
  <c r="AF284" i="189"/>
  <c r="AE284" i="189"/>
  <c r="AI280" i="189"/>
  <c r="AH280" i="189"/>
  <c r="AG280" i="189"/>
  <c r="AF280" i="189"/>
  <c r="AE280" i="189"/>
  <c r="AI276" i="189"/>
  <c r="AH276" i="189"/>
  <c r="AG276" i="189"/>
  <c r="AF276" i="189"/>
  <c r="AE276" i="189"/>
  <c r="AI272" i="189"/>
  <c r="AH272" i="189"/>
  <c r="AG272" i="189"/>
  <c r="AF272" i="189"/>
  <c r="AE272" i="189"/>
  <c r="AI268" i="189"/>
  <c r="AH268" i="189"/>
  <c r="AG268" i="189"/>
  <c r="AF268" i="189"/>
  <c r="AE268" i="189"/>
  <c r="AI264" i="189"/>
  <c r="AH264" i="189"/>
  <c r="AG264" i="189"/>
  <c r="AF264" i="189"/>
  <c r="AE264" i="189"/>
  <c r="AI260" i="189"/>
  <c r="AH260" i="189"/>
  <c r="AG260" i="189"/>
  <c r="AF260" i="189"/>
  <c r="AE260" i="189"/>
  <c r="AE253" i="189" l="1"/>
  <c r="AG253" i="189"/>
  <c r="AI253" i="189"/>
  <c r="AF259" i="189"/>
  <c r="AF261" i="189" s="1"/>
  <c r="AH259" i="189"/>
  <c r="AH261" i="189" s="1"/>
  <c r="AF263" i="189"/>
  <c r="AF265" i="189" s="1"/>
  <c r="AH263" i="189"/>
  <c r="AH265" i="189" s="1"/>
  <c r="AF267" i="189"/>
  <c r="AF269" i="189" s="1"/>
  <c r="AH267" i="189"/>
  <c r="AH269" i="189" s="1"/>
  <c r="AF271" i="189"/>
  <c r="AF273" i="189" s="1"/>
  <c r="AH271" i="189"/>
  <c r="AH273" i="189" s="1"/>
  <c r="AF275" i="189"/>
  <c r="AF277" i="189" s="1"/>
  <c r="AH275" i="189"/>
  <c r="AH277" i="189" s="1"/>
  <c r="AF279" i="189"/>
  <c r="AF281" i="189" s="1"/>
  <c r="AH279" i="189"/>
  <c r="AH281" i="189" s="1"/>
  <c r="AF283" i="189"/>
  <c r="AF285" i="189" s="1"/>
  <c r="AH283" i="189"/>
  <c r="AH285" i="189" s="1"/>
  <c r="AF287" i="189"/>
  <c r="AF289" i="189" s="1"/>
  <c r="AH287" i="189"/>
  <c r="AH289" i="189" s="1"/>
  <c r="AF291" i="189"/>
  <c r="AF293" i="189" s="1"/>
  <c r="AH291" i="189"/>
  <c r="AH293" i="189" s="1"/>
  <c r="AF295" i="189"/>
  <c r="AF297" i="189" s="1"/>
  <c r="AH295" i="189"/>
  <c r="AH297" i="189" s="1"/>
  <c r="AF299" i="189"/>
  <c r="AF301" i="189" s="1"/>
  <c r="AH299" i="189"/>
  <c r="AH301" i="189" s="1"/>
  <c r="AF303" i="189"/>
  <c r="AF305" i="189" s="1"/>
  <c r="AH303" i="189"/>
  <c r="AH305" i="189" s="1"/>
  <c r="AF253" i="189"/>
  <c r="AH253" i="189"/>
  <c r="AI259" i="189"/>
  <c r="AI261" i="189" s="1"/>
  <c r="AI263" i="189"/>
  <c r="AI265" i="189" s="1"/>
  <c r="AE267" i="189"/>
  <c r="AE269" i="189" s="1"/>
  <c r="AG267" i="189"/>
  <c r="AG269" i="189" s="1"/>
  <c r="AI267" i="189"/>
  <c r="AI269" i="189" s="1"/>
  <c r="AE271" i="189"/>
  <c r="AE273" i="189" s="1"/>
  <c r="AG271" i="189"/>
  <c r="AG273" i="189" s="1"/>
  <c r="AI271" i="189"/>
  <c r="AI273" i="189" s="1"/>
  <c r="AE275" i="189"/>
  <c r="AE277" i="189" s="1"/>
  <c r="AG275" i="189"/>
  <c r="AG277" i="189" s="1"/>
  <c r="AI275" i="189"/>
  <c r="AI277" i="189" s="1"/>
  <c r="AE279" i="189"/>
  <c r="AE281" i="189" s="1"/>
  <c r="AG279" i="189"/>
  <c r="AG281" i="189" s="1"/>
  <c r="AI279" i="189"/>
  <c r="AI281" i="189" s="1"/>
  <c r="AE283" i="189"/>
  <c r="AE285" i="189" s="1"/>
  <c r="AG283" i="189"/>
  <c r="AG285" i="189" s="1"/>
  <c r="AI283" i="189"/>
  <c r="AI285" i="189" s="1"/>
  <c r="AE287" i="189"/>
  <c r="AE289" i="189" s="1"/>
  <c r="AG287" i="189"/>
  <c r="AG289" i="189" s="1"/>
  <c r="AI287" i="189"/>
  <c r="AI289" i="189" s="1"/>
  <c r="AE291" i="189"/>
  <c r="AE293" i="189" s="1"/>
  <c r="AG291" i="189"/>
  <c r="AG293" i="189" s="1"/>
  <c r="AI291" i="189"/>
  <c r="AI293" i="189" s="1"/>
  <c r="AE295" i="189"/>
  <c r="AE297" i="189" s="1"/>
  <c r="AG295" i="189"/>
  <c r="AG297" i="189" s="1"/>
  <c r="AI295" i="189"/>
  <c r="AI297" i="189" s="1"/>
  <c r="AE299" i="189"/>
  <c r="AE301" i="189" s="1"/>
  <c r="AG299" i="189"/>
  <c r="AG301" i="189" s="1"/>
  <c r="AI299" i="189"/>
  <c r="AI301" i="189" s="1"/>
  <c r="AE303" i="189"/>
  <c r="AE305" i="189" s="1"/>
  <c r="AG303" i="189"/>
  <c r="AG305" i="189" s="1"/>
  <c r="AI303" i="189"/>
  <c r="AI305" i="189" s="1"/>
  <c r="AH311" i="189" l="1"/>
  <c r="AE263" i="189"/>
  <c r="AE265" i="189" s="1"/>
  <c r="AE259" i="189"/>
  <c r="AE261" i="189" s="1"/>
  <c r="AH254" i="189"/>
  <c r="AH255" i="189" s="1"/>
  <c r="AF254" i="189"/>
  <c r="AF255" i="189" s="1"/>
  <c r="AI254" i="189"/>
  <c r="AI255" i="189" s="1"/>
  <c r="AG254" i="189"/>
  <c r="AG255" i="189" s="1"/>
  <c r="AE254" i="189"/>
  <c r="AE255" i="189" s="1"/>
  <c r="AG263" i="189"/>
  <c r="AG265" i="189" s="1"/>
  <c r="AG259" i="189"/>
  <c r="AG261" i="189" s="1"/>
  <c r="AI311" i="189"/>
  <c r="AF311" i="189"/>
  <c r="AG311" i="189" l="1"/>
  <c r="AE311" i="189"/>
  <c r="AO464" i="189" l="1"/>
  <c r="AO79" i="197" s="1"/>
  <c r="AK464" i="189"/>
  <c r="AK79" i="197" s="1"/>
  <c r="AJ464" i="189" l="1"/>
  <c r="AJ79" i="197" s="1"/>
  <c r="AL464" i="189"/>
  <c r="AL79" i="197" s="1"/>
  <c r="AP464" i="189"/>
  <c r="AP79" i="197" s="1"/>
  <c r="AM464" i="189"/>
  <c r="AM79" i="197" s="1"/>
  <c r="AN464" i="189"/>
  <c r="AN79" i="197" s="1"/>
  <c r="AQ464" i="189"/>
  <c r="AQ79" i="197" s="1"/>
  <c r="E249" i="204" l="1"/>
  <c r="E249" i="205"/>
  <c r="E249" i="212"/>
  <c r="E249" i="213"/>
  <c r="E249" i="214"/>
  <c r="E249" i="215"/>
  <c r="E249" i="216"/>
  <c r="E249" i="217"/>
  <c r="E249" i="277"/>
  <c r="E249" i="278"/>
  <c r="E249" i="279"/>
  <c r="E249" i="280"/>
  <c r="E249" i="281"/>
  <c r="E249" i="282"/>
  <c r="AQ247" i="189"/>
  <c r="AP247" i="189"/>
  <c r="AO247" i="189"/>
  <c r="AN247" i="189"/>
  <c r="AM247" i="189"/>
  <c r="AL247" i="189"/>
  <c r="AK247" i="189"/>
  <c r="AJ247" i="189"/>
  <c r="E248" i="205"/>
  <c r="E247" i="205"/>
  <c r="E247" i="212"/>
  <c r="E247" i="213"/>
  <c r="E247" i="214"/>
  <c r="E247" i="215"/>
  <c r="E247" i="216"/>
  <c r="E247" i="217"/>
  <c r="E247" i="277"/>
  <c r="E247" i="278"/>
  <c r="E247" i="279"/>
  <c r="E248" i="280"/>
  <c r="E247" i="280"/>
  <c r="E248" i="281"/>
  <c r="E247" i="281"/>
  <c r="E248" i="282"/>
  <c r="E247" i="282"/>
  <c r="E248" i="204"/>
  <c r="E247" i="204"/>
  <c r="E331" i="189"/>
  <c r="AG331" i="189"/>
  <c r="AF331" i="189"/>
  <c r="AE331" i="189"/>
  <c r="AD331" i="189"/>
  <c r="AC331" i="189"/>
  <c r="AB331" i="189"/>
  <c r="AA331" i="189"/>
  <c r="Z331" i="189"/>
  <c r="Y331" i="189"/>
  <c r="X331" i="189"/>
  <c r="W331" i="189"/>
  <c r="V331" i="189"/>
  <c r="U331" i="189"/>
  <c r="T331" i="189"/>
  <c r="S331" i="189"/>
  <c r="R331" i="189"/>
  <c r="Q331" i="189"/>
  <c r="P331" i="189"/>
  <c r="O331" i="189"/>
  <c r="N331" i="189"/>
  <c r="M331" i="189"/>
  <c r="L331" i="189"/>
  <c r="K331" i="189"/>
  <c r="AI331" i="217"/>
  <c r="AI331" i="277"/>
  <c r="AI331" i="278"/>
  <c r="AH331" i="217"/>
  <c r="AH331" i="277"/>
  <c r="AH331" i="278"/>
  <c r="H35" i="205"/>
  <c r="G35" i="205"/>
  <c r="F35" i="205"/>
  <c r="H35" i="212"/>
  <c r="G35" i="212"/>
  <c r="F35" i="212"/>
  <c r="H35" i="213"/>
  <c r="G35" i="213"/>
  <c r="F35" i="213"/>
  <c r="H35" i="214"/>
  <c r="G35" i="214"/>
  <c r="F35" i="214"/>
  <c r="H35" i="215"/>
  <c r="G35" i="215"/>
  <c r="F35" i="215"/>
  <c r="H35" i="216"/>
  <c r="G35" i="216"/>
  <c r="F35" i="216"/>
  <c r="H35" i="217"/>
  <c r="G35" i="217"/>
  <c r="F35" i="217"/>
  <c r="H35" i="277"/>
  <c r="G35" i="277"/>
  <c r="F35" i="277"/>
  <c r="H35" i="278"/>
  <c r="G35" i="278"/>
  <c r="F35" i="278"/>
  <c r="H35" i="279"/>
  <c r="G35" i="279"/>
  <c r="F35" i="279"/>
  <c r="H35" i="280"/>
  <c r="G35" i="280"/>
  <c r="F35" i="280"/>
  <c r="H35" i="281"/>
  <c r="G35" i="281"/>
  <c r="F35" i="281"/>
  <c r="H35" i="282"/>
  <c r="G35" i="282"/>
  <c r="F35" i="282"/>
  <c r="H35" i="204"/>
  <c r="G35" i="204"/>
  <c r="F35" i="204"/>
  <c r="H34" i="205"/>
  <c r="G34" i="205"/>
  <c r="F34" i="205"/>
  <c r="H34" i="212"/>
  <c r="G34" i="212"/>
  <c r="F34" i="212"/>
  <c r="H34" i="213"/>
  <c r="G34" i="213"/>
  <c r="F34" i="213"/>
  <c r="H34" i="214"/>
  <c r="G34" i="214"/>
  <c r="F34" i="214"/>
  <c r="H34" i="215"/>
  <c r="G34" i="215"/>
  <c r="F34" i="215"/>
  <c r="H34" i="216"/>
  <c r="G34" i="216"/>
  <c r="F34" i="216"/>
  <c r="H34" i="217"/>
  <c r="G34" i="217"/>
  <c r="F34" i="217"/>
  <c r="H34" i="277"/>
  <c r="G34" i="277"/>
  <c r="F34" i="277"/>
  <c r="H34" i="278"/>
  <c r="G34" i="278"/>
  <c r="F34" i="278"/>
  <c r="H34" i="279"/>
  <c r="G34" i="279"/>
  <c r="F34" i="279"/>
  <c r="H34" i="280"/>
  <c r="G34" i="280"/>
  <c r="F34" i="280"/>
  <c r="H34" i="281"/>
  <c r="G34" i="281"/>
  <c r="F34" i="281"/>
  <c r="H34" i="282"/>
  <c r="G34" i="282"/>
  <c r="F34" i="282"/>
  <c r="H34" i="204"/>
  <c r="G34" i="204"/>
  <c r="F34" i="204"/>
  <c r="E331" i="205"/>
  <c r="E331" i="212"/>
  <c r="E331" i="213"/>
  <c r="E331" i="214"/>
  <c r="E331" i="215"/>
  <c r="E331" i="216"/>
  <c r="E331" i="217"/>
  <c r="E331" i="277"/>
  <c r="E331" i="278"/>
  <c r="E331" i="279"/>
  <c r="E331" i="280"/>
  <c r="E331" i="281"/>
  <c r="E331" i="282"/>
  <c r="E331" i="204"/>
  <c r="AH331" i="189"/>
  <c r="E248" i="279" l="1"/>
  <c r="E248" i="278"/>
  <c r="E248" i="277"/>
  <c r="E248" i="217"/>
  <c r="E248" i="216"/>
  <c r="E248" i="215"/>
  <c r="E248" i="214"/>
  <c r="E248" i="213"/>
  <c r="E248" i="212"/>
  <c r="AQ333" i="189" l="1"/>
  <c r="AP333" i="189"/>
  <c r="AO333" i="189"/>
  <c r="AN333" i="189"/>
  <c r="AM333" i="189"/>
  <c r="AL333" i="189"/>
  <c r="AK333" i="189"/>
  <c r="AJ333" i="189"/>
  <c r="AQ72" i="187" l="1"/>
  <c r="AP72" i="187"/>
  <c r="AO72" i="187"/>
  <c r="AN72" i="187"/>
  <c r="AM72" i="187"/>
  <c r="AL72" i="187"/>
  <c r="AK72" i="187"/>
  <c r="AJ72" i="187"/>
  <c r="AJ139" i="187"/>
  <c r="AJ140" i="187"/>
  <c r="AJ141" i="187"/>
  <c r="AJ142" i="187"/>
  <c r="AJ143" i="187"/>
  <c r="AJ144" i="187"/>
  <c r="AJ145" i="187"/>
  <c r="AJ146" i="187"/>
  <c r="AJ147" i="187"/>
  <c r="AJ148" i="187"/>
  <c r="AJ149" i="187"/>
  <c r="AJ150" i="187"/>
  <c r="AJ151" i="187"/>
  <c r="AJ152" i="187"/>
  <c r="AQ152" i="187"/>
  <c r="AP152" i="187"/>
  <c r="AO152" i="187"/>
  <c r="AN152" i="187"/>
  <c r="AM152" i="187"/>
  <c r="AL152" i="187"/>
  <c r="AK152" i="187"/>
  <c r="AQ151" i="187"/>
  <c r="AP151" i="187"/>
  <c r="AO151" i="187"/>
  <c r="AN151" i="187"/>
  <c r="AM151" i="187"/>
  <c r="AL151" i="187"/>
  <c r="AK151" i="187"/>
  <c r="AQ150" i="187"/>
  <c r="AP150" i="187"/>
  <c r="AO150" i="187"/>
  <c r="AN150" i="187"/>
  <c r="AM150" i="187"/>
  <c r="AL150" i="187"/>
  <c r="AK150" i="187"/>
  <c r="AJ84" i="187" l="1"/>
  <c r="AQ149" i="187"/>
  <c r="AP149" i="187"/>
  <c r="AO149" i="187"/>
  <c r="AN149" i="187"/>
  <c r="AM149" i="187"/>
  <c r="AL149" i="187"/>
  <c r="AK149" i="187"/>
  <c r="AQ148" i="187"/>
  <c r="AP148" i="187"/>
  <c r="AO148" i="187"/>
  <c r="AN148" i="187"/>
  <c r="AM148" i="187"/>
  <c r="AL148" i="187"/>
  <c r="AK148" i="187"/>
  <c r="AQ147" i="187"/>
  <c r="AP147" i="187"/>
  <c r="AO147" i="187"/>
  <c r="AN147" i="187"/>
  <c r="AM147" i="187"/>
  <c r="AL147" i="187"/>
  <c r="AK147" i="187"/>
  <c r="AQ146" i="187"/>
  <c r="AP146" i="187"/>
  <c r="AO146" i="187"/>
  <c r="AN146" i="187"/>
  <c r="AM146" i="187"/>
  <c r="AL146" i="187"/>
  <c r="AK146" i="187"/>
  <c r="AQ145" i="187"/>
  <c r="AP145" i="187"/>
  <c r="AO145" i="187"/>
  <c r="AN145" i="187"/>
  <c r="AM145" i="187"/>
  <c r="AL145" i="187"/>
  <c r="AK145" i="187"/>
  <c r="AQ144" i="187"/>
  <c r="AP144" i="187"/>
  <c r="AO144" i="187"/>
  <c r="AN144" i="187"/>
  <c r="AM144" i="187"/>
  <c r="AL144" i="187"/>
  <c r="AK144" i="187"/>
  <c r="AQ143" i="187"/>
  <c r="AP143" i="187"/>
  <c r="AO143" i="187"/>
  <c r="AN143" i="187"/>
  <c r="AM143" i="187"/>
  <c r="AL143" i="187"/>
  <c r="AK143" i="187"/>
  <c r="AQ142" i="187"/>
  <c r="AP142" i="187"/>
  <c r="AO142" i="187"/>
  <c r="AN142" i="187"/>
  <c r="AM142" i="187"/>
  <c r="AL142" i="187"/>
  <c r="AK142" i="187"/>
  <c r="AQ141" i="187"/>
  <c r="AP141" i="187"/>
  <c r="AO141" i="187"/>
  <c r="AN141" i="187"/>
  <c r="AM141" i="187"/>
  <c r="AL141" i="187"/>
  <c r="AK141" i="187"/>
  <c r="AQ140" i="187"/>
  <c r="AP140" i="187"/>
  <c r="AO140" i="187"/>
  <c r="AN140" i="187"/>
  <c r="AM140" i="187"/>
  <c r="AL140" i="187"/>
  <c r="AK140" i="187"/>
  <c r="AQ139" i="187"/>
  <c r="AP139" i="187"/>
  <c r="AP84" i="187" s="1"/>
  <c r="AO139" i="187"/>
  <c r="AO84" i="187" s="1"/>
  <c r="AN139" i="187"/>
  <c r="AN84" i="187" s="1"/>
  <c r="AM139" i="187"/>
  <c r="AM84" i="187" s="1"/>
  <c r="AL139" i="187"/>
  <c r="AL84" i="187" s="1"/>
  <c r="AK139" i="187"/>
  <c r="AK84" i="187" s="1"/>
  <c r="AQ84" i="187" l="1"/>
  <c r="AJ308" i="189" l="1"/>
  <c r="G9" i="7" l="1"/>
  <c r="AJ326" i="189" l="1"/>
  <c r="AJ37" i="283" s="1"/>
  <c r="AK326" i="189"/>
  <c r="AL326" i="189"/>
  <c r="AM326" i="189"/>
  <c r="AN326" i="189"/>
  <c r="AO326" i="189"/>
  <c r="AP326" i="189"/>
  <c r="AQ326" i="189"/>
  <c r="AG58" i="217" l="1"/>
  <c r="AH58" i="217" s="1"/>
  <c r="AI58" i="217" s="1"/>
  <c r="AJ58" i="217" s="1"/>
  <c r="AK58" i="217" s="1"/>
  <c r="AL58" i="217" s="1"/>
  <c r="AM58" i="217" s="1"/>
  <c r="AN58" i="217" s="1"/>
  <c r="AO58" i="217" s="1"/>
  <c r="AP58" i="217" s="1"/>
  <c r="AQ58" i="217" s="1"/>
  <c r="AG58" i="277"/>
  <c r="AH58" i="277" s="1"/>
  <c r="AI58" i="277" s="1"/>
  <c r="AJ58" i="277" s="1"/>
  <c r="AK58" i="277" s="1"/>
  <c r="AL58" i="277" s="1"/>
  <c r="AM58" i="277" s="1"/>
  <c r="AN58" i="277" s="1"/>
  <c r="AO58" i="277" s="1"/>
  <c r="AP58" i="277" s="1"/>
  <c r="AQ58" i="277" s="1"/>
  <c r="AG58" i="278"/>
  <c r="AH58" i="278" s="1"/>
  <c r="AI58" i="278" s="1"/>
  <c r="AJ58" i="278" s="1"/>
  <c r="AK58" i="278" s="1"/>
  <c r="AL58" i="278" s="1"/>
  <c r="AM58" i="278" s="1"/>
  <c r="AN58" i="278" s="1"/>
  <c r="AO58" i="278" s="1"/>
  <c r="AP58" i="278" s="1"/>
  <c r="AQ58" i="278" s="1"/>
  <c r="AG57" i="217"/>
  <c r="AH57" i="217" s="1"/>
  <c r="AI57" i="217" s="1"/>
  <c r="AJ57" i="217" s="1"/>
  <c r="AK57" i="217" s="1"/>
  <c r="AL57" i="217" s="1"/>
  <c r="AM57" i="217" s="1"/>
  <c r="AN57" i="217" s="1"/>
  <c r="AO57" i="217" s="1"/>
  <c r="AP57" i="217" s="1"/>
  <c r="AQ57" i="217" s="1"/>
  <c r="AG57" i="277"/>
  <c r="AH57" i="277" s="1"/>
  <c r="AI57" i="277" s="1"/>
  <c r="AJ57" i="277" s="1"/>
  <c r="AK57" i="277" s="1"/>
  <c r="AL57" i="277" s="1"/>
  <c r="AM57" i="277" s="1"/>
  <c r="AN57" i="277" s="1"/>
  <c r="AO57" i="277" s="1"/>
  <c r="AP57" i="277" s="1"/>
  <c r="AQ57" i="277" s="1"/>
  <c r="AG57" i="278"/>
  <c r="AH57" i="278" s="1"/>
  <c r="AI57" i="278" s="1"/>
  <c r="AJ57" i="278" s="1"/>
  <c r="AK57" i="278" s="1"/>
  <c r="AL57" i="278" s="1"/>
  <c r="AM57" i="278" s="1"/>
  <c r="AN57" i="278" s="1"/>
  <c r="AO57" i="278" s="1"/>
  <c r="AP57" i="278" s="1"/>
  <c r="AQ57" i="278" s="1"/>
  <c r="E61" i="161" l="1"/>
  <c r="AK61" i="161" s="1"/>
  <c r="E60" i="161"/>
  <c r="AK60" i="161" s="1"/>
  <c r="F14" i="157" l="1"/>
  <c r="F13" i="157"/>
  <c r="F12" i="157"/>
  <c r="F11" i="157"/>
  <c r="F10" i="157"/>
  <c r="F9" i="157"/>
  <c r="F8" i="157"/>
  <c r="G261" i="204" l="1"/>
  <c r="E261" i="204"/>
  <c r="G260" i="204"/>
  <c r="E260" i="204"/>
  <c r="G259" i="204"/>
  <c r="E259" i="204"/>
  <c r="G261" i="205"/>
  <c r="E261" i="205"/>
  <c r="G260" i="205"/>
  <c r="E260" i="205"/>
  <c r="G259" i="205"/>
  <c r="E259" i="205"/>
  <c r="G261" i="212"/>
  <c r="E261" i="212"/>
  <c r="G260" i="212"/>
  <c r="E260" i="212"/>
  <c r="G259" i="212"/>
  <c r="E259" i="212"/>
  <c r="G261" i="213"/>
  <c r="E261" i="213"/>
  <c r="G260" i="213"/>
  <c r="E260" i="213"/>
  <c r="G259" i="213"/>
  <c r="E259" i="213"/>
  <c r="G261" i="214"/>
  <c r="E261" i="214"/>
  <c r="G260" i="214"/>
  <c r="E260" i="214"/>
  <c r="G259" i="214"/>
  <c r="E259" i="214"/>
  <c r="G261" i="215"/>
  <c r="E261" i="215"/>
  <c r="G260" i="215"/>
  <c r="E260" i="215"/>
  <c r="G259" i="215"/>
  <c r="E259" i="215"/>
  <c r="G261" i="216"/>
  <c r="E261" i="216"/>
  <c r="G260" i="216"/>
  <c r="E260" i="216"/>
  <c r="G259" i="216"/>
  <c r="E259" i="216"/>
  <c r="G261" i="217"/>
  <c r="E261" i="217"/>
  <c r="G260" i="217"/>
  <c r="E260" i="217"/>
  <c r="G259" i="217"/>
  <c r="E259" i="217"/>
  <c r="G261" i="277"/>
  <c r="E261" i="277"/>
  <c r="G260" i="277"/>
  <c r="E260" i="277"/>
  <c r="G259" i="277"/>
  <c r="E259" i="277"/>
  <c r="G261" i="278"/>
  <c r="E261" i="278"/>
  <c r="G260" i="278"/>
  <c r="E260" i="278"/>
  <c r="G259" i="278"/>
  <c r="E259" i="278"/>
  <c r="G261" i="279"/>
  <c r="E261" i="279"/>
  <c r="G260" i="279"/>
  <c r="E260" i="279"/>
  <c r="G259" i="279"/>
  <c r="E259" i="279"/>
  <c r="G261" i="280"/>
  <c r="E261" i="280"/>
  <c r="G260" i="280"/>
  <c r="E260" i="280"/>
  <c r="G259" i="280"/>
  <c r="E259" i="280"/>
  <c r="G261" i="281"/>
  <c r="E261" i="281"/>
  <c r="G260" i="281"/>
  <c r="E260" i="281"/>
  <c r="G259" i="281"/>
  <c r="E259" i="281"/>
  <c r="G261" i="282"/>
  <c r="E261" i="282"/>
  <c r="G260" i="282"/>
  <c r="E260" i="282"/>
  <c r="G259" i="282"/>
  <c r="E259" i="282"/>
  <c r="G265" i="204"/>
  <c r="E265" i="204"/>
  <c r="G264" i="204"/>
  <c r="E264" i="204"/>
  <c r="G263" i="204"/>
  <c r="E263" i="204"/>
  <c r="G265" i="205"/>
  <c r="E265" i="205"/>
  <c r="G264" i="205"/>
  <c r="E264" i="205"/>
  <c r="G263" i="205"/>
  <c r="E263" i="205"/>
  <c r="G265" i="212"/>
  <c r="E265" i="212"/>
  <c r="G264" i="212"/>
  <c r="E264" i="212"/>
  <c r="G263" i="212"/>
  <c r="E263" i="212"/>
  <c r="G265" i="213"/>
  <c r="E265" i="213"/>
  <c r="G264" i="213"/>
  <c r="E264" i="213"/>
  <c r="G263" i="213"/>
  <c r="E263" i="213"/>
  <c r="G265" i="214"/>
  <c r="E265" i="214"/>
  <c r="G264" i="214"/>
  <c r="E264" i="214"/>
  <c r="G263" i="214"/>
  <c r="E263" i="214"/>
  <c r="G265" i="215"/>
  <c r="E265" i="215"/>
  <c r="G264" i="215"/>
  <c r="E264" i="215"/>
  <c r="G263" i="215"/>
  <c r="E263" i="215"/>
  <c r="G265" i="216"/>
  <c r="E265" i="216"/>
  <c r="G264" i="216"/>
  <c r="E264" i="216"/>
  <c r="G263" i="216"/>
  <c r="E263" i="216"/>
  <c r="G265" i="217"/>
  <c r="E265" i="217"/>
  <c r="G264" i="217"/>
  <c r="E264" i="217"/>
  <c r="G263" i="217"/>
  <c r="E263" i="217"/>
  <c r="G265" i="277"/>
  <c r="E265" i="277"/>
  <c r="G264" i="277"/>
  <c r="E264" i="277"/>
  <c r="G263" i="277"/>
  <c r="E263" i="277"/>
  <c r="G265" i="278"/>
  <c r="E265" i="278"/>
  <c r="G264" i="278"/>
  <c r="E264" i="278"/>
  <c r="G263" i="278"/>
  <c r="E263" i="278"/>
  <c r="G265" i="279"/>
  <c r="E265" i="279"/>
  <c r="G264" i="279"/>
  <c r="E264" i="279"/>
  <c r="G263" i="279"/>
  <c r="E263" i="279"/>
  <c r="G265" i="280"/>
  <c r="E265" i="280"/>
  <c r="G264" i="280"/>
  <c r="E264" i="280"/>
  <c r="G263" i="280"/>
  <c r="E263" i="280"/>
  <c r="G265" i="281"/>
  <c r="E265" i="281"/>
  <c r="G264" i="281"/>
  <c r="E264" i="281"/>
  <c r="G263" i="281"/>
  <c r="E263" i="281"/>
  <c r="G265" i="282"/>
  <c r="E265" i="282"/>
  <c r="G264" i="282"/>
  <c r="E264" i="282"/>
  <c r="G263" i="282"/>
  <c r="E263" i="282"/>
  <c r="G269" i="204"/>
  <c r="E269" i="204"/>
  <c r="G268" i="204"/>
  <c r="E268" i="204"/>
  <c r="G267" i="204"/>
  <c r="E267" i="204"/>
  <c r="G269" i="205"/>
  <c r="E269" i="205"/>
  <c r="G268" i="205"/>
  <c r="E268" i="205"/>
  <c r="G267" i="205"/>
  <c r="E267" i="205"/>
  <c r="G269" i="212"/>
  <c r="E269" i="212"/>
  <c r="G268" i="212"/>
  <c r="E268" i="212"/>
  <c r="G267" i="212"/>
  <c r="E267" i="212"/>
  <c r="G269" i="213"/>
  <c r="E269" i="213"/>
  <c r="G268" i="213"/>
  <c r="E268" i="213"/>
  <c r="G267" i="213"/>
  <c r="E267" i="213"/>
  <c r="G269" i="214"/>
  <c r="E269" i="214"/>
  <c r="G268" i="214"/>
  <c r="E268" i="214"/>
  <c r="G267" i="214"/>
  <c r="E267" i="214"/>
  <c r="G269" i="215"/>
  <c r="E269" i="215"/>
  <c r="G268" i="215"/>
  <c r="E268" i="215"/>
  <c r="G267" i="215"/>
  <c r="E267" i="215"/>
  <c r="G269" i="216"/>
  <c r="E269" i="216"/>
  <c r="G268" i="216"/>
  <c r="E268" i="216"/>
  <c r="G267" i="216"/>
  <c r="E267" i="216"/>
  <c r="G269" i="217"/>
  <c r="E269" i="217"/>
  <c r="G268" i="217"/>
  <c r="E268" i="217"/>
  <c r="G267" i="217"/>
  <c r="E267" i="217"/>
  <c r="G269" i="277"/>
  <c r="E269" i="277"/>
  <c r="G268" i="277"/>
  <c r="E268" i="277"/>
  <c r="G267" i="277"/>
  <c r="E267" i="277"/>
  <c r="G269" i="278"/>
  <c r="E269" i="278"/>
  <c r="G268" i="278"/>
  <c r="E268" i="278"/>
  <c r="G267" i="278"/>
  <c r="E267" i="278"/>
  <c r="G269" i="279"/>
  <c r="E269" i="279"/>
  <c r="G268" i="279"/>
  <c r="E268" i="279"/>
  <c r="G267" i="279"/>
  <c r="E267" i="279"/>
  <c r="G269" i="280"/>
  <c r="E269" i="280"/>
  <c r="G268" i="280"/>
  <c r="E268" i="280"/>
  <c r="G267" i="280"/>
  <c r="E267" i="280"/>
  <c r="G269" i="281"/>
  <c r="E269" i="281"/>
  <c r="G268" i="281"/>
  <c r="E268" i="281"/>
  <c r="G267" i="281"/>
  <c r="E267" i="281"/>
  <c r="G269" i="282"/>
  <c r="E269" i="282"/>
  <c r="G268" i="282"/>
  <c r="E268" i="282"/>
  <c r="G267" i="282"/>
  <c r="E267" i="282"/>
  <c r="G273" i="204"/>
  <c r="E273" i="204"/>
  <c r="G272" i="204"/>
  <c r="E272" i="204"/>
  <c r="G271" i="204"/>
  <c r="E271" i="204"/>
  <c r="G273" i="205"/>
  <c r="E273" i="205"/>
  <c r="G272" i="205"/>
  <c r="E272" i="205"/>
  <c r="G271" i="205"/>
  <c r="E271" i="205"/>
  <c r="G273" i="212"/>
  <c r="E273" i="212"/>
  <c r="G272" i="212"/>
  <c r="E272" i="212"/>
  <c r="G271" i="212"/>
  <c r="E271" i="212"/>
  <c r="G273" i="213"/>
  <c r="E273" i="213"/>
  <c r="G272" i="213"/>
  <c r="E272" i="213"/>
  <c r="G271" i="213"/>
  <c r="E271" i="213"/>
  <c r="G273" i="214"/>
  <c r="E273" i="214"/>
  <c r="G272" i="214"/>
  <c r="E272" i="214"/>
  <c r="G271" i="214"/>
  <c r="E271" i="214"/>
  <c r="G273" i="215"/>
  <c r="E273" i="215"/>
  <c r="G272" i="215"/>
  <c r="E272" i="215"/>
  <c r="G271" i="215"/>
  <c r="E271" i="215"/>
  <c r="G273" i="216"/>
  <c r="E273" i="216"/>
  <c r="G272" i="216"/>
  <c r="E272" i="216"/>
  <c r="G271" i="216"/>
  <c r="E271" i="216"/>
  <c r="G273" i="217"/>
  <c r="E273" i="217"/>
  <c r="G272" i="217"/>
  <c r="E272" i="217"/>
  <c r="G271" i="217"/>
  <c r="E271" i="217"/>
  <c r="G273" i="277"/>
  <c r="E273" i="277"/>
  <c r="G272" i="277"/>
  <c r="E272" i="277"/>
  <c r="G271" i="277"/>
  <c r="E271" i="277"/>
  <c r="G273" i="278"/>
  <c r="E273" i="278"/>
  <c r="G272" i="278"/>
  <c r="E272" i="278"/>
  <c r="G271" i="278"/>
  <c r="E271" i="278"/>
  <c r="G273" i="279"/>
  <c r="E273" i="279"/>
  <c r="G272" i="279"/>
  <c r="E272" i="279"/>
  <c r="G271" i="279"/>
  <c r="E271" i="279"/>
  <c r="G273" i="280"/>
  <c r="E273" i="280"/>
  <c r="G272" i="280"/>
  <c r="E272" i="280"/>
  <c r="G271" i="280"/>
  <c r="E271" i="280"/>
  <c r="G273" i="281"/>
  <c r="E273" i="281"/>
  <c r="G272" i="281"/>
  <c r="E272" i="281"/>
  <c r="G271" i="281"/>
  <c r="E271" i="281"/>
  <c r="G273" i="282"/>
  <c r="E273" i="282"/>
  <c r="G272" i="282"/>
  <c r="E272" i="282"/>
  <c r="G271" i="282"/>
  <c r="E271" i="282"/>
  <c r="G277" i="204"/>
  <c r="E277" i="204"/>
  <c r="G276" i="204"/>
  <c r="E276" i="204"/>
  <c r="G275" i="204"/>
  <c r="E275" i="204"/>
  <c r="G277" i="205"/>
  <c r="E277" i="205"/>
  <c r="G276" i="205"/>
  <c r="E276" i="205"/>
  <c r="G275" i="205"/>
  <c r="E275" i="205"/>
  <c r="G277" i="212"/>
  <c r="E277" i="212"/>
  <c r="G276" i="212"/>
  <c r="E276" i="212"/>
  <c r="G275" i="212"/>
  <c r="E275" i="212"/>
  <c r="G277" i="213"/>
  <c r="E277" i="213"/>
  <c r="G276" i="213"/>
  <c r="E276" i="213"/>
  <c r="G275" i="213"/>
  <c r="E275" i="213"/>
  <c r="G277" i="214"/>
  <c r="E277" i="214"/>
  <c r="G276" i="214"/>
  <c r="E276" i="214"/>
  <c r="G275" i="214"/>
  <c r="E275" i="214"/>
  <c r="G277" i="215"/>
  <c r="E277" i="215"/>
  <c r="G276" i="215"/>
  <c r="E276" i="215"/>
  <c r="G275" i="215"/>
  <c r="E275" i="215"/>
  <c r="G277" i="216"/>
  <c r="E277" i="216"/>
  <c r="G276" i="216"/>
  <c r="E276" i="216"/>
  <c r="G275" i="216"/>
  <c r="E275" i="216"/>
  <c r="G277" i="217"/>
  <c r="E277" i="217"/>
  <c r="G276" i="217"/>
  <c r="E276" i="217"/>
  <c r="G275" i="217"/>
  <c r="E275" i="217"/>
  <c r="G277" i="277"/>
  <c r="E277" i="277"/>
  <c r="G276" i="277"/>
  <c r="E276" i="277"/>
  <c r="G275" i="277"/>
  <c r="E275" i="277"/>
  <c r="G277" i="278"/>
  <c r="E277" i="278"/>
  <c r="G276" i="278"/>
  <c r="E276" i="278"/>
  <c r="G275" i="278"/>
  <c r="E275" i="278"/>
  <c r="G277" i="279"/>
  <c r="E277" i="279"/>
  <c r="G276" i="279"/>
  <c r="E276" i="279"/>
  <c r="G275" i="279"/>
  <c r="E275" i="279"/>
  <c r="G277" i="280"/>
  <c r="E277" i="280"/>
  <c r="G276" i="280"/>
  <c r="E276" i="280"/>
  <c r="G275" i="280"/>
  <c r="E275" i="280"/>
  <c r="G277" i="281"/>
  <c r="E277" i="281"/>
  <c r="G276" i="281"/>
  <c r="E276" i="281"/>
  <c r="G275" i="281"/>
  <c r="E275" i="281"/>
  <c r="G277" i="282"/>
  <c r="E277" i="282"/>
  <c r="G276" i="282"/>
  <c r="E276" i="282"/>
  <c r="G275" i="282"/>
  <c r="E275" i="282"/>
  <c r="G281" i="204"/>
  <c r="E281" i="204"/>
  <c r="G280" i="204"/>
  <c r="E280" i="204"/>
  <c r="G279" i="204"/>
  <c r="E279" i="204"/>
  <c r="G281" i="205"/>
  <c r="E281" i="205"/>
  <c r="G280" i="205"/>
  <c r="E280" i="205"/>
  <c r="G279" i="205"/>
  <c r="E279" i="205"/>
  <c r="G281" i="212"/>
  <c r="E281" i="212"/>
  <c r="G280" i="212"/>
  <c r="E280" i="212"/>
  <c r="G279" i="212"/>
  <c r="E279" i="212"/>
  <c r="G281" i="213"/>
  <c r="E281" i="213"/>
  <c r="G280" i="213"/>
  <c r="E280" i="213"/>
  <c r="G279" i="213"/>
  <c r="E279" i="213"/>
  <c r="G281" i="214"/>
  <c r="E281" i="214"/>
  <c r="G280" i="214"/>
  <c r="E280" i="214"/>
  <c r="G279" i="214"/>
  <c r="E279" i="214"/>
  <c r="G281" i="215"/>
  <c r="E281" i="215"/>
  <c r="G280" i="215"/>
  <c r="E280" i="215"/>
  <c r="G279" i="215"/>
  <c r="E279" i="215"/>
  <c r="G281" i="216"/>
  <c r="E281" i="216"/>
  <c r="G280" i="216"/>
  <c r="E280" i="216"/>
  <c r="G279" i="216"/>
  <c r="E279" i="216"/>
  <c r="G281" i="217"/>
  <c r="E281" i="217"/>
  <c r="G280" i="217"/>
  <c r="E280" i="217"/>
  <c r="G279" i="217"/>
  <c r="E279" i="217"/>
  <c r="G281" i="277"/>
  <c r="E281" i="277"/>
  <c r="G280" i="277"/>
  <c r="E280" i="277"/>
  <c r="G279" i="277"/>
  <c r="E279" i="277"/>
  <c r="G281" i="278"/>
  <c r="E281" i="278"/>
  <c r="G280" i="278"/>
  <c r="E280" i="278"/>
  <c r="G279" i="278"/>
  <c r="E279" i="278"/>
  <c r="G281" i="279"/>
  <c r="E281" i="279"/>
  <c r="G280" i="279"/>
  <c r="E280" i="279"/>
  <c r="G279" i="279"/>
  <c r="E279" i="279"/>
  <c r="G281" i="280"/>
  <c r="E281" i="280"/>
  <c r="G280" i="280"/>
  <c r="E280" i="280"/>
  <c r="G279" i="280"/>
  <c r="E279" i="280"/>
  <c r="G281" i="281"/>
  <c r="E281" i="281"/>
  <c r="G280" i="281"/>
  <c r="E280" i="281"/>
  <c r="G279" i="281"/>
  <c r="E279" i="281"/>
  <c r="G281" i="282"/>
  <c r="E281" i="282"/>
  <c r="G280" i="282"/>
  <c r="E280" i="282"/>
  <c r="G279" i="282"/>
  <c r="E279" i="282"/>
  <c r="G285" i="204"/>
  <c r="E285" i="204"/>
  <c r="G284" i="204"/>
  <c r="E284" i="204"/>
  <c r="G283" i="204"/>
  <c r="E283" i="204"/>
  <c r="G285" i="205"/>
  <c r="E285" i="205"/>
  <c r="G284" i="205"/>
  <c r="E284" i="205"/>
  <c r="G283" i="205"/>
  <c r="E283" i="205"/>
  <c r="G285" i="212"/>
  <c r="E285" i="212"/>
  <c r="G284" i="212"/>
  <c r="E284" i="212"/>
  <c r="G283" i="212"/>
  <c r="E283" i="212"/>
  <c r="G285" i="213"/>
  <c r="E285" i="213"/>
  <c r="G284" i="213"/>
  <c r="E284" i="213"/>
  <c r="G283" i="213"/>
  <c r="E283" i="213"/>
  <c r="G285" i="214"/>
  <c r="E285" i="214"/>
  <c r="G284" i="214"/>
  <c r="E284" i="214"/>
  <c r="G283" i="214"/>
  <c r="E283" i="214"/>
  <c r="G285" i="215"/>
  <c r="E285" i="215"/>
  <c r="G284" i="215"/>
  <c r="E284" i="215"/>
  <c r="G283" i="215"/>
  <c r="E283" i="215"/>
  <c r="G285" i="216"/>
  <c r="E285" i="216"/>
  <c r="G284" i="216"/>
  <c r="E284" i="216"/>
  <c r="G283" i="216"/>
  <c r="E283" i="216"/>
  <c r="G285" i="217"/>
  <c r="E285" i="217"/>
  <c r="G284" i="217"/>
  <c r="E284" i="217"/>
  <c r="G283" i="217"/>
  <c r="E283" i="217"/>
  <c r="G285" i="277"/>
  <c r="E285" i="277"/>
  <c r="G284" i="277"/>
  <c r="E284" i="277"/>
  <c r="G283" i="277"/>
  <c r="E283" i="277"/>
  <c r="G285" i="278"/>
  <c r="E285" i="278"/>
  <c r="G284" i="278"/>
  <c r="E284" i="278"/>
  <c r="G283" i="278"/>
  <c r="E283" i="278"/>
  <c r="G285" i="279"/>
  <c r="E285" i="279"/>
  <c r="G284" i="279"/>
  <c r="E284" i="279"/>
  <c r="G283" i="279"/>
  <c r="E283" i="279"/>
  <c r="G285" i="280"/>
  <c r="E285" i="280"/>
  <c r="G284" i="280"/>
  <c r="E284" i="280"/>
  <c r="G283" i="280"/>
  <c r="E283" i="280"/>
  <c r="G285" i="281"/>
  <c r="E285" i="281"/>
  <c r="G284" i="281"/>
  <c r="E284" i="281"/>
  <c r="G283" i="281"/>
  <c r="E283" i="281"/>
  <c r="G285" i="282"/>
  <c r="E285" i="282"/>
  <c r="G284" i="282"/>
  <c r="E284" i="282"/>
  <c r="G283" i="282"/>
  <c r="E283" i="282"/>
  <c r="G289" i="204"/>
  <c r="E289" i="204"/>
  <c r="G288" i="204"/>
  <c r="E288" i="204"/>
  <c r="G287" i="204"/>
  <c r="E287" i="204"/>
  <c r="G289" i="205"/>
  <c r="E289" i="205"/>
  <c r="G288" i="205"/>
  <c r="E288" i="205"/>
  <c r="G287" i="205"/>
  <c r="E287" i="205"/>
  <c r="G289" i="212"/>
  <c r="E289" i="212"/>
  <c r="G288" i="212"/>
  <c r="E288" i="212"/>
  <c r="G287" i="212"/>
  <c r="E287" i="212"/>
  <c r="G289" i="213"/>
  <c r="E289" i="213"/>
  <c r="G288" i="213"/>
  <c r="E288" i="213"/>
  <c r="G287" i="213"/>
  <c r="E287" i="213"/>
  <c r="G289" i="214"/>
  <c r="E289" i="214"/>
  <c r="G288" i="214"/>
  <c r="E288" i="214"/>
  <c r="G287" i="214"/>
  <c r="E287" i="214"/>
  <c r="G289" i="215"/>
  <c r="E289" i="215"/>
  <c r="G288" i="215"/>
  <c r="E288" i="215"/>
  <c r="G287" i="215"/>
  <c r="E287" i="215"/>
  <c r="G289" i="216"/>
  <c r="E289" i="216"/>
  <c r="G288" i="216"/>
  <c r="E288" i="216"/>
  <c r="G287" i="216"/>
  <c r="E287" i="216"/>
  <c r="G289" i="217"/>
  <c r="E289" i="217"/>
  <c r="G288" i="217"/>
  <c r="E288" i="217"/>
  <c r="G287" i="217"/>
  <c r="E287" i="217"/>
  <c r="G289" i="277"/>
  <c r="E289" i="277"/>
  <c r="G288" i="277"/>
  <c r="E288" i="277"/>
  <c r="G287" i="277"/>
  <c r="E287" i="277"/>
  <c r="G289" i="278"/>
  <c r="E289" i="278"/>
  <c r="G288" i="278"/>
  <c r="E288" i="278"/>
  <c r="G287" i="278"/>
  <c r="E287" i="278"/>
  <c r="G289" i="279"/>
  <c r="E289" i="279"/>
  <c r="G288" i="279"/>
  <c r="E288" i="279"/>
  <c r="G287" i="279"/>
  <c r="E287" i="279"/>
  <c r="G289" i="280"/>
  <c r="E289" i="280"/>
  <c r="G288" i="280"/>
  <c r="E288" i="280"/>
  <c r="G287" i="280"/>
  <c r="E287" i="280"/>
  <c r="G289" i="281"/>
  <c r="E289" i="281"/>
  <c r="G288" i="281"/>
  <c r="E288" i="281"/>
  <c r="G287" i="281"/>
  <c r="E287" i="281"/>
  <c r="G289" i="282"/>
  <c r="E289" i="282"/>
  <c r="G288" i="282"/>
  <c r="E288" i="282"/>
  <c r="G287" i="282"/>
  <c r="E287" i="282"/>
  <c r="G293" i="204"/>
  <c r="E293" i="204"/>
  <c r="G292" i="204"/>
  <c r="E292" i="204"/>
  <c r="G291" i="204"/>
  <c r="E291" i="204"/>
  <c r="G293" i="205"/>
  <c r="E293" i="205"/>
  <c r="G292" i="205"/>
  <c r="E292" i="205"/>
  <c r="G291" i="205"/>
  <c r="E291" i="205"/>
  <c r="G293" i="212"/>
  <c r="E293" i="212"/>
  <c r="G292" i="212"/>
  <c r="E292" i="212"/>
  <c r="G291" i="212"/>
  <c r="E291" i="212"/>
  <c r="G293" i="213"/>
  <c r="E293" i="213"/>
  <c r="G292" i="213"/>
  <c r="E292" i="213"/>
  <c r="G291" i="213"/>
  <c r="E291" i="213"/>
  <c r="G293" i="214"/>
  <c r="E293" i="214"/>
  <c r="G292" i="214"/>
  <c r="E292" i="214"/>
  <c r="G291" i="214"/>
  <c r="E291" i="214"/>
  <c r="G293" i="215"/>
  <c r="E293" i="215"/>
  <c r="G292" i="215"/>
  <c r="E292" i="215"/>
  <c r="G291" i="215"/>
  <c r="E291" i="215"/>
  <c r="G293" i="216"/>
  <c r="E293" i="216"/>
  <c r="G292" i="216"/>
  <c r="E292" i="216"/>
  <c r="G291" i="216"/>
  <c r="E291" i="216"/>
  <c r="G293" i="217"/>
  <c r="E293" i="217"/>
  <c r="G292" i="217"/>
  <c r="E292" i="217"/>
  <c r="G291" i="217"/>
  <c r="E291" i="217"/>
  <c r="G293" i="277"/>
  <c r="E293" i="277"/>
  <c r="G292" i="277"/>
  <c r="E292" i="277"/>
  <c r="G291" i="277"/>
  <c r="E291" i="277"/>
  <c r="G293" i="278"/>
  <c r="E293" i="278"/>
  <c r="G292" i="278"/>
  <c r="E292" i="278"/>
  <c r="G291" i="278"/>
  <c r="E291" i="278"/>
  <c r="G293" i="279"/>
  <c r="E293" i="279"/>
  <c r="G292" i="279"/>
  <c r="E292" i="279"/>
  <c r="G291" i="279"/>
  <c r="E291" i="279"/>
  <c r="G293" i="280"/>
  <c r="E293" i="280"/>
  <c r="G292" i="280"/>
  <c r="E292" i="280"/>
  <c r="G291" i="280"/>
  <c r="E291" i="280"/>
  <c r="G293" i="281"/>
  <c r="E293" i="281"/>
  <c r="G292" i="281"/>
  <c r="E292" i="281"/>
  <c r="G291" i="281"/>
  <c r="E291" i="281"/>
  <c r="G293" i="282"/>
  <c r="E293" i="282"/>
  <c r="G292" i="282"/>
  <c r="E292" i="282"/>
  <c r="G291" i="282"/>
  <c r="E291" i="282"/>
  <c r="G297" i="204"/>
  <c r="E297" i="204"/>
  <c r="G296" i="204"/>
  <c r="E296" i="204"/>
  <c r="G295" i="204"/>
  <c r="E295" i="204"/>
  <c r="G297" i="205"/>
  <c r="E297" i="205"/>
  <c r="G296" i="205"/>
  <c r="E296" i="205"/>
  <c r="G295" i="205"/>
  <c r="E295" i="205"/>
  <c r="G297" i="212"/>
  <c r="E297" i="212"/>
  <c r="G296" i="212"/>
  <c r="E296" i="212"/>
  <c r="G295" i="212"/>
  <c r="E295" i="212"/>
  <c r="G297" i="213"/>
  <c r="E297" i="213"/>
  <c r="G296" i="213"/>
  <c r="E296" i="213"/>
  <c r="G295" i="213"/>
  <c r="E295" i="213"/>
  <c r="G297" i="214"/>
  <c r="E297" i="214"/>
  <c r="G296" i="214"/>
  <c r="E296" i="214"/>
  <c r="G295" i="214"/>
  <c r="E295" i="214"/>
  <c r="G297" i="215"/>
  <c r="E297" i="215"/>
  <c r="G296" i="215"/>
  <c r="E296" i="215"/>
  <c r="G295" i="215"/>
  <c r="E295" i="215"/>
  <c r="G297" i="216"/>
  <c r="E297" i="216"/>
  <c r="G296" i="216"/>
  <c r="E296" i="216"/>
  <c r="G295" i="216"/>
  <c r="E295" i="216"/>
  <c r="G297" i="217"/>
  <c r="E297" i="217"/>
  <c r="G296" i="217"/>
  <c r="E296" i="217"/>
  <c r="G295" i="217"/>
  <c r="E295" i="217"/>
  <c r="G297" i="277"/>
  <c r="E297" i="277"/>
  <c r="G296" i="277"/>
  <c r="E296" i="277"/>
  <c r="G295" i="277"/>
  <c r="E295" i="277"/>
  <c r="G297" i="278"/>
  <c r="E297" i="278"/>
  <c r="G296" i="278"/>
  <c r="E296" i="278"/>
  <c r="G295" i="278"/>
  <c r="E295" i="278"/>
  <c r="G297" i="279"/>
  <c r="E297" i="279"/>
  <c r="G296" i="279"/>
  <c r="E296" i="279"/>
  <c r="G295" i="279"/>
  <c r="E295" i="279"/>
  <c r="G297" i="280"/>
  <c r="E297" i="280"/>
  <c r="G296" i="280"/>
  <c r="E296" i="280"/>
  <c r="G295" i="280"/>
  <c r="E295" i="280"/>
  <c r="G297" i="281"/>
  <c r="E297" i="281"/>
  <c r="G296" i="281"/>
  <c r="E296" i="281"/>
  <c r="G295" i="281"/>
  <c r="E295" i="281"/>
  <c r="G297" i="282"/>
  <c r="E297" i="282"/>
  <c r="G296" i="282"/>
  <c r="E296" i="282"/>
  <c r="G295" i="282"/>
  <c r="E295" i="282"/>
  <c r="G301" i="204"/>
  <c r="E301" i="204"/>
  <c r="G300" i="204"/>
  <c r="E300" i="204"/>
  <c r="G299" i="204"/>
  <c r="E299" i="204"/>
  <c r="G301" i="205"/>
  <c r="E301" i="205"/>
  <c r="G300" i="205"/>
  <c r="E300" i="205"/>
  <c r="G299" i="205"/>
  <c r="E299" i="205"/>
  <c r="G301" i="212"/>
  <c r="E301" i="212"/>
  <c r="G300" i="212"/>
  <c r="E300" i="212"/>
  <c r="G299" i="212"/>
  <c r="E299" i="212"/>
  <c r="G301" i="213"/>
  <c r="E301" i="213"/>
  <c r="G300" i="213"/>
  <c r="E300" i="213"/>
  <c r="G299" i="213"/>
  <c r="E299" i="213"/>
  <c r="G301" i="214"/>
  <c r="E301" i="214"/>
  <c r="G300" i="214"/>
  <c r="E300" i="214"/>
  <c r="G299" i="214"/>
  <c r="E299" i="214"/>
  <c r="G301" i="215"/>
  <c r="E301" i="215"/>
  <c r="G300" i="215"/>
  <c r="E300" i="215"/>
  <c r="G299" i="215"/>
  <c r="E299" i="215"/>
  <c r="G301" i="216"/>
  <c r="E301" i="216"/>
  <c r="G300" i="216"/>
  <c r="E300" i="216"/>
  <c r="G299" i="216"/>
  <c r="E299" i="216"/>
  <c r="G301" i="217"/>
  <c r="E301" i="217"/>
  <c r="G300" i="217"/>
  <c r="E300" i="217"/>
  <c r="G299" i="217"/>
  <c r="E299" i="217"/>
  <c r="G301" i="277"/>
  <c r="E301" i="277"/>
  <c r="G300" i="277"/>
  <c r="E300" i="277"/>
  <c r="G299" i="277"/>
  <c r="E299" i="277"/>
  <c r="G301" i="278"/>
  <c r="E301" i="278"/>
  <c r="G300" i="278"/>
  <c r="E300" i="278"/>
  <c r="G299" i="278"/>
  <c r="E299" i="278"/>
  <c r="G301" i="279"/>
  <c r="E301" i="279"/>
  <c r="G300" i="279"/>
  <c r="E300" i="279"/>
  <c r="G299" i="279"/>
  <c r="E299" i="279"/>
  <c r="G301" i="280"/>
  <c r="E301" i="280"/>
  <c r="G300" i="280"/>
  <c r="E300" i="280"/>
  <c r="G299" i="280"/>
  <c r="E299" i="280"/>
  <c r="G301" i="281"/>
  <c r="E301" i="281"/>
  <c r="G300" i="281"/>
  <c r="E300" i="281"/>
  <c r="G299" i="281"/>
  <c r="E299" i="281"/>
  <c r="G301" i="282"/>
  <c r="E301" i="282"/>
  <c r="G300" i="282"/>
  <c r="E300" i="282"/>
  <c r="G299" i="282"/>
  <c r="E299" i="282"/>
  <c r="G305" i="204"/>
  <c r="E305" i="204"/>
  <c r="G304" i="204"/>
  <c r="E304" i="204"/>
  <c r="G305" i="205"/>
  <c r="E305" i="205"/>
  <c r="G304" i="205"/>
  <c r="E304" i="205"/>
  <c r="G305" i="212"/>
  <c r="E305" i="212"/>
  <c r="G304" i="212"/>
  <c r="E304" i="212"/>
  <c r="G305" i="213"/>
  <c r="E305" i="213"/>
  <c r="G304" i="213"/>
  <c r="E304" i="213"/>
  <c r="G305" i="214"/>
  <c r="E305" i="214"/>
  <c r="G304" i="214"/>
  <c r="E304" i="214"/>
  <c r="G305" i="215"/>
  <c r="E305" i="215"/>
  <c r="G304" i="215"/>
  <c r="E304" i="215"/>
  <c r="G305" i="216"/>
  <c r="E305" i="216"/>
  <c r="G304" i="216"/>
  <c r="E304" i="216"/>
  <c r="G305" i="217"/>
  <c r="E305" i="217"/>
  <c r="G304" i="217"/>
  <c r="E304" i="217"/>
  <c r="G305" i="277"/>
  <c r="E305" i="277"/>
  <c r="G304" i="277"/>
  <c r="E304" i="277"/>
  <c r="G305" i="278"/>
  <c r="E305" i="278"/>
  <c r="G304" i="278"/>
  <c r="E304" i="278"/>
  <c r="G305" i="279"/>
  <c r="E305" i="279"/>
  <c r="G304" i="279"/>
  <c r="E304" i="279"/>
  <c r="G305" i="280"/>
  <c r="E305" i="280"/>
  <c r="G304" i="280"/>
  <c r="E304" i="280"/>
  <c r="G305" i="281"/>
  <c r="E305" i="281"/>
  <c r="G304" i="281"/>
  <c r="E304" i="281"/>
  <c r="G305" i="282"/>
  <c r="E305" i="282"/>
  <c r="G304" i="282"/>
  <c r="E304" i="282"/>
  <c r="G309" i="204"/>
  <c r="E309" i="204"/>
  <c r="G309" i="205"/>
  <c r="E309" i="205"/>
  <c r="G309" i="212"/>
  <c r="E309" i="212"/>
  <c r="G309" i="213"/>
  <c r="E309" i="213"/>
  <c r="G309" i="214"/>
  <c r="E309" i="214"/>
  <c r="G309" i="215"/>
  <c r="E309" i="215"/>
  <c r="G309" i="216"/>
  <c r="E309" i="216"/>
  <c r="G309" i="217"/>
  <c r="E309" i="217"/>
  <c r="G309" i="277"/>
  <c r="E309" i="277"/>
  <c r="G309" i="278"/>
  <c r="E309" i="278"/>
  <c r="G309" i="279"/>
  <c r="E309" i="279"/>
  <c r="G309" i="280"/>
  <c r="E309" i="280"/>
  <c r="G309" i="281"/>
  <c r="E309" i="281"/>
  <c r="G309" i="282"/>
  <c r="E309" i="282"/>
  <c r="G308" i="204"/>
  <c r="E308" i="204"/>
  <c r="G308" i="205"/>
  <c r="E308" i="205"/>
  <c r="G308" i="212"/>
  <c r="E308" i="212"/>
  <c r="G308" i="213"/>
  <c r="E308" i="213"/>
  <c r="G308" i="214"/>
  <c r="E308" i="214"/>
  <c r="G308" i="215"/>
  <c r="E308" i="215"/>
  <c r="G308" i="216"/>
  <c r="E308" i="216"/>
  <c r="G308" i="217"/>
  <c r="E308" i="217"/>
  <c r="G308" i="277"/>
  <c r="E308" i="277"/>
  <c r="G308" i="278"/>
  <c r="E308" i="278"/>
  <c r="G308" i="279"/>
  <c r="E308" i="279"/>
  <c r="G308" i="280"/>
  <c r="E308" i="280"/>
  <c r="G308" i="281"/>
  <c r="E308" i="281"/>
  <c r="G308" i="282"/>
  <c r="E308" i="282"/>
  <c r="G307" i="204"/>
  <c r="E307" i="204"/>
  <c r="G307" i="205"/>
  <c r="E307" i="205"/>
  <c r="G307" i="212"/>
  <c r="E307" i="212"/>
  <c r="G307" i="213"/>
  <c r="E307" i="213"/>
  <c r="G307" i="214"/>
  <c r="E307" i="214"/>
  <c r="G307" i="215"/>
  <c r="E307" i="215"/>
  <c r="G307" i="216"/>
  <c r="E307" i="216"/>
  <c r="G307" i="217"/>
  <c r="E307" i="217"/>
  <c r="G307" i="277"/>
  <c r="E307" i="277"/>
  <c r="G307" i="278"/>
  <c r="E307" i="278"/>
  <c r="G307" i="279"/>
  <c r="E307" i="279"/>
  <c r="G307" i="280"/>
  <c r="E307" i="280"/>
  <c r="G307" i="281"/>
  <c r="E307" i="281"/>
  <c r="G307" i="282"/>
  <c r="E307" i="282"/>
  <c r="AI365" i="189" l="1"/>
  <c r="AH365" i="189"/>
  <c r="E41" i="204"/>
  <c r="E41" i="205"/>
  <c r="E41" i="212"/>
  <c r="E41" i="213"/>
  <c r="E41" i="214"/>
  <c r="E41" i="215"/>
  <c r="E41" i="216"/>
  <c r="E41" i="217"/>
  <c r="E41" i="277"/>
  <c r="E41" i="278"/>
  <c r="E41" i="279"/>
  <c r="E41" i="280"/>
  <c r="E41" i="281"/>
  <c r="E41" i="282"/>
  <c r="AI365" i="217"/>
  <c r="AI365" i="277"/>
  <c r="AI365" i="278"/>
  <c r="AH365" i="217"/>
  <c r="AH365" i="277"/>
  <c r="AH365" i="278"/>
  <c r="H41" i="205"/>
  <c r="G41" i="205"/>
  <c r="F41" i="205"/>
  <c r="H41" i="212"/>
  <c r="G41" i="212"/>
  <c r="F41" i="212"/>
  <c r="H41" i="213"/>
  <c r="G41" i="213"/>
  <c r="F41" i="213"/>
  <c r="H41" i="214"/>
  <c r="G41" i="214"/>
  <c r="F41" i="214"/>
  <c r="H41" i="215"/>
  <c r="G41" i="215"/>
  <c r="F41" i="215"/>
  <c r="H41" i="216"/>
  <c r="G41" i="216"/>
  <c r="F41" i="216"/>
  <c r="H41" i="217"/>
  <c r="G41" i="217"/>
  <c r="F41" i="217"/>
  <c r="H41" i="277"/>
  <c r="G41" i="277"/>
  <c r="F41" i="277"/>
  <c r="H41" i="278"/>
  <c r="G41" i="278"/>
  <c r="F41" i="278"/>
  <c r="H41" i="279"/>
  <c r="G41" i="279"/>
  <c r="F41" i="279"/>
  <c r="H41" i="280"/>
  <c r="G41" i="280"/>
  <c r="F41" i="280"/>
  <c r="H41" i="281"/>
  <c r="G41" i="281"/>
  <c r="F41" i="281"/>
  <c r="H41" i="282"/>
  <c r="G41" i="282"/>
  <c r="F41" i="282"/>
  <c r="H41" i="204"/>
  <c r="G41" i="204"/>
  <c r="F41" i="204"/>
  <c r="H40" i="204" l="1"/>
  <c r="H39" i="204"/>
  <c r="H38" i="204"/>
  <c r="H37" i="204"/>
  <c r="H36" i="204"/>
  <c r="H33" i="204"/>
  <c r="H32" i="204"/>
  <c r="H31" i="204"/>
  <c r="H30" i="204"/>
  <c r="H29" i="204"/>
  <c r="H28" i="204"/>
  <c r="H27" i="204"/>
  <c r="H25" i="204"/>
  <c r="H24" i="204"/>
  <c r="H23" i="204"/>
  <c r="H22" i="204"/>
  <c r="H21" i="204"/>
  <c r="H20" i="204"/>
  <c r="H19" i="204"/>
  <c r="H18" i="204"/>
  <c r="H17" i="204"/>
  <c r="H15" i="204"/>
  <c r="H14" i="204"/>
  <c r="H13" i="204"/>
  <c r="H12" i="204"/>
  <c r="H11" i="204"/>
  <c r="H40" i="205"/>
  <c r="H39" i="205"/>
  <c r="H38" i="205"/>
  <c r="H37" i="205"/>
  <c r="H36" i="205"/>
  <c r="H33" i="205"/>
  <c r="H32" i="205"/>
  <c r="H31" i="205"/>
  <c r="H30" i="205"/>
  <c r="H29" i="205"/>
  <c r="H28" i="205"/>
  <c r="H27" i="205"/>
  <c r="H25" i="205"/>
  <c r="H24" i="205"/>
  <c r="H23" i="205"/>
  <c r="H22" i="205"/>
  <c r="H21" i="205"/>
  <c r="H20" i="205"/>
  <c r="H19" i="205"/>
  <c r="H18" i="205"/>
  <c r="H17" i="205"/>
  <c r="H15" i="205"/>
  <c r="H14" i="205"/>
  <c r="H13" i="205"/>
  <c r="H12" i="205"/>
  <c r="H11" i="205"/>
  <c r="H40" i="212"/>
  <c r="H39" i="212"/>
  <c r="H38" i="212"/>
  <c r="H37" i="212"/>
  <c r="H36" i="212"/>
  <c r="H33" i="212"/>
  <c r="H32" i="212"/>
  <c r="H31" i="212"/>
  <c r="H30" i="212"/>
  <c r="H29" i="212"/>
  <c r="H28" i="212"/>
  <c r="H27" i="212"/>
  <c r="H25" i="212"/>
  <c r="H24" i="212"/>
  <c r="H23" i="212"/>
  <c r="H22" i="212"/>
  <c r="H21" i="212"/>
  <c r="H20" i="212"/>
  <c r="H19" i="212"/>
  <c r="H18" i="212"/>
  <c r="H17" i="212"/>
  <c r="H15" i="212"/>
  <c r="H14" i="212"/>
  <c r="H13" i="212"/>
  <c r="H12" i="212"/>
  <c r="H11" i="212"/>
  <c r="H40" i="213"/>
  <c r="H39" i="213"/>
  <c r="H38" i="213"/>
  <c r="H37" i="213"/>
  <c r="H36" i="213"/>
  <c r="H33" i="213"/>
  <c r="H32" i="213"/>
  <c r="H31" i="213"/>
  <c r="H30" i="213"/>
  <c r="H29" i="213"/>
  <c r="H28" i="213"/>
  <c r="H27" i="213"/>
  <c r="H25" i="213"/>
  <c r="H24" i="213"/>
  <c r="H23" i="213"/>
  <c r="H22" i="213"/>
  <c r="H21" i="213"/>
  <c r="H20" i="213"/>
  <c r="H19" i="213"/>
  <c r="H18" i="213"/>
  <c r="H17" i="213"/>
  <c r="H15" i="213"/>
  <c r="H14" i="213"/>
  <c r="H13" i="213"/>
  <c r="H12" i="213"/>
  <c r="H11" i="213"/>
  <c r="H40" i="214"/>
  <c r="H39" i="214"/>
  <c r="H38" i="214"/>
  <c r="H37" i="214"/>
  <c r="H36" i="214"/>
  <c r="H33" i="214"/>
  <c r="H32" i="214"/>
  <c r="H31" i="214"/>
  <c r="H30" i="214"/>
  <c r="H29" i="214"/>
  <c r="H28" i="214"/>
  <c r="H27" i="214"/>
  <c r="H25" i="214"/>
  <c r="H24" i="214"/>
  <c r="H23" i="214"/>
  <c r="H22" i="214"/>
  <c r="H21" i="214"/>
  <c r="H20" i="214"/>
  <c r="H19" i="214"/>
  <c r="H18" i="214"/>
  <c r="H17" i="214"/>
  <c r="H15" i="214"/>
  <c r="H14" i="214"/>
  <c r="H13" i="214"/>
  <c r="H12" i="214"/>
  <c r="H11" i="214"/>
  <c r="H40" i="215"/>
  <c r="H39" i="215"/>
  <c r="H38" i="215"/>
  <c r="H37" i="215"/>
  <c r="H36" i="215"/>
  <c r="H33" i="215"/>
  <c r="H32" i="215"/>
  <c r="H31" i="215"/>
  <c r="H30" i="215"/>
  <c r="H29" i="215"/>
  <c r="H28" i="215"/>
  <c r="H27" i="215"/>
  <c r="H25" i="215"/>
  <c r="H24" i="215"/>
  <c r="H23" i="215"/>
  <c r="H22" i="215"/>
  <c r="H21" i="215"/>
  <c r="H20" i="215"/>
  <c r="H19" i="215"/>
  <c r="H18" i="215"/>
  <c r="H17" i="215"/>
  <c r="H15" i="215"/>
  <c r="H14" i="215"/>
  <c r="H13" i="215"/>
  <c r="H12" i="215"/>
  <c r="H11" i="215"/>
  <c r="H40" i="216"/>
  <c r="H39" i="216"/>
  <c r="H38" i="216"/>
  <c r="H37" i="216"/>
  <c r="H36" i="216"/>
  <c r="H33" i="216"/>
  <c r="H32" i="216"/>
  <c r="H31" i="216"/>
  <c r="H30" i="216"/>
  <c r="H29" i="216"/>
  <c r="H28" i="216"/>
  <c r="H27" i="216"/>
  <c r="H25" i="216"/>
  <c r="H24" i="216"/>
  <c r="H23" i="216"/>
  <c r="H22" i="216"/>
  <c r="H21" i="216"/>
  <c r="H20" i="216"/>
  <c r="H19" i="216"/>
  <c r="H18" i="216"/>
  <c r="H17" i="216"/>
  <c r="H15" i="216"/>
  <c r="H14" i="216"/>
  <c r="H13" i="216"/>
  <c r="H12" i="216"/>
  <c r="H11" i="216"/>
  <c r="H40" i="217"/>
  <c r="H39" i="217"/>
  <c r="H38" i="217"/>
  <c r="H37" i="217"/>
  <c r="H36" i="217"/>
  <c r="H33" i="217"/>
  <c r="H32" i="217"/>
  <c r="H31" i="217"/>
  <c r="H30" i="217"/>
  <c r="H29" i="217"/>
  <c r="H28" i="217"/>
  <c r="H27" i="217"/>
  <c r="H25" i="217"/>
  <c r="H24" i="217"/>
  <c r="H23" i="217"/>
  <c r="H22" i="217"/>
  <c r="H21" i="217"/>
  <c r="H20" i="217"/>
  <c r="H19" i="217"/>
  <c r="H18" i="217"/>
  <c r="H17" i="217"/>
  <c r="H15" i="217"/>
  <c r="H14" i="217"/>
  <c r="H13" i="217"/>
  <c r="H12" i="217"/>
  <c r="H11" i="217"/>
  <c r="H40" i="277"/>
  <c r="H39" i="277"/>
  <c r="H38" i="277"/>
  <c r="H37" i="277"/>
  <c r="H36" i="277"/>
  <c r="H33" i="277"/>
  <c r="H32" i="277"/>
  <c r="H31" i="277"/>
  <c r="H30" i="277"/>
  <c r="H29" i="277"/>
  <c r="H28" i="277"/>
  <c r="H27" i="277"/>
  <c r="H25" i="277"/>
  <c r="H24" i="277"/>
  <c r="H23" i="277"/>
  <c r="H22" i="277"/>
  <c r="H21" i="277"/>
  <c r="H20" i="277"/>
  <c r="H19" i="277"/>
  <c r="H18" i="277"/>
  <c r="H17" i="277"/>
  <c r="H15" i="277"/>
  <c r="H14" i="277"/>
  <c r="H13" i="277"/>
  <c r="H12" i="277"/>
  <c r="H11" i="277"/>
  <c r="H40" i="278"/>
  <c r="H39" i="278"/>
  <c r="H38" i="278"/>
  <c r="H37" i="278"/>
  <c r="H36" i="278"/>
  <c r="H33" i="278"/>
  <c r="H32" i="278"/>
  <c r="H31" i="278"/>
  <c r="H30" i="278"/>
  <c r="H29" i="278"/>
  <c r="H28" i="278"/>
  <c r="H27" i="278"/>
  <c r="H25" i="278"/>
  <c r="H24" i="278"/>
  <c r="H23" i="278"/>
  <c r="H22" i="278"/>
  <c r="H21" i="278"/>
  <c r="H20" i="278"/>
  <c r="H19" i="278"/>
  <c r="H18" i="278"/>
  <c r="H17" i="278"/>
  <c r="H15" i="278"/>
  <c r="H14" i="278"/>
  <c r="H13" i="278"/>
  <c r="H12" i="278"/>
  <c r="H11" i="278"/>
  <c r="H40" i="279"/>
  <c r="H39" i="279"/>
  <c r="H38" i="279"/>
  <c r="H37" i="279"/>
  <c r="H36" i="279"/>
  <c r="H33" i="279"/>
  <c r="H32" i="279"/>
  <c r="H31" i="279"/>
  <c r="H30" i="279"/>
  <c r="H29" i="279"/>
  <c r="H28" i="279"/>
  <c r="H27" i="279"/>
  <c r="H25" i="279"/>
  <c r="H24" i="279"/>
  <c r="H23" i="279"/>
  <c r="H22" i="279"/>
  <c r="H21" i="279"/>
  <c r="H20" i="279"/>
  <c r="H19" i="279"/>
  <c r="H18" i="279"/>
  <c r="H17" i="279"/>
  <c r="H15" i="279"/>
  <c r="H14" i="279"/>
  <c r="H13" i="279"/>
  <c r="H12" i="279"/>
  <c r="H11" i="279"/>
  <c r="H40" i="280"/>
  <c r="H39" i="280"/>
  <c r="H38" i="280"/>
  <c r="H37" i="280"/>
  <c r="H36" i="280"/>
  <c r="H33" i="280"/>
  <c r="H32" i="280"/>
  <c r="H31" i="280"/>
  <c r="H30" i="280"/>
  <c r="H29" i="280"/>
  <c r="H28" i="280"/>
  <c r="H27" i="280"/>
  <c r="H25" i="280"/>
  <c r="H24" i="280"/>
  <c r="H23" i="280"/>
  <c r="H22" i="280"/>
  <c r="H21" i="280"/>
  <c r="H20" i="280"/>
  <c r="H19" i="280"/>
  <c r="H18" i="280"/>
  <c r="H17" i="280"/>
  <c r="H15" i="280"/>
  <c r="H14" i="280"/>
  <c r="H13" i="280"/>
  <c r="H12" i="280"/>
  <c r="H11" i="280"/>
  <c r="H40" i="281"/>
  <c r="H39" i="281"/>
  <c r="H38" i="281"/>
  <c r="H37" i="281"/>
  <c r="H36" i="281"/>
  <c r="H33" i="281"/>
  <c r="H32" i="281"/>
  <c r="H31" i="281"/>
  <c r="H30" i="281"/>
  <c r="H29" i="281"/>
  <c r="H28" i="281"/>
  <c r="H27" i="281"/>
  <c r="H25" i="281"/>
  <c r="H24" i="281"/>
  <c r="H23" i="281"/>
  <c r="H22" i="281"/>
  <c r="H21" i="281"/>
  <c r="H20" i="281"/>
  <c r="H19" i="281"/>
  <c r="H18" i="281"/>
  <c r="H17" i="281"/>
  <c r="H15" i="281"/>
  <c r="H14" i="281"/>
  <c r="H13" i="281"/>
  <c r="H12" i="281"/>
  <c r="H11" i="281"/>
  <c r="H40" i="282"/>
  <c r="H39" i="282"/>
  <c r="H38" i="282"/>
  <c r="H37" i="282"/>
  <c r="H36" i="282"/>
  <c r="H33" i="282"/>
  <c r="H32" i="282"/>
  <c r="H31" i="282"/>
  <c r="H30" i="282"/>
  <c r="H29" i="282"/>
  <c r="H28" i="282"/>
  <c r="H27" i="282"/>
  <c r="H25" i="282"/>
  <c r="H24" i="282"/>
  <c r="H23" i="282"/>
  <c r="H22" i="282"/>
  <c r="H21" i="282"/>
  <c r="H20" i="282"/>
  <c r="H19" i="282"/>
  <c r="H18" i="282"/>
  <c r="H17" i="282"/>
  <c r="H15" i="282"/>
  <c r="H14" i="282"/>
  <c r="H13" i="282"/>
  <c r="H12" i="282"/>
  <c r="H11" i="282"/>
  <c r="F40" i="204"/>
  <c r="F39" i="204"/>
  <c r="F38" i="204"/>
  <c r="F37" i="204"/>
  <c r="F36" i="204"/>
  <c r="F33" i="204"/>
  <c r="F32" i="204"/>
  <c r="F31" i="204"/>
  <c r="F30" i="204"/>
  <c r="F29" i="204"/>
  <c r="F28" i="204"/>
  <c r="F27" i="204"/>
  <c r="F25" i="204"/>
  <c r="F24" i="204"/>
  <c r="F23" i="204"/>
  <c r="F22" i="204"/>
  <c r="F21" i="204"/>
  <c r="F20" i="204"/>
  <c r="F19" i="204"/>
  <c r="F18" i="204"/>
  <c r="F17" i="204"/>
  <c r="F15" i="204"/>
  <c r="F14" i="204"/>
  <c r="F13" i="204"/>
  <c r="F12" i="204"/>
  <c r="F11" i="204"/>
  <c r="F40" i="205"/>
  <c r="F39" i="205"/>
  <c r="F38" i="205"/>
  <c r="F37" i="205"/>
  <c r="F36" i="205"/>
  <c r="F33" i="205"/>
  <c r="F32" i="205"/>
  <c r="F31" i="205"/>
  <c r="F30" i="205"/>
  <c r="F29" i="205"/>
  <c r="F28" i="205"/>
  <c r="F27" i="205"/>
  <c r="F25" i="205"/>
  <c r="F24" i="205"/>
  <c r="F23" i="205"/>
  <c r="F22" i="205"/>
  <c r="F21" i="205"/>
  <c r="F20" i="205"/>
  <c r="F19" i="205"/>
  <c r="F18" i="205"/>
  <c r="F17" i="205"/>
  <c r="F15" i="205"/>
  <c r="F14" i="205"/>
  <c r="F13" i="205"/>
  <c r="F12" i="205"/>
  <c r="F11" i="205"/>
  <c r="F40" i="212"/>
  <c r="F39" i="212"/>
  <c r="F38" i="212"/>
  <c r="F37" i="212"/>
  <c r="F36" i="212"/>
  <c r="F33" i="212"/>
  <c r="F32" i="212"/>
  <c r="F31" i="212"/>
  <c r="F30" i="212"/>
  <c r="F29" i="212"/>
  <c r="F28" i="212"/>
  <c r="F27" i="212"/>
  <c r="F25" i="212"/>
  <c r="F24" i="212"/>
  <c r="F23" i="212"/>
  <c r="F22" i="212"/>
  <c r="F21" i="212"/>
  <c r="F20" i="212"/>
  <c r="F19" i="212"/>
  <c r="F18" i="212"/>
  <c r="F17" i="212"/>
  <c r="F15" i="212"/>
  <c r="F14" i="212"/>
  <c r="F13" i="212"/>
  <c r="F12" i="212"/>
  <c r="F11" i="212"/>
  <c r="F40" i="213"/>
  <c r="F39" i="213"/>
  <c r="F38" i="213"/>
  <c r="F37" i="213"/>
  <c r="F36" i="213"/>
  <c r="F33" i="213"/>
  <c r="F32" i="213"/>
  <c r="F31" i="213"/>
  <c r="F30" i="213"/>
  <c r="F29" i="213"/>
  <c r="F28" i="213"/>
  <c r="F27" i="213"/>
  <c r="F25" i="213"/>
  <c r="F24" i="213"/>
  <c r="F23" i="213"/>
  <c r="F22" i="213"/>
  <c r="F21" i="213"/>
  <c r="F20" i="213"/>
  <c r="F19" i="213"/>
  <c r="F18" i="213"/>
  <c r="F17" i="213"/>
  <c r="F15" i="213"/>
  <c r="F14" i="213"/>
  <c r="F13" i="213"/>
  <c r="F12" i="213"/>
  <c r="F11" i="213"/>
  <c r="F40" i="214"/>
  <c r="F39" i="214"/>
  <c r="F38" i="214"/>
  <c r="F37" i="214"/>
  <c r="F36" i="214"/>
  <c r="F33" i="214"/>
  <c r="F32" i="214"/>
  <c r="F31" i="214"/>
  <c r="F30" i="214"/>
  <c r="F29" i="214"/>
  <c r="F28" i="214"/>
  <c r="F27" i="214"/>
  <c r="F25" i="214"/>
  <c r="F24" i="214"/>
  <c r="F23" i="214"/>
  <c r="F22" i="214"/>
  <c r="F21" i="214"/>
  <c r="F20" i="214"/>
  <c r="F19" i="214"/>
  <c r="F18" i="214"/>
  <c r="F17" i="214"/>
  <c r="F15" i="214"/>
  <c r="F14" i="214"/>
  <c r="F13" i="214"/>
  <c r="F12" i="214"/>
  <c r="F11" i="214"/>
  <c r="F40" i="215"/>
  <c r="F39" i="215"/>
  <c r="F38" i="215"/>
  <c r="F37" i="215"/>
  <c r="F36" i="215"/>
  <c r="F33" i="215"/>
  <c r="F32" i="215"/>
  <c r="F31" i="215"/>
  <c r="F30" i="215"/>
  <c r="F29" i="215"/>
  <c r="F28" i="215"/>
  <c r="F27" i="215"/>
  <c r="F25" i="215"/>
  <c r="F24" i="215"/>
  <c r="F23" i="215"/>
  <c r="F22" i="215"/>
  <c r="F21" i="215"/>
  <c r="F20" i="215"/>
  <c r="F19" i="215"/>
  <c r="F18" i="215"/>
  <c r="F17" i="215"/>
  <c r="F15" i="215"/>
  <c r="F14" i="215"/>
  <c r="F13" i="215"/>
  <c r="F12" i="215"/>
  <c r="F11" i="215"/>
  <c r="F40" i="216"/>
  <c r="F39" i="216"/>
  <c r="F38" i="216"/>
  <c r="F37" i="216"/>
  <c r="F36" i="216"/>
  <c r="F33" i="216"/>
  <c r="F32" i="216"/>
  <c r="F31" i="216"/>
  <c r="F30" i="216"/>
  <c r="F29" i="216"/>
  <c r="F28" i="216"/>
  <c r="F27" i="216"/>
  <c r="F25" i="216"/>
  <c r="F24" i="216"/>
  <c r="F23" i="216"/>
  <c r="F22" i="216"/>
  <c r="F21" i="216"/>
  <c r="F20" i="216"/>
  <c r="F19" i="216"/>
  <c r="F18" i="216"/>
  <c r="F17" i="216"/>
  <c r="F15" i="216"/>
  <c r="F14" i="216"/>
  <c r="F13" i="216"/>
  <c r="F12" i="216"/>
  <c r="F11" i="216"/>
  <c r="F40" i="217"/>
  <c r="F39" i="217"/>
  <c r="F38" i="217"/>
  <c r="F37" i="217"/>
  <c r="F36" i="217"/>
  <c r="F33" i="217"/>
  <c r="F32" i="217"/>
  <c r="F31" i="217"/>
  <c r="F30" i="217"/>
  <c r="F29" i="217"/>
  <c r="F28" i="217"/>
  <c r="F27" i="217"/>
  <c r="F25" i="217"/>
  <c r="F24" i="217"/>
  <c r="F23" i="217"/>
  <c r="F22" i="217"/>
  <c r="F21" i="217"/>
  <c r="F20" i="217"/>
  <c r="F19" i="217"/>
  <c r="F18" i="217"/>
  <c r="F17" i="217"/>
  <c r="F15" i="217"/>
  <c r="F14" i="217"/>
  <c r="F13" i="217"/>
  <c r="F12" i="217"/>
  <c r="F11" i="217"/>
  <c r="F40" i="277"/>
  <c r="F39" i="277"/>
  <c r="F38" i="277"/>
  <c r="F37" i="277"/>
  <c r="F36" i="277"/>
  <c r="F33" i="277"/>
  <c r="F32" i="277"/>
  <c r="F31" i="277"/>
  <c r="F30" i="277"/>
  <c r="F29" i="277"/>
  <c r="F28" i="277"/>
  <c r="F27" i="277"/>
  <c r="F25" i="277"/>
  <c r="F24" i="277"/>
  <c r="F23" i="277"/>
  <c r="F22" i="277"/>
  <c r="F21" i="277"/>
  <c r="F20" i="277"/>
  <c r="F19" i="277"/>
  <c r="F18" i="277"/>
  <c r="F17" i="277"/>
  <c r="F15" i="277"/>
  <c r="F14" i="277"/>
  <c r="F13" i="277"/>
  <c r="F12" i="277"/>
  <c r="F11" i="277"/>
  <c r="F40" i="278"/>
  <c r="F39" i="278"/>
  <c r="F38" i="278"/>
  <c r="F37" i="278"/>
  <c r="F36" i="278"/>
  <c r="F33" i="278"/>
  <c r="F32" i="278"/>
  <c r="F31" i="278"/>
  <c r="F30" i="278"/>
  <c r="F29" i="278"/>
  <c r="F28" i="278"/>
  <c r="F27" i="278"/>
  <c r="F25" i="278"/>
  <c r="F24" i="278"/>
  <c r="F23" i="278"/>
  <c r="F22" i="278"/>
  <c r="F21" i="278"/>
  <c r="F20" i="278"/>
  <c r="F19" i="278"/>
  <c r="F18" i="278"/>
  <c r="F17" i="278"/>
  <c r="F15" i="278"/>
  <c r="F14" i="278"/>
  <c r="F13" i="278"/>
  <c r="F12" i="278"/>
  <c r="F11" i="278"/>
  <c r="F40" i="279"/>
  <c r="F39" i="279"/>
  <c r="F38" i="279"/>
  <c r="F37" i="279"/>
  <c r="F36" i="279"/>
  <c r="F33" i="279"/>
  <c r="F32" i="279"/>
  <c r="F31" i="279"/>
  <c r="F30" i="279"/>
  <c r="F29" i="279"/>
  <c r="F28" i="279"/>
  <c r="F27" i="279"/>
  <c r="F25" i="279"/>
  <c r="F24" i="279"/>
  <c r="F23" i="279"/>
  <c r="F22" i="279"/>
  <c r="F21" i="279"/>
  <c r="F20" i="279"/>
  <c r="F19" i="279"/>
  <c r="F18" i="279"/>
  <c r="F17" i="279"/>
  <c r="F15" i="279"/>
  <c r="F14" i="279"/>
  <c r="F13" i="279"/>
  <c r="F12" i="279"/>
  <c r="F11" i="279"/>
  <c r="F40" i="280"/>
  <c r="F39" i="280"/>
  <c r="F38" i="280"/>
  <c r="F37" i="280"/>
  <c r="F36" i="280"/>
  <c r="F33" i="280"/>
  <c r="F32" i="280"/>
  <c r="F31" i="280"/>
  <c r="F30" i="280"/>
  <c r="F29" i="280"/>
  <c r="F28" i="280"/>
  <c r="F27" i="280"/>
  <c r="F25" i="280"/>
  <c r="F24" i="280"/>
  <c r="F23" i="280"/>
  <c r="F22" i="280"/>
  <c r="F21" i="280"/>
  <c r="F20" i="280"/>
  <c r="F19" i="280"/>
  <c r="F18" i="280"/>
  <c r="F17" i="280"/>
  <c r="F15" i="280"/>
  <c r="F14" i="280"/>
  <c r="F13" i="280"/>
  <c r="F12" i="280"/>
  <c r="F11" i="280"/>
  <c r="F40" i="281"/>
  <c r="F39" i="281"/>
  <c r="F38" i="281"/>
  <c r="F37" i="281"/>
  <c r="F36" i="281"/>
  <c r="F33" i="281"/>
  <c r="F32" i="281"/>
  <c r="F31" i="281"/>
  <c r="F30" i="281"/>
  <c r="F29" i="281"/>
  <c r="F28" i="281"/>
  <c r="F27" i="281"/>
  <c r="F25" i="281"/>
  <c r="F24" i="281"/>
  <c r="F23" i="281"/>
  <c r="F22" i="281"/>
  <c r="F21" i="281"/>
  <c r="F20" i="281"/>
  <c r="F19" i="281"/>
  <c r="F18" i="281"/>
  <c r="F17" i="281"/>
  <c r="F15" i="281"/>
  <c r="F14" i="281"/>
  <c r="F13" i="281"/>
  <c r="F12" i="281"/>
  <c r="F11" i="281"/>
  <c r="F40" i="282"/>
  <c r="F39" i="282"/>
  <c r="F38" i="282"/>
  <c r="F37" i="282"/>
  <c r="F36" i="282"/>
  <c r="F33" i="282"/>
  <c r="F32" i="282"/>
  <c r="F31" i="282"/>
  <c r="F30" i="282"/>
  <c r="F29" i="282"/>
  <c r="F28" i="282"/>
  <c r="F27" i="282"/>
  <c r="F25" i="282"/>
  <c r="F24" i="282"/>
  <c r="F23" i="282"/>
  <c r="F22" i="282"/>
  <c r="F21" i="282"/>
  <c r="F20" i="282"/>
  <c r="F19" i="282"/>
  <c r="F18" i="282"/>
  <c r="F17" i="282"/>
  <c r="F15" i="282"/>
  <c r="F14" i="282"/>
  <c r="F13" i="282"/>
  <c r="F12" i="282"/>
  <c r="F11" i="282"/>
  <c r="G40" i="204"/>
  <c r="G39" i="204"/>
  <c r="G38" i="204"/>
  <c r="G37" i="204"/>
  <c r="G36" i="204"/>
  <c r="G33" i="204"/>
  <c r="G32" i="204"/>
  <c r="G31" i="204"/>
  <c r="G30" i="204"/>
  <c r="G29" i="204"/>
  <c r="G28" i="204"/>
  <c r="G27" i="204"/>
  <c r="G25" i="204"/>
  <c r="G24" i="204"/>
  <c r="G23" i="204"/>
  <c r="G22" i="204"/>
  <c r="G21" i="204"/>
  <c r="G20" i="204"/>
  <c r="G19" i="204"/>
  <c r="G18" i="204"/>
  <c r="G17" i="204"/>
  <c r="G15" i="204"/>
  <c r="G14" i="204"/>
  <c r="G13" i="204"/>
  <c r="G12" i="204"/>
  <c r="G40" i="205"/>
  <c r="G39" i="205"/>
  <c r="G38" i="205"/>
  <c r="G37" i="205"/>
  <c r="G36" i="205"/>
  <c r="G33" i="205"/>
  <c r="G32" i="205"/>
  <c r="G31" i="205"/>
  <c r="G30" i="205"/>
  <c r="G29" i="205"/>
  <c r="G28" i="205"/>
  <c r="G27" i="205"/>
  <c r="G25" i="205"/>
  <c r="G24" i="205"/>
  <c r="G23" i="205"/>
  <c r="G22" i="205"/>
  <c r="G21" i="205"/>
  <c r="G20" i="205"/>
  <c r="G19" i="205"/>
  <c r="G18" i="205"/>
  <c r="G17" i="205"/>
  <c r="G15" i="205"/>
  <c r="G14" i="205"/>
  <c r="G13" i="205"/>
  <c r="G12" i="205"/>
  <c r="G40" i="212"/>
  <c r="G39" i="212"/>
  <c r="G38" i="212"/>
  <c r="G37" i="212"/>
  <c r="G36" i="212"/>
  <c r="G33" i="212"/>
  <c r="G32" i="212"/>
  <c r="G31" i="212"/>
  <c r="G30" i="212"/>
  <c r="G29" i="212"/>
  <c r="G28" i="212"/>
  <c r="G27" i="212"/>
  <c r="G25" i="212"/>
  <c r="G24" i="212"/>
  <c r="G23" i="212"/>
  <c r="G22" i="212"/>
  <c r="G21" i="212"/>
  <c r="G20" i="212"/>
  <c r="G19" i="212"/>
  <c r="G18" i="212"/>
  <c r="G17" i="212"/>
  <c r="G15" i="212"/>
  <c r="G14" i="212"/>
  <c r="G13" i="212"/>
  <c r="G12" i="212"/>
  <c r="G40" i="213"/>
  <c r="G39" i="213"/>
  <c r="G38" i="213"/>
  <c r="G37" i="213"/>
  <c r="G36" i="213"/>
  <c r="G33" i="213"/>
  <c r="G32" i="213"/>
  <c r="G31" i="213"/>
  <c r="G30" i="213"/>
  <c r="G29" i="213"/>
  <c r="G28" i="213"/>
  <c r="G27" i="213"/>
  <c r="G25" i="213"/>
  <c r="G24" i="213"/>
  <c r="G23" i="213"/>
  <c r="G22" i="213"/>
  <c r="G21" i="213"/>
  <c r="G20" i="213"/>
  <c r="G19" i="213"/>
  <c r="G18" i="213"/>
  <c r="G17" i="213"/>
  <c r="G15" i="213"/>
  <c r="G14" i="213"/>
  <c r="G13" i="213"/>
  <c r="G12" i="213"/>
  <c r="G40" i="214"/>
  <c r="G39" i="214"/>
  <c r="G38" i="214"/>
  <c r="G37" i="214"/>
  <c r="G36" i="214"/>
  <c r="G33" i="214"/>
  <c r="G32" i="214"/>
  <c r="G31" i="214"/>
  <c r="G30" i="214"/>
  <c r="G29" i="214"/>
  <c r="G28" i="214"/>
  <c r="G27" i="214"/>
  <c r="G25" i="214"/>
  <c r="G24" i="214"/>
  <c r="G23" i="214"/>
  <c r="G22" i="214"/>
  <c r="G21" i="214"/>
  <c r="G20" i="214"/>
  <c r="G19" i="214"/>
  <c r="G18" i="214"/>
  <c r="G17" i="214"/>
  <c r="G15" i="214"/>
  <c r="G14" i="214"/>
  <c r="G13" i="214"/>
  <c r="G12" i="214"/>
  <c r="G40" i="215"/>
  <c r="G39" i="215"/>
  <c r="G38" i="215"/>
  <c r="G37" i="215"/>
  <c r="G36" i="215"/>
  <c r="G33" i="215"/>
  <c r="G32" i="215"/>
  <c r="G31" i="215"/>
  <c r="G30" i="215"/>
  <c r="G29" i="215"/>
  <c r="G28" i="215"/>
  <c r="G27" i="215"/>
  <c r="G25" i="215"/>
  <c r="G24" i="215"/>
  <c r="G23" i="215"/>
  <c r="G22" i="215"/>
  <c r="G21" i="215"/>
  <c r="G20" i="215"/>
  <c r="G19" i="215"/>
  <c r="G18" i="215"/>
  <c r="G17" i="215"/>
  <c r="G15" i="215"/>
  <c r="G14" i="215"/>
  <c r="G13" i="215"/>
  <c r="G12" i="215"/>
  <c r="G40" i="216"/>
  <c r="G39" i="216"/>
  <c r="G38" i="216"/>
  <c r="G37" i="216"/>
  <c r="G36" i="216"/>
  <c r="G33" i="216"/>
  <c r="G32" i="216"/>
  <c r="G31" i="216"/>
  <c r="G30" i="216"/>
  <c r="G29" i="216"/>
  <c r="G28" i="216"/>
  <c r="G27" i="216"/>
  <c r="G25" i="216"/>
  <c r="G24" i="216"/>
  <c r="G23" i="216"/>
  <c r="G22" i="216"/>
  <c r="G21" i="216"/>
  <c r="G20" i="216"/>
  <c r="G19" i="216"/>
  <c r="G18" i="216"/>
  <c r="G17" i="216"/>
  <c r="G15" i="216"/>
  <c r="G14" i="216"/>
  <c r="G13" i="216"/>
  <c r="G12" i="216"/>
  <c r="G40" i="217"/>
  <c r="G39" i="217"/>
  <c r="G38" i="217"/>
  <c r="G37" i="217"/>
  <c r="G36" i="217"/>
  <c r="G33" i="217"/>
  <c r="G32" i="217"/>
  <c r="G31" i="217"/>
  <c r="G30" i="217"/>
  <c r="G29" i="217"/>
  <c r="G28" i="217"/>
  <c r="G27" i="217"/>
  <c r="G25" i="217"/>
  <c r="G24" i="217"/>
  <c r="G23" i="217"/>
  <c r="G22" i="217"/>
  <c r="G21" i="217"/>
  <c r="G20" i="217"/>
  <c r="G19" i="217"/>
  <c r="G18" i="217"/>
  <c r="G17" i="217"/>
  <c r="G15" i="217"/>
  <c r="G14" i="217"/>
  <c r="G13" i="217"/>
  <c r="G12" i="217"/>
  <c r="G40" i="277"/>
  <c r="G39" i="277"/>
  <c r="G38" i="277"/>
  <c r="G37" i="277"/>
  <c r="G36" i="277"/>
  <c r="G33" i="277"/>
  <c r="G32" i="277"/>
  <c r="G31" i="277"/>
  <c r="G30" i="277"/>
  <c r="G29" i="277"/>
  <c r="G28" i="277"/>
  <c r="G27" i="277"/>
  <c r="G25" i="277"/>
  <c r="G24" i="277"/>
  <c r="G23" i="277"/>
  <c r="G22" i="277"/>
  <c r="G21" i="277"/>
  <c r="G20" i="277"/>
  <c r="G19" i="277"/>
  <c r="G18" i="277"/>
  <c r="G17" i="277"/>
  <c r="G15" i="277"/>
  <c r="G14" i="277"/>
  <c r="G13" i="277"/>
  <c r="G12" i="277"/>
  <c r="G40" i="278"/>
  <c r="G39" i="278"/>
  <c r="G38" i="278"/>
  <c r="G37" i="278"/>
  <c r="G36" i="278"/>
  <c r="G33" i="278"/>
  <c r="G32" i="278"/>
  <c r="G31" i="278"/>
  <c r="G30" i="278"/>
  <c r="G29" i="278"/>
  <c r="G28" i="278"/>
  <c r="G27" i="278"/>
  <c r="G25" i="278"/>
  <c r="G24" i="278"/>
  <c r="G23" i="278"/>
  <c r="G22" i="278"/>
  <c r="G21" i="278"/>
  <c r="G20" i="278"/>
  <c r="G19" i="278"/>
  <c r="G18" i="278"/>
  <c r="G17" i="278"/>
  <c r="G15" i="278"/>
  <c r="G14" i="278"/>
  <c r="G13" i="278"/>
  <c r="G12" i="278"/>
  <c r="G40" i="279"/>
  <c r="G39" i="279"/>
  <c r="G38" i="279"/>
  <c r="G37" i="279"/>
  <c r="G36" i="279"/>
  <c r="G33" i="279"/>
  <c r="G32" i="279"/>
  <c r="G31" i="279"/>
  <c r="G30" i="279"/>
  <c r="G29" i="279"/>
  <c r="G28" i="279"/>
  <c r="G27" i="279"/>
  <c r="G25" i="279"/>
  <c r="G24" i="279"/>
  <c r="G23" i="279"/>
  <c r="G22" i="279"/>
  <c r="G21" i="279"/>
  <c r="G20" i="279"/>
  <c r="G19" i="279"/>
  <c r="G18" i="279"/>
  <c r="G17" i="279"/>
  <c r="G15" i="279"/>
  <c r="G14" i="279"/>
  <c r="G13" i="279"/>
  <c r="G12" i="279"/>
  <c r="G40" i="280"/>
  <c r="G39" i="280"/>
  <c r="G38" i="280"/>
  <c r="G37" i="280"/>
  <c r="G36" i="280"/>
  <c r="G33" i="280"/>
  <c r="G32" i="280"/>
  <c r="G31" i="280"/>
  <c r="G30" i="280"/>
  <c r="G29" i="280"/>
  <c r="G28" i="280"/>
  <c r="G27" i="280"/>
  <c r="G25" i="280"/>
  <c r="G24" i="280"/>
  <c r="G23" i="280"/>
  <c r="G22" i="280"/>
  <c r="G21" i="280"/>
  <c r="G20" i="280"/>
  <c r="G19" i="280"/>
  <c r="G18" i="280"/>
  <c r="G17" i="280"/>
  <c r="G15" i="280"/>
  <c r="G14" i="280"/>
  <c r="G13" i="280"/>
  <c r="G12" i="280"/>
  <c r="G40" i="281"/>
  <c r="G39" i="281"/>
  <c r="G38" i="281"/>
  <c r="G37" i="281"/>
  <c r="G36" i="281"/>
  <c r="G33" i="281"/>
  <c r="G32" i="281"/>
  <c r="G31" i="281"/>
  <c r="G30" i="281"/>
  <c r="G29" i="281"/>
  <c r="G28" i="281"/>
  <c r="G27" i="281"/>
  <c r="G25" i="281"/>
  <c r="G24" i="281"/>
  <c r="G23" i="281"/>
  <c r="G22" i="281"/>
  <c r="G21" i="281"/>
  <c r="G20" i="281"/>
  <c r="G19" i="281"/>
  <c r="G18" i="281"/>
  <c r="G17" i="281"/>
  <c r="G15" i="281"/>
  <c r="G14" i="281"/>
  <c r="G13" i="281"/>
  <c r="G12" i="281"/>
  <c r="G40" i="282"/>
  <c r="G39" i="282"/>
  <c r="G38" i="282"/>
  <c r="G37" i="282"/>
  <c r="G36" i="282"/>
  <c r="G33" i="282"/>
  <c r="G32" i="282"/>
  <c r="G31" i="282"/>
  <c r="G30" i="282"/>
  <c r="G29" i="282"/>
  <c r="G28" i="282"/>
  <c r="G27" i="282"/>
  <c r="G25" i="282"/>
  <c r="G24" i="282"/>
  <c r="G23" i="282"/>
  <c r="G22" i="282"/>
  <c r="G21" i="282"/>
  <c r="G20" i="282"/>
  <c r="G19" i="282"/>
  <c r="G18" i="282"/>
  <c r="G17" i="282"/>
  <c r="G15" i="282"/>
  <c r="G14" i="282"/>
  <c r="G13" i="282"/>
  <c r="G12" i="282"/>
  <c r="E40" i="204"/>
  <c r="E39" i="204"/>
  <c r="E38" i="204"/>
  <c r="E37" i="204"/>
  <c r="E36" i="204"/>
  <c r="E31" i="204"/>
  <c r="E30" i="204"/>
  <c r="E29" i="204"/>
  <c r="E28" i="204"/>
  <c r="E27" i="204"/>
  <c r="E25" i="204"/>
  <c r="E24" i="204"/>
  <c r="E23" i="204"/>
  <c r="E22" i="204"/>
  <c r="E21" i="204"/>
  <c r="E20" i="204"/>
  <c r="E19" i="204"/>
  <c r="E18" i="204"/>
  <c r="E17" i="204"/>
  <c r="E15" i="204"/>
  <c r="E14" i="204"/>
  <c r="E13" i="204"/>
  <c r="E12" i="204"/>
  <c r="E40" i="205"/>
  <c r="E39" i="205"/>
  <c r="E38" i="205"/>
  <c r="E37" i="205"/>
  <c r="E36" i="205"/>
  <c r="E31" i="205"/>
  <c r="E30" i="205"/>
  <c r="E29" i="205"/>
  <c r="E28" i="205"/>
  <c r="E27" i="205"/>
  <c r="E25" i="205"/>
  <c r="E24" i="205"/>
  <c r="E23" i="205"/>
  <c r="E22" i="205"/>
  <c r="E21" i="205"/>
  <c r="E20" i="205"/>
  <c r="E19" i="205"/>
  <c r="E18" i="205"/>
  <c r="E17" i="205"/>
  <c r="E15" i="205"/>
  <c r="E14" i="205"/>
  <c r="E13" i="205"/>
  <c r="E12" i="205"/>
  <c r="E40" i="212"/>
  <c r="E39" i="212"/>
  <c r="E38" i="212"/>
  <c r="E37" i="212"/>
  <c r="E36" i="212"/>
  <c r="E31" i="212"/>
  <c r="E30" i="212"/>
  <c r="E29" i="212"/>
  <c r="E28" i="212"/>
  <c r="E27" i="212"/>
  <c r="E25" i="212"/>
  <c r="E24" i="212"/>
  <c r="E23" i="212"/>
  <c r="E22" i="212"/>
  <c r="E21" i="212"/>
  <c r="E20" i="212"/>
  <c r="E19" i="212"/>
  <c r="E18" i="212"/>
  <c r="E17" i="212"/>
  <c r="E15" i="212"/>
  <c r="E14" i="212"/>
  <c r="E13" i="212"/>
  <c r="E12" i="212"/>
  <c r="E40" i="213"/>
  <c r="E39" i="213"/>
  <c r="E38" i="213"/>
  <c r="E37" i="213"/>
  <c r="E36" i="213"/>
  <c r="E31" i="213"/>
  <c r="E30" i="213"/>
  <c r="E29" i="213"/>
  <c r="E28" i="213"/>
  <c r="E27" i="213"/>
  <c r="E25" i="213"/>
  <c r="E24" i="213"/>
  <c r="E23" i="213"/>
  <c r="E22" i="213"/>
  <c r="E21" i="213"/>
  <c r="E20" i="213"/>
  <c r="E19" i="213"/>
  <c r="E18" i="213"/>
  <c r="E17" i="213"/>
  <c r="E15" i="213"/>
  <c r="E14" i="213"/>
  <c r="E13" i="213"/>
  <c r="E12" i="213"/>
  <c r="E40" i="214"/>
  <c r="E39" i="214"/>
  <c r="E38" i="214"/>
  <c r="E37" i="214"/>
  <c r="E36" i="214"/>
  <c r="E31" i="214"/>
  <c r="E30" i="214"/>
  <c r="E29" i="214"/>
  <c r="E28" i="214"/>
  <c r="E27" i="214"/>
  <c r="E25" i="214"/>
  <c r="E24" i="214"/>
  <c r="E23" i="214"/>
  <c r="E22" i="214"/>
  <c r="E21" i="214"/>
  <c r="E20" i="214"/>
  <c r="E19" i="214"/>
  <c r="E18" i="214"/>
  <c r="E17" i="214"/>
  <c r="E15" i="214"/>
  <c r="E14" i="214"/>
  <c r="E13" i="214"/>
  <c r="E12" i="214"/>
  <c r="E40" i="215"/>
  <c r="E39" i="215"/>
  <c r="E38" i="215"/>
  <c r="E37" i="215"/>
  <c r="E36" i="215"/>
  <c r="E31" i="215"/>
  <c r="E30" i="215"/>
  <c r="E29" i="215"/>
  <c r="E28" i="215"/>
  <c r="E27" i="215"/>
  <c r="E25" i="215"/>
  <c r="E24" i="215"/>
  <c r="E23" i="215"/>
  <c r="E22" i="215"/>
  <c r="E21" i="215"/>
  <c r="E20" i="215"/>
  <c r="E19" i="215"/>
  <c r="E18" i="215"/>
  <c r="E17" i="215"/>
  <c r="E15" i="215"/>
  <c r="E14" i="215"/>
  <c r="E13" i="215"/>
  <c r="E12" i="215"/>
  <c r="E40" i="216"/>
  <c r="E39" i="216"/>
  <c r="E38" i="216"/>
  <c r="E37" i="216"/>
  <c r="E36" i="216"/>
  <c r="E31" i="216"/>
  <c r="E30" i="216"/>
  <c r="E29" i="216"/>
  <c r="E28" i="216"/>
  <c r="E27" i="216"/>
  <c r="E25" i="216"/>
  <c r="E24" i="216"/>
  <c r="E23" i="216"/>
  <c r="E22" i="216"/>
  <c r="E21" i="216"/>
  <c r="E20" i="216"/>
  <c r="E19" i="216"/>
  <c r="E18" i="216"/>
  <c r="E17" i="216"/>
  <c r="E15" i="216"/>
  <c r="E14" i="216"/>
  <c r="E13" i="216"/>
  <c r="E12" i="216"/>
  <c r="E40" i="217"/>
  <c r="E39" i="217"/>
  <c r="E38" i="217"/>
  <c r="E37" i="217"/>
  <c r="E36" i="217"/>
  <c r="E31" i="217"/>
  <c r="E30" i="217"/>
  <c r="E29" i="217"/>
  <c r="E28" i="217"/>
  <c r="E27" i="217"/>
  <c r="E25" i="217"/>
  <c r="E24" i="217"/>
  <c r="E23" i="217"/>
  <c r="E22" i="217"/>
  <c r="E21" i="217"/>
  <c r="E20" i="217"/>
  <c r="E19" i="217"/>
  <c r="E18" i="217"/>
  <c r="E17" i="217"/>
  <c r="E15" i="217"/>
  <c r="E14" i="217"/>
  <c r="E13" i="217"/>
  <c r="E12" i="217"/>
  <c r="E40" i="277"/>
  <c r="E39" i="277"/>
  <c r="E38" i="277"/>
  <c r="E37" i="277"/>
  <c r="E36" i="277"/>
  <c r="E31" i="277"/>
  <c r="E30" i="277"/>
  <c r="E29" i="277"/>
  <c r="E28" i="277"/>
  <c r="E27" i="277"/>
  <c r="E25" i="277"/>
  <c r="E24" i="277"/>
  <c r="E23" i="277"/>
  <c r="E22" i="277"/>
  <c r="E21" i="277"/>
  <c r="E20" i="277"/>
  <c r="E19" i="277"/>
  <c r="E18" i="277"/>
  <c r="E17" i="277"/>
  <c r="E15" i="277"/>
  <c r="E14" i="277"/>
  <c r="E13" i="277"/>
  <c r="E12" i="277"/>
  <c r="E40" i="278"/>
  <c r="E39" i="278"/>
  <c r="E38" i="278"/>
  <c r="E37" i="278"/>
  <c r="E36" i="278"/>
  <c r="E31" i="278"/>
  <c r="E30" i="278"/>
  <c r="E29" i="278"/>
  <c r="E28" i="278"/>
  <c r="E27" i="278"/>
  <c r="E25" i="278"/>
  <c r="E24" i="278"/>
  <c r="E23" i="278"/>
  <c r="E22" i="278"/>
  <c r="E21" i="278"/>
  <c r="E20" i="278"/>
  <c r="E19" i="278"/>
  <c r="E18" i="278"/>
  <c r="E17" i="278"/>
  <c r="E15" i="278"/>
  <c r="E14" i="278"/>
  <c r="E13" i="278"/>
  <c r="E12" i="278"/>
  <c r="E40" i="279"/>
  <c r="E39" i="279"/>
  <c r="E38" i="279"/>
  <c r="E37" i="279"/>
  <c r="E36" i="279"/>
  <c r="E31" i="279"/>
  <c r="E30" i="279"/>
  <c r="E29" i="279"/>
  <c r="E28" i="279"/>
  <c r="E27" i="279"/>
  <c r="E25" i="279"/>
  <c r="E24" i="279"/>
  <c r="E23" i="279"/>
  <c r="E22" i="279"/>
  <c r="E21" i="279"/>
  <c r="E20" i="279"/>
  <c r="E19" i="279"/>
  <c r="E18" i="279"/>
  <c r="E17" i="279"/>
  <c r="E15" i="279"/>
  <c r="E14" i="279"/>
  <c r="E13" i="279"/>
  <c r="E12" i="279"/>
  <c r="E40" i="280"/>
  <c r="E39" i="280"/>
  <c r="E38" i="280"/>
  <c r="E37" i="280"/>
  <c r="E36" i="280"/>
  <c r="E31" i="280"/>
  <c r="E30" i="280"/>
  <c r="E29" i="280"/>
  <c r="E28" i="280"/>
  <c r="E27" i="280"/>
  <c r="E25" i="280"/>
  <c r="E24" i="280"/>
  <c r="E23" i="280"/>
  <c r="E22" i="280"/>
  <c r="E21" i="280"/>
  <c r="E20" i="280"/>
  <c r="E19" i="280"/>
  <c r="E18" i="280"/>
  <c r="E17" i="280"/>
  <c r="E15" i="280"/>
  <c r="E14" i="280"/>
  <c r="E13" i="280"/>
  <c r="E12" i="280"/>
  <c r="E40" i="281"/>
  <c r="E39" i="281"/>
  <c r="E38" i="281"/>
  <c r="E37" i="281"/>
  <c r="E36" i="281"/>
  <c r="E31" i="281"/>
  <c r="E30" i="281"/>
  <c r="E29" i="281"/>
  <c r="E28" i="281"/>
  <c r="E27" i="281"/>
  <c r="E25" i="281"/>
  <c r="E24" i="281"/>
  <c r="E23" i="281"/>
  <c r="E22" i="281"/>
  <c r="E21" i="281"/>
  <c r="E20" i="281"/>
  <c r="E19" i="281"/>
  <c r="E18" i="281"/>
  <c r="E17" i="281"/>
  <c r="E15" i="281"/>
  <c r="E14" i="281"/>
  <c r="E13" i="281"/>
  <c r="E12" i="281"/>
  <c r="E40" i="282"/>
  <c r="E39" i="282"/>
  <c r="E38" i="282"/>
  <c r="E37" i="282"/>
  <c r="E36" i="282"/>
  <c r="E31" i="282"/>
  <c r="E30" i="282"/>
  <c r="E29" i="282"/>
  <c r="E28" i="282"/>
  <c r="E27" i="282"/>
  <c r="E25" i="282"/>
  <c r="E24" i="282"/>
  <c r="E23" i="282"/>
  <c r="E22" i="282"/>
  <c r="E21" i="282"/>
  <c r="E20" i="282"/>
  <c r="E19" i="282"/>
  <c r="E18" i="282"/>
  <c r="E17" i="282"/>
  <c r="E15" i="282"/>
  <c r="E14" i="282"/>
  <c r="E13" i="282"/>
  <c r="E12" i="282"/>
  <c r="E33" i="240" l="1"/>
  <c r="E34" i="240"/>
  <c r="E35" i="240"/>
  <c r="E36" i="240"/>
  <c r="E37" i="240"/>
  <c r="E38" i="240"/>
  <c r="E39" i="240"/>
  <c r="E40" i="240"/>
  <c r="E41" i="240"/>
  <c r="E42" i="240"/>
  <c r="E43" i="240"/>
  <c r="E44" i="240"/>
  <c r="E45" i="240"/>
  <c r="E32" i="240"/>
  <c r="E50" i="240" l="1"/>
  <c r="E67" i="240" s="1"/>
  <c r="E62" i="240"/>
  <c r="E79" i="240" s="1"/>
  <c r="E60" i="240"/>
  <c r="E77" i="240" s="1"/>
  <c r="E58" i="240"/>
  <c r="E75" i="240" s="1"/>
  <c r="E56" i="240"/>
  <c r="E73" i="240" s="1"/>
  <c r="E54" i="240"/>
  <c r="E71" i="240" s="1"/>
  <c r="E52" i="240"/>
  <c r="E69" i="240" s="1"/>
  <c r="E63" i="240"/>
  <c r="E80" i="240" s="1"/>
  <c r="E61" i="240"/>
  <c r="E78" i="240" s="1"/>
  <c r="E59" i="240"/>
  <c r="E76" i="240" s="1"/>
  <c r="E57" i="240"/>
  <c r="E74" i="240" s="1"/>
  <c r="E55" i="240"/>
  <c r="E72" i="240" s="1"/>
  <c r="E53" i="240"/>
  <c r="E70" i="240" s="1"/>
  <c r="E51" i="240"/>
  <c r="E68" i="240" s="1"/>
  <c r="AJ254" i="308" l="1"/>
  <c r="AJ282" i="308" s="1"/>
  <c r="AK254" i="308"/>
  <c r="AK282" i="308" s="1"/>
  <c r="AL254" i="308"/>
  <c r="AL282" i="308" s="1"/>
  <c r="AM254" i="308"/>
  <c r="AM282" i="308" s="1"/>
  <c r="AN254" i="308"/>
  <c r="AN282" i="308" s="1"/>
  <c r="AO254" i="308"/>
  <c r="AO282" i="308" s="1"/>
  <c r="AP254" i="308"/>
  <c r="AP282" i="308" s="1"/>
  <c r="AQ254" i="308"/>
  <c r="AQ282" i="308" s="1"/>
  <c r="AJ271" i="308"/>
  <c r="AK271" i="308"/>
  <c r="AL271" i="308"/>
  <c r="AM271" i="308"/>
  <c r="AN271" i="308"/>
  <c r="AO271" i="308"/>
  <c r="AP271" i="308"/>
  <c r="AQ271" i="308"/>
  <c r="AJ291" i="308"/>
  <c r="E209" i="308"/>
  <c r="AI36" i="308"/>
  <c r="AH36" i="308"/>
  <c r="AN446" i="189" l="1"/>
  <c r="AN34" i="194" s="1"/>
  <c r="AJ447" i="189"/>
  <c r="AJ35" i="194" s="1"/>
  <c r="AJ456" i="189"/>
  <c r="AP446" i="189"/>
  <c r="AP34" i="194" s="1"/>
  <c r="AL446" i="189"/>
  <c r="AL34" i="194" s="1"/>
  <c r="AK446" i="189" l="1"/>
  <c r="AK34" i="194" s="1"/>
  <c r="AM446" i="189"/>
  <c r="AM34" i="194" s="1"/>
  <c r="AO446" i="189"/>
  <c r="AO34" i="194" s="1"/>
  <c r="AQ446" i="189"/>
  <c r="AQ34" i="194" s="1"/>
  <c r="AK447" i="189"/>
  <c r="AK35" i="194" s="1"/>
  <c r="AM447" i="189"/>
  <c r="AM35" i="194" s="1"/>
  <c r="AO447" i="189"/>
  <c r="AO35" i="194" s="1"/>
  <c r="AQ447" i="189"/>
  <c r="AQ35" i="194" s="1"/>
  <c r="AL447" i="189"/>
  <c r="AL35" i="194" s="1"/>
  <c r="AN447" i="189"/>
  <c r="AN35" i="194" s="1"/>
  <c r="AP447" i="189"/>
  <c r="AP35" i="194" s="1"/>
  <c r="AJ446" i="189"/>
  <c r="AJ34" i="194" s="1"/>
  <c r="AQ343" i="189" l="1"/>
  <c r="AP343" i="189"/>
  <c r="AO343" i="189"/>
  <c r="AN343" i="189"/>
  <c r="AM343" i="189"/>
  <c r="AL343" i="189"/>
  <c r="AK343" i="189"/>
  <c r="AJ343" i="189"/>
  <c r="I328" i="189" l="1"/>
  <c r="E257" i="283" l="1"/>
  <c r="E256" i="283"/>
  <c r="E255" i="283"/>
  <c r="E254" i="283"/>
  <c r="E253" i="283"/>
  <c r="E252" i="283"/>
  <c r="E251" i="283"/>
  <c r="E250" i="283"/>
  <c r="E249" i="283"/>
  <c r="E248" i="283"/>
  <c r="E247" i="283"/>
  <c r="E246" i="283"/>
  <c r="E245" i="283"/>
  <c r="E244" i="283"/>
  <c r="E243" i="283"/>
  <c r="E242" i="283"/>
  <c r="E241" i="283"/>
  <c r="E240" i="283"/>
  <c r="E239" i="283"/>
  <c r="E238" i="283"/>
  <c r="E237" i="283"/>
  <c r="E236" i="283"/>
  <c r="E235" i="283"/>
  <c r="E234" i="283"/>
  <c r="E233" i="283"/>
  <c r="E232" i="283"/>
  <c r="E231" i="283"/>
  <c r="E230" i="283"/>
  <c r="E229" i="283"/>
  <c r="E228" i="283"/>
  <c r="E227" i="283"/>
  <c r="E226" i="283"/>
  <c r="E225" i="283"/>
  <c r="G29" i="7"/>
  <c r="E45" i="194" l="1"/>
  <c r="E209" i="161"/>
  <c r="E43" i="194" l="1"/>
  <c r="E78" i="7" l="1"/>
  <c r="AQ442" i="189"/>
  <c r="AP442" i="189"/>
  <c r="AO442" i="189"/>
  <c r="AN442" i="189"/>
  <c r="AM442" i="189"/>
  <c r="AL442" i="189"/>
  <c r="AK442" i="189"/>
  <c r="AJ442" i="189"/>
  <c r="AQ437" i="189"/>
  <c r="AP437" i="189"/>
  <c r="AO437" i="189"/>
  <c r="AN437" i="189"/>
  <c r="AM437" i="189"/>
  <c r="AL437" i="189"/>
  <c r="AK437" i="189"/>
  <c r="AJ437" i="189"/>
  <c r="AQ436" i="189"/>
  <c r="AP436" i="189"/>
  <c r="AO436" i="189"/>
  <c r="AN436" i="189"/>
  <c r="AM436" i="189"/>
  <c r="AL436" i="189"/>
  <c r="AK436" i="189"/>
  <c r="AJ436" i="189"/>
  <c r="AQ421" i="189"/>
  <c r="AP421" i="189"/>
  <c r="AO421" i="189"/>
  <c r="AN421" i="189"/>
  <c r="AM421" i="189"/>
  <c r="AL421" i="189"/>
  <c r="AK421" i="189"/>
  <c r="AJ421" i="189"/>
  <c r="AQ418" i="189"/>
  <c r="AP418" i="189"/>
  <c r="AO418" i="189"/>
  <c r="AN418" i="189"/>
  <c r="AM418" i="189"/>
  <c r="AL418" i="189"/>
  <c r="AK418" i="189"/>
  <c r="AJ418" i="189"/>
  <c r="AQ417" i="189"/>
  <c r="AP417" i="189"/>
  <c r="AO417" i="189"/>
  <c r="AN417" i="189"/>
  <c r="AM417" i="189"/>
  <c r="AL417" i="189"/>
  <c r="AK417" i="189"/>
  <c r="AJ417" i="189"/>
  <c r="AQ416" i="189"/>
  <c r="AP416" i="189"/>
  <c r="AO416" i="189"/>
  <c r="AN416" i="189"/>
  <c r="AM416" i="189"/>
  <c r="AL416" i="189"/>
  <c r="AK416" i="189"/>
  <c r="AJ416" i="189"/>
  <c r="AQ415" i="189"/>
  <c r="AP415" i="189"/>
  <c r="AO415" i="189"/>
  <c r="AN415" i="189"/>
  <c r="AM415" i="189"/>
  <c r="AL415" i="189"/>
  <c r="AK415" i="189"/>
  <c r="AJ415" i="189"/>
  <c r="AQ411" i="189"/>
  <c r="AP411" i="189"/>
  <c r="AO411" i="189"/>
  <c r="AN411" i="189"/>
  <c r="AM411" i="189"/>
  <c r="AL411" i="189"/>
  <c r="AK411" i="189"/>
  <c r="AJ411" i="189"/>
  <c r="AQ408" i="189"/>
  <c r="AP408" i="189"/>
  <c r="AO408" i="189"/>
  <c r="AN408" i="189"/>
  <c r="AM408" i="189"/>
  <c r="AL408" i="189"/>
  <c r="AK408" i="189"/>
  <c r="AJ408" i="189"/>
  <c r="AQ407" i="189"/>
  <c r="AP407" i="189"/>
  <c r="AO407" i="189"/>
  <c r="AN407" i="189"/>
  <c r="AM407" i="189"/>
  <c r="AL407" i="189"/>
  <c r="AK407" i="189"/>
  <c r="AJ407" i="189"/>
  <c r="AQ406" i="189"/>
  <c r="AP406" i="189"/>
  <c r="AO406" i="189"/>
  <c r="AN406" i="189"/>
  <c r="AM406" i="189"/>
  <c r="AL406" i="189"/>
  <c r="AK406" i="189"/>
  <c r="AJ406" i="189"/>
  <c r="AQ405" i="189"/>
  <c r="AP405" i="189"/>
  <c r="AO405" i="189"/>
  <c r="AN405" i="189"/>
  <c r="AM405" i="189"/>
  <c r="AL405" i="189"/>
  <c r="AK405" i="189"/>
  <c r="AJ405" i="189"/>
  <c r="AQ401" i="189"/>
  <c r="AP401" i="189"/>
  <c r="AO401" i="189"/>
  <c r="AN401" i="189"/>
  <c r="AM401" i="189"/>
  <c r="AL401" i="189"/>
  <c r="AK401" i="189"/>
  <c r="AJ401" i="189"/>
  <c r="AQ398" i="189"/>
  <c r="AP398" i="189"/>
  <c r="AO398" i="189"/>
  <c r="AN398" i="189"/>
  <c r="AM398" i="189"/>
  <c r="AL398" i="189"/>
  <c r="AK398" i="189"/>
  <c r="AJ398" i="189"/>
  <c r="AQ397" i="189"/>
  <c r="AP397" i="189"/>
  <c r="AO397" i="189"/>
  <c r="AN397" i="189"/>
  <c r="AM397" i="189"/>
  <c r="AL397" i="189"/>
  <c r="AK397" i="189"/>
  <c r="AJ397" i="189"/>
  <c r="AQ396" i="189"/>
  <c r="AP396" i="189"/>
  <c r="AO396" i="189"/>
  <c r="AN396" i="189"/>
  <c r="AM396" i="189"/>
  <c r="AL396" i="189"/>
  <c r="AK396" i="189"/>
  <c r="AJ396" i="189"/>
  <c r="AQ395" i="189"/>
  <c r="AP395" i="189"/>
  <c r="AO395" i="189"/>
  <c r="AN395" i="189"/>
  <c r="AM395" i="189"/>
  <c r="AL395" i="189"/>
  <c r="AK395" i="189"/>
  <c r="AJ395" i="189"/>
  <c r="AQ391" i="189"/>
  <c r="AP391" i="189"/>
  <c r="AO391" i="189"/>
  <c r="AN391" i="189"/>
  <c r="AM391" i="189"/>
  <c r="AL391" i="189"/>
  <c r="AK391" i="189"/>
  <c r="AJ391" i="189"/>
  <c r="AQ388" i="189"/>
  <c r="AQ44" i="195" s="1"/>
  <c r="AP388" i="189"/>
  <c r="AP44" i="195" s="1"/>
  <c r="AO388" i="189"/>
  <c r="AO44" i="195" s="1"/>
  <c r="AN388" i="189"/>
  <c r="AN44" i="195" s="1"/>
  <c r="AM388" i="189"/>
  <c r="AM44" i="195" s="1"/>
  <c r="AL388" i="189"/>
  <c r="AL44" i="195" s="1"/>
  <c r="AK388" i="189"/>
  <c r="AK44" i="195" s="1"/>
  <c r="AJ388" i="189"/>
  <c r="AQ387" i="189"/>
  <c r="AP387" i="189"/>
  <c r="AO387" i="189"/>
  <c r="AN387" i="189"/>
  <c r="AM387" i="189"/>
  <c r="AL387" i="189"/>
  <c r="AK387" i="189"/>
  <c r="AJ387" i="189"/>
  <c r="AQ386" i="189"/>
  <c r="AP386" i="189"/>
  <c r="AO386" i="189"/>
  <c r="AN386" i="189"/>
  <c r="AM386" i="189"/>
  <c r="AL386" i="189"/>
  <c r="AK386" i="189"/>
  <c r="AJ386" i="189"/>
  <c r="AQ385" i="189"/>
  <c r="AP385" i="189"/>
  <c r="AO385" i="189"/>
  <c r="AN385" i="189"/>
  <c r="AM385" i="189"/>
  <c r="AL385" i="189"/>
  <c r="AK385" i="189"/>
  <c r="AJ385" i="189"/>
  <c r="AQ381" i="189"/>
  <c r="AP381" i="189"/>
  <c r="AO381" i="189"/>
  <c r="AN381" i="189"/>
  <c r="AM381" i="189"/>
  <c r="AL381" i="189"/>
  <c r="AK381" i="189"/>
  <c r="AJ381" i="189"/>
  <c r="AQ378" i="189"/>
  <c r="AP378" i="189"/>
  <c r="AO378" i="189"/>
  <c r="AN378" i="189"/>
  <c r="AM378" i="189"/>
  <c r="AL378" i="189"/>
  <c r="AK378" i="189"/>
  <c r="AJ378" i="189"/>
  <c r="AQ377" i="189"/>
  <c r="AP377" i="189"/>
  <c r="AO377" i="189"/>
  <c r="AN377" i="189"/>
  <c r="AM377" i="189"/>
  <c r="AL377" i="189"/>
  <c r="AK377" i="189"/>
  <c r="AJ377" i="189"/>
  <c r="AQ376" i="189"/>
  <c r="AP376" i="189"/>
  <c r="AO376" i="189"/>
  <c r="AN376" i="189"/>
  <c r="AM376" i="189"/>
  <c r="AL376" i="189"/>
  <c r="AK376" i="189"/>
  <c r="AJ376" i="189"/>
  <c r="AQ375" i="189"/>
  <c r="AP375" i="189"/>
  <c r="AO375" i="189"/>
  <c r="AN375" i="189"/>
  <c r="AM375" i="189"/>
  <c r="AL375" i="189"/>
  <c r="AK375" i="189"/>
  <c r="AJ375" i="189"/>
  <c r="AQ347" i="189"/>
  <c r="AP347" i="189"/>
  <c r="AO347" i="189"/>
  <c r="AN347" i="189"/>
  <c r="AM347" i="189"/>
  <c r="AL347" i="189"/>
  <c r="AK347" i="189"/>
  <c r="AJ347" i="189"/>
  <c r="AQ346" i="189"/>
  <c r="AP346" i="189"/>
  <c r="AO346" i="189"/>
  <c r="AN346" i="189"/>
  <c r="AM346" i="189"/>
  <c r="AL346" i="189"/>
  <c r="AK346" i="189"/>
  <c r="AJ346" i="189"/>
  <c r="AQ345" i="189"/>
  <c r="AP345" i="189"/>
  <c r="AO345" i="189"/>
  <c r="AN345" i="189"/>
  <c r="AM345" i="189"/>
  <c r="AL345" i="189"/>
  <c r="AK345" i="189"/>
  <c r="AJ345" i="189"/>
  <c r="AI334" i="189"/>
  <c r="AH334" i="189"/>
  <c r="AG334" i="189"/>
  <c r="AF334" i="189"/>
  <c r="AE334" i="189"/>
  <c r="AD334" i="189"/>
  <c r="AC334" i="189"/>
  <c r="AB334" i="189"/>
  <c r="AA334" i="189"/>
  <c r="Z334" i="189"/>
  <c r="Y334" i="189"/>
  <c r="X334" i="189"/>
  <c r="W334" i="189"/>
  <c r="V334" i="189"/>
  <c r="U334" i="189"/>
  <c r="T334" i="189"/>
  <c r="S334" i="189"/>
  <c r="R334" i="189"/>
  <c r="Q334" i="189"/>
  <c r="P334" i="189"/>
  <c r="O334" i="189"/>
  <c r="N334" i="189"/>
  <c r="M334" i="189"/>
  <c r="L334" i="189"/>
  <c r="K334" i="189"/>
  <c r="AQ332" i="189"/>
  <c r="AP332" i="189"/>
  <c r="AO332" i="189"/>
  <c r="AN332" i="189"/>
  <c r="AM332" i="189"/>
  <c r="AL332" i="189"/>
  <c r="AK332" i="189"/>
  <c r="AJ332" i="189"/>
  <c r="AG330" i="189"/>
  <c r="AF330" i="189"/>
  <c r="AE330" i="189"/>
  <c r="AD330" i="189"/>
  <c r="AC330" i="189"/>
  <c r="AB330" i="189"/>
  <c r="AA330" i="189"/>
  <c r="Z330" i="189"/>
  <c r="Y330" i="189"/>
  <c r="X330" i="189"/>
  <c r="W330" i="189"/>
  <c r="V330" i="189"/>
  <c r="U330" i="189"/>
  <c r="T330" i="189"/>
  <c r="S330" i="189"/>
  <c r="R330" i="189"/>
  <c r="Q330" i="189"/>
  <c r="P330" i="189"/>
  <c r="O330" i="189"/>
  <c r="N330" i="189"/>
  <c r="M330" i="189"/>
  <c r="L330" i="189"/>
  <c r="K330" i="189"/>
  <c r="I327" i="189"/>
  <c r="AI326" i="189"/>
  <c r="AH326" i="189"/>
  <c r="AG326" i="189"/>
  <c r="AF326" i="189"/>
  <c r="AE326" i="189"/>
  <c r="AD326" i="189"/>
  <c r="AC326" i="189"/>
  <c r="AB326" i="189"/>
  <c r="AA326" i="189"/>
  <c r="Z326" i="189"/>
  <c r="Y326" i="189"/>
  <c r="X326" i="189"/>
  <c r="W326" i="189"/>
  <c r="V326" i="189"/>
  <c r="U326" i="189"/>
  <c r="T326" i="189"/>
  <c r="S326" i="189"/>
  <c r="R326" i="189"/>
  <c r="Q326" i="189"/>
  <c r="P326" i="189"/>
  <c r="O326" i="189"/>
  <c r="N326" i="189"/>
  <c r="M326" i="189"/>
  <c r="L326" i="189"/>
  <c r="K326" i="189"/>
  <c r="AQ325" i="189"/>
  <c r="AP325" i="189"/>
  <c r="AO325" i="189"/>
  <c r="AN325" i="189"/>
  <c r="AN82" i="283" s="1"/>
  <c r="AM325" i="189"/>
  <c r="AL325" i="189"/>
  <c r="AK325" i="189"/>
  <c r="AK82" i="283" s="1"/>
  <c r="AJ325" i="189"/>
  <c r="AI325" i="189"/>
  <c r="AH325" i="189"/>
  <c r="AG325" i="189"/>
  <c r="AF325" i="189"/>
  <c r="AE325" i="189"/>
  <c r="AD325" i="189"/>
  <c r="AC325" i="189"/>
  <c r="AB325" i="189"/>
  <c r="AA325" i="189"/>
  <c r="Z325" i="189"/>
  <c r="Y325" i="189"/>
  <c r="X325" i="189"/>
  <c r="W325" i="189"/>
  <c r="V325" i="189"/>
  <c r="U325" i="189"/>
  <c r="T325" i="189"/>
  <c r="S325" i="189"/>
  <c r="R325" i="189"/>
  <c r="Q325" i="189"/>
  <c r="P325" i="189"/>
  <c r="O325" i="189"/>
  <c r="N325" i="189"/>
  <c r="M325" i="189"/>
  <c r="L325" i="189"/>
  <c r="K325" i="189"/>
  <c r="I318" i="189"/>
  <c r="I317" i="189"/>
  <c r="AQ308" i="189"/>
  <c r="AP308" i="189"/>
  <c r="AO308" i="189"/>
  <c r="AN308" i="189"/>
  <c r="AM308" i="189"/>
  <c r="AL308" i="189"/>
  <c r="AK308" i="189"/>
  <c r="AQ307" i="189"/>
  <c r="AP307" i="189"/>
  <c r="AO307" i="189"/>
  <c r="AN307" i="189"/>
  <c r="AM307" i="189"/>
  <c r="AL307" i="189"/>
  <c r="AK307" i="189"/>
  <c r="AJ307" i="189"/>
  <c r="AJ309" i="189" s="1"/>
  <c r="AQ243" i="189"/>
  <c r="AP243" i="189"/>
  <c r="AO243" i="189"/>
  <c r="AN243" i="189"/>
  <c r="AM243" i="189"/>
  <c r="AL243" i="189"/>
  <c r="AK243" i="189"/>
  <c r="AJ243" i="189"/>
  <c r="AQ241" i="189"/>
  <c r="AP241" i="189"/>
  <c r="AO241" i="189"/>
  <c r="AN241" i="189"/>
  <c r="AM241" i="189"/>
  <c r="AL241" i="189"/>
  <c r="AK241" i="189"/>
  <c r="AJ241" i="189"/>
  <c r="AQ211" i="189"/>
  <c r="AP211" i="189"/>
  <c r="AO211" i="189"/>
  <c r="AN211" i="189"/>
  <c r="AM211" i="189"/>
  <c r="AL211" i="189"/>
  <c r="AK211" i="189"/>
  <c r="AJ211" i="189"/>
  <c r="AQ210" i="189"/>
  <c r="AP210" i="189"/>
  <c r="AO210" i="189"/>
  <c r="AN210" i="189"/>
  <c r="AM210" i="189"/>
  <c r="AL210" i="189"/>
  <c r="AK210" i="189"/>
  <c r="AJ210" i="189"/>
  <c r="AQ208" i="189"/>
  <c r="AP208" i="189"/>
  <c r="AO208" i="189"/>
  <c r="AN208" i="189"/>
  <c r="AM208" i="189"/>
  <c r="AL208" i="189"/>
  <c r="AK208" i="189"/>
  <c r="AJ208" i="189"/>
  <c r="AQ207" i="189"/>
  <c r="AP207" i="189"/>
  <c r="AO207" i="189"/>
  <c r="AN207" i="189"/>
  <c r="AM207" i="189"/>
  <c r="AL207" i="189"/>
  <c r="AK207" i="189"/>
  <c r="AJ207" i="189"/>
  <c r="AQ206" i="189"/>
  <c r="AP206" i="189"/>
  <c r="AO206" i="189"/>
  <c r="AN206" i="189"/>
  <c r="AM206" i="189"/>
  <c r="AL206" i="189"/>
  <c r="AK206" i="189"/>
  <c r="AJ206" i="189"/>
  <c r="AQ205" i="189"/>
  <c r="AP205" i="189"/>
  <c r="AO205" i="189"/>
  <c r="AN205" i="189"/>
  <c r="AM205" i="189"/>
  <c r="AL205" i="189"/>
  <c r="AK205" i="189"/>
  <c r="AJ205" i="189"/>
  <c r="AQ202" i="189"/>
  <c r="AP202" i="189"/>
  <c r="AO202" i="189"/>
  <c r="AN202" i="189"/>
  <c r="AM202" i="189"/>
  <c r="AL202" i="189"/>
  <c r="AK202" i="189"/>
  <c r="AJ202" i="189"/>
  <c r="AQ201" i="189"/>
  <c r="AP201" i="189"/>
  <c r="AO201" i="189"/>
  <c r="AN201" i="189"/>
  <c r="AM201" i="189"/>
  <c r="AL201" i="189"/>
  <c r="AK201" i="189"/>
  <c r="AJ201" i="189"/>
  <c r="AQ199" i="189"/>
  <c r="AP199" i="189"/>
  <c r="AO199" i="189"/>
  <c r="AN199" i="189"/>
  <c r="AM199" i="189"/>
  <c r="AL199" i="189"/>
  <c r="AK199" i="189"/>
  <c r="AJ199" i="189"/>
  <c r="AQ198" i="189"/>
  <c r="AP198" i="189"/>
  <c r="AO198" i="189"/>
  <c r="AN198" i="189"/>
  <c r="AM198" i="189"/>
  <c r="AL198" i="189"/>
  <c r="AK198" i="189"/>
  <c r="AJ198" i="189"/>
  <c r="AQ197" i="189"/>
  <c r="AP197" i="189"/>
  <c r="AO197" i="189"/>
  <c r="AN197" i="189"/>
  <c r="AM197" i="189"/>
  <c r="AL197" i="189"/>
  <c r="AK197" i="189"/>
  <c r="AJ197" i="189"/>
  <c r="AQ196" i="189"/>
  <c r="AP196" i="189"/>
  <c r="AO196" i="189"/>
  <c r="AN196" i="189"/>
  <c r="AM196" i="189"/>
  <c r="AL196" i="189"/>
  <c r="AK196" i="189"/>
  <c r="AJ196" i="189"/>
  <c r="AQ193" i="189"/>
  <c r="AP193" i="189"/>
  <c r="AO193" i="189"/>
  <c r="AN193" i="189"/>
  <c r="AM193" i="189"/>
  <c r="AL193" i="189"/>
  <c r="AK193" i="189"/>
  <c r="AJ193" i="189"/>
  <c r="AQ192" i="189"/>
  <c r="AP192" i="189"/>
  <c r="AO192" i="189"/>
  <c r="AN192" i="189"/>
  <c r="AM192" i="189"/>
  <c r="AL192" i="189"/>
  <c r="AK192" i="189"/>
  <c r="AJ192" i="189"/>
  <c r="AQ190" i="189"/>
  <c r="AP190" i="189"/>
  <c r="AO190" i="189"/>
  <c r="AN190" i="189"/>
  <c r="AM190" i="189"/>
  <c r="AL190" i="189"/>
  <c r="AK190" i="189"/>
  <c r="AJ190" i="189"/>
  <c r="AQ189" i="189"/>
  <c r="AP189" i="189"/>
  <c r="AO189" i="189"/>
  <c r="AN189" i="189"/>
  <c r="AM189" i="189"/>
  <c r="AL189" i="189"/>
  <c r="AK189" i="189"/>
  <c r="AJ189" i="189"/>
  <c r="AQ188" i="189"/>
  <c r="AP188" i="189"/>
  <c r="AO188" i="189"/>
  <c r="AN188" i="189"/>
  <c r="AM188" i="189"/>
  <c r="AL188" i="189"/>
  <c r="AK188" i="189"/>
  <c r="AJ188" i="189"/>
  <c r="AQ187" i="189"/>
  <c r="AP187" i="189"/>
  <c r="AO187" i="189"/>
  <c r="AN187" i="189"/>
  <c r="AM187" i="189"/>
  <c r="AL187" i="189"/>
  <c r="AK187" i="189"/>
  <c r="AJ187" i="189"/>
  <c r="AQ184" i="189"/>
  <c r="AP184" i="189"/>
  <c r="AO184" i="189"/>
  <c r="AN184" i="189"/>
  <c r="AM184" i="189"/>
  <c r="AL184" i="189"/>
  <c r="AK184" i="189"/>
  <c r="AJ184" i="189"/>
  <c r="AQ183" i="189"/>
  <c r="AP183" i="189"/>
  <c r="AO183" i="189"/>
  <c r="AN183" i="189"/>
  <c r="AM183" i="189"/>
  <c r="AL183" i="189"/>
  <c r="AK183" i="189"/>
  <c r="AJ183" i="189"/>
  <c r="AQ181" i="189"/>
  <c r="AP181" i="189"/>
  <c r="AO181" i="189"/>
  <c r="AN181" i="189"/>
  <c r="AM181" i="189"/>
  <c r="AL181" i="189"/>
  <c r="AK181" i="189"/>
  <c r="AJ181" i="189"/>
  <c r="AQ180" i="189"/>
  <c r="AP180" i="189"/>
  <c r="AO180" i="189"/>
  <c r="AN180" i="189"/>
  <c r="AM180" i="189"/>
  <c r="AL180" i="189"/>
  <c r="AK180" i="189"/>
  <c r="AJ180" i="189"/>
  <c r="AQ179" i="189"/>
  <c r="AP179" i="189"/>
  <c r="AO179" i="189"/>
  <c r="AN179" i="189"/>
  <c r="AM179" i="189"/>
  <c r="AL179" i="189"/>
  <c r="AK179" i="189"/>
  <c r="AJ179" i="189"/>
  <c r="AQ178" i="189"/>
  <c r="AP178" i="189"/>
  <c r="AO178" i="189"/>
  <c r="AN178" i="189"/>
  <c r="AM178" i="189"/>
  <c r="AL178" i="189"/>
  <c r="AK178" i="189"/>
  <c r="AJ178" i="189"/>
  <c r="I71" i="189"/>
  <c r="I70" i="189"/>
  <c r="I68" i="189"/>
  <c r="I66" i="189"/>
  <c r="AQ64" i="189"/>
  <c r="AP64" i="189"/>
  <c r="AO64" i="189"/>
  <c r="AN64" i="189"/>
  <c r="AM64" i="189"/>
  <c r="AL64" i="189"/>
  <c r="AK64" i="189"/>
  <c r="AJ64" i="189"/>
  <c r="I62" i="189"/>
  <c r="AI330" i="189"/>
  <c r="AH330" i="189"/>
  <c r="AL309" i="189" l="1"/>
  <c r="AN309" i="189"/>
  <c r="AP309" i="189"/>
  <c r="AK309" i="189"/>
  <c r="AM309" i="189"/>
  <c r="AO309" i="189"/>
  <c r="AQ309" i="189"/>
  <c r="AQ166" i="189"/>
  <c r="AP166" i="189"/>
  <c r="AO166" i="189"/>
  <c r="AN166" i="189"/>
  <c r="AM166" i="189"/>
  <c r="AL166" i="189"/>
  <c r="AK166" i="189"/>
  <c r="AJ166" i="189"/>
  <c r="AQ165" i="189"/>
  <c r="AP165" i="189"/>
  <c r="AO165" i="189"/>
  <c r="AN165" i="189"/>
  <c r="AM165" i="189"/>
  <c r="AL165" i="189"/>
  <c r="AK165" i="189"/>
  <c r="AJ165" i="189"/>
  <c r="AQ163" i="189"/>
  <c r="AP163" i="189"/>
  <c r="AO163" i="189"/>
  <c r="AN163" i="189"/>
  <c r="AM163" i="189"/>
  <c r="AL163" i="189"/>
  <c r="AK163" i="189"/>
  <c r="AJ163" i="189"/>
  <c r="AQ162" i="189"/>
  <c r="AP162" i="189"/>
  <c r="AO162" i="189"/>
  <c r="AN162" i="189"/>
  <c r="AM162" i="189"/>
  <c r="AL162" i="189"/>
  <c r="AK162" i="189"/>
  <c r="AJ162" i="189"/>
  <c r="AQ161" i="189"/>
  <c r="AP161" i="189"/>
  <c r="AO161" i="189"/>
  <c r="AN161" i="189"/>
  <c r="AM161" i="189"/>
  <c r="AL161" i="189"/>
  <c r="AK161" i="189"/>
  <c r="AJ161" i="189"/>
  <c r="AQ156" i="189"/>
  <c r="AP156" i="189"/>
  <c r="AO156" i="189"/>
  <c r="AN156" i="189"/>
  <c r="AM156" i="189"/>
  <c r="AL156" i="189"/>
  <c r="AK156" i="189"/>
  <c r="AJ156" i="189"/>
  <c r="AQ153" i="189"/>
  <c r="AP153" i="189"/>
  <c r="AO153" i="189"/>
  <c r="AN153" i="189"/>
  <c r="AM153" i="189"/>
  <c r="AL153" i="189"/>
  <c r="AK153" i="189"/>
  <c r="AJ153" i="189"/>
  <c r="AQ147" i="189"/>
  <c r="AP147" i="189"/>
  <c r="AO147" i="189"/>
  <c r="AN147" i="189"/>
  <c r="AM147" i="189"/>
  <c r="AL147" i="189"/>
  <c r="AK147" i="189"/>
  <c r="AJ147" i="189"/>
  <c r="AQ145" i="189"/>
  <c r="AP145" i="189"/>
  <c r="AO145" i="189"/>
  <c r="AN145" i="189"/>
  <c r="AM145" i="189"/>
  <c r="AL145" i="189"/>
  <c r="AK145" i="189"/>
  <c r="AJ145" i="189"/>
  <c r="AQ144" i="189"/>
  <c r="AP144" i="189"/>
  <c r="AO144" i="189"/>
  <c r="AN144" i="189"/>
  <c r="AM144" i="189"/>
  <c r="AL144" i="189"/>
  <c r="AK144" i="189"/>
  <c r="AJ144" i="189"/>
  <c r="AQ143" i="189"/>
  <c r="AP143" i="189"/>
  <c r="AO143" i="189"/>
  <c r="AN143" i="189"/>
  <c r="AM143" i="189"/>
  <c r="AL143" i="189"/>
  <c r="AK143" i="189"/>
  <c r="AJ143" i="189"/>
  <c r="AQ142" i="189"/>
  <c r="AP142" i="189"/>
  <c r="AO142" i="189"/>
  <c r="AN142" i="189"/>
  <c r="AM142" i="189"/>
  <c r="AL142" i="189"/>
  <c r="AK142" i="189"/>
  <c r="AJ142" i="189"/>
  <c r="AQ139" i="189"/>
  <c r="AP139" i="189"/>
  <c r="AO139" i="189"/>
  <c r="AN139" i="189"/>
  <c r="AM139" i="189"/>
  <c r="AL139" i="189"/>
  <c r="AK139" i="189"/>
  <c r="AJ139" i="189"/>
  <c r="AQ138" i="189"/>
  <c r="AP138" i="189"/>
  <c r="AO138" i="189"/>
  <c r="AN138" i="189"/>
  <c r="AM138" i="189"/>
  <c r="AL138" i="189"/>
  <c r="AK138" i="189"/>
  <c r="AJ138" i="189"/>
  <c r="AQ136" i="189"/>
  <c r="AP136" i="189"/>
  <c r="AO136" i="189"/>
  <c r="AN136" i="189"/>
  <c r="AM136" i="189"/>
  <c r="AL136" i="189"/>
  <c r="AK136" i="189"/>
  <c r="AJ136" i="189"/>
  <c r="AQ135" i="189"/>
  <c r="AP135" i="189"/>
  <c r="AO135" i="189"/>
  <c r="AN135" i="189"/>
  <c r="AM135" i="189"/>
  <c r="AL135" i="189"/>
  <c r="AK135" i="189"/>
  <c r="AJ135" i="189"/>
  <c r="AQ133" i="189"/>
  <c r="AP133" i="189"/>
  <c r="AO133" i="189"/>
  <c r="AN133" i="189"/>
  <c r="AM133" i="189"/>
  <c r="AL133" i="189"/>
  <c r="AK133" i="189"/>
  <c r="AJ133" i="189"/>
  <c r="AQ130" i="189"/>
  <c r="AP130" i="189"/>
  <c r="AO130" i="189"/>
  <c r="AN130" i="189"/>
  <c r="AM130" i="189"/>
  <c r="AL130" i="189"/>
  <c r="AK130" i="189"/>
  <c r="AJ130" i="189"/>
  <c r="AQ129" i="189"/>
  <c r="AP129" i="189"/>
  <c r="AO129" i="189"/>
  <c r="AN129" i="189"/>
  <c r="AM129" i="189"/>
  <c r="AL129" i="189"/>
  <c r="AK129" i="189"/>
  <c r="AJ129" i="189"/>
  <c r="AQ127" i="189"/>
  <c r="AP127" i="189"/>
  <c r="AO127" i="189"/>
  <c r="AN127" i="189"/>
  <c r="AM127" i="189"/>
  <c r="AL127" i="189"/>
  <c r="AK127" i="189"/>
  <c r="AJ127" i="189"/>
  <c r="AQ125" i="189"/>
  <c r="AP125" i="189"/>
  <c r="AO125" i="189"/>
  <c r="AN125" i="189"/>
  <c r="AM125" i="189"/>
  <c r="AL125" i="189"/>
  <c r="AK125" i="189"/>
  <c r="AJ125" i="189"/>
  <c r="AQ124" i="189"/>
  <c r="AP124" i="189"/>
  <c r="AO124" i="189"/>
  <c r="AN124" i="189"/>
  <c r="AM124" i="189"/>
  <c r="AL124" i="189"/>
  <c r="AK124" i="189"/>
  <c r="AJ124" i="189"/>
  <c r="AQ120" i="189"/>
  <c r="AP120" i="189"/>
  <c r="AO120" i="189"/>
  <c r="AN120" i="189"/>
  <c r="AM120" i="189"/>
  <c r="AL120" i="189"/>
  <c r="AK120" i="189"/>
  <c r="AJ120" i="189"/>
  <c r="AQ118" i="189"/>
  <c r="AP118" i="189"/>
  <c r="AO118" i="189"/>
  <c r="AN118" i="189"/>
  <c r="AM118" i="189"/>
  <c r="AL118" i="189"/>
  <c r="AK118" i="189"/>
  <c r="AJ118" i="189"/>
  <c r="AQ112" i="189"/>
  <c r="AP112" i="189"/>
  <c r="AO112" i="189"/>
  <c r="AN112" i="189"/>
  <c r="AM112" i="189"/>
  <c r="AL112" i="189"/>
  <c r="AK112" i="189"/>
  <c r="AJ112" i="189"/>
  <c r="AQ111" i="189"/>
  <c r="AP111" i="189"/>
  <c r="AO111" i="189"/>
  <c r="AN111" i="189"/>
  <c r="AM111" i="189"/>
  <c r="AL111" i="189"/>
  <c r="AK111" i="189"/>
  <c r="AJ111" i="189"/>
  <c r="AQ109" i="189"/>
  <c r="AP109" i="189"/>
  <c r="AO109" i="189"/>
  <c r="AN109" i="189"/>
  <c r="AM109" i="189"/>
  <c r="AL109" i="189"/>
  <c r="AK109" i="189"/>
  <c r="AJ109" i="189"/>
  <c r="AQ107" i="189"/>
  <c r="AP107" i="189"/>
  <c r="AO107" i="189"/>
  <c r="AN107" i="189"/>
  <c r="AM107" i="189"/>
  <c r="AL107" i="189"/>
  <c r="AK107" i="189"/>
  <c r="AJ107" i="189"/>
  <c r="AQ106" i="189"/>
  <c r="AP106" i="189"/>
  <c r="AO106" i="189"/>
  <c r="AN106" i="189"/>
  <c r="AM106" i="189"/>
  <c r="AL106" i="189"/>
  <c r="AK106" i="189"/>
  <c r="AJ106" i="189"/>
  <c r="D371" i="212" l="1"/>
  <c r="D371" i="204"/>
  <c r="D371" i="213"/>
  <c r="D371" i="217"/>
  <c r="D371" i="280"/>
  <c r="D371" i="205"/>
  <c r="D371" i="215"/>
  <c r="D371" i="278"/>
  <c r="D371" i="282"/>
  <c r="D371" i="279"/>
  <c r="D371" i="216"/>
  <c r="D371" i="281"/>
  <c r="D371" i="277"/>
  <c r="D371" i="214"/>
  <c r="I13" i="197" l="1"/>
  <c r="E255" i="205" l="1"/>
  <c r="E254" i="205"/>
  <c r="E253" i="205"/>
  <c r="E255" i="212"/>
  <c r="E254" i="212"/>
  <c r="E253" i="212"/>
  <c r="E255" i="213"/>
  <c r="E254" i="213"/>
  <c r="E253" i="213"/>
  <c r="E255" i="214"/>
  <c r="E254" i="214"/>
  <c r="E253" i="214"/>
  <c r="E255" i="215"/>
  <c r="E254" i="215"/>
  <c r="E253" i="215"/>
  <c r="E255" i="216"/>
  <c r="E254" i="216"/>
  <c r="E253" i="216"/>
  <c r="E255" i="217"/>
  <c r="E254" i="217"/>
  <c r="E253" i="217"/>
  <c r="E255" i="277"/>
  <c r="E254" i="277"/>
  <c r="E253" i="277"/>
  <c r="E255" i="278"/>
  <c r="E254" i="278"/>
  <c r="E253" i="278"/>
  <c r="E255" i="279"/>
  <c r="E254" i="279"/>
  <c r="E253" i="279"/>
  <c r="E255" i="280"/>
  <c r="E254" i="280"/>
  <c r="E253" i="280"/>
  <c r="E255" i="281"/>
  <c r="E254" i="281"/>
  <c r="E253" i="281"/>
  <c r="E255" i="282"/>
  <c r="E254" i="282"/>
  <c r="E253" i="282"/>
  <c r="E255" i="204"/>
  <c r="E254" i="204"/>
  <c r="E253" i="204"/>
  <c r="AH36" i="161" l="1"/>
  <c r="AI36" i="161"/>
  <c r="E251" i="205" l="1"/>
  <c r="E251" i="212"/>
  <c r="E251" i="213"/>
  <c r="E251" i="214"/>
  <c r="E251" i="215"/>
  <c r="E251" i="216"/>
  <c r="E251" i="217"/>
  <c r="E251" i="277"/>
  <c r="E251" i="278"/>
  <c r="E251" i="279"/>
  <c r="E251" i="280"/>
  <c r="E251" i="281"/>
  <c r="E251" i="282"/>
  <c r="E251" i="204"/>
  <c r="AK57" i="194" l="1"/>
  <c r="AM57" i="194"/>
  <c r="AO57" i="194"/>
  <c r="AQ57" i="194"/>
  <c r="AL57" i="194"/>
  <c r="AN57" i="194"/>
  <c r="AP57" i="194"/>
  <c r="AJ57" i="194"/>
  <c r="G311" i="205" l="1"/>
  <c r="G311" i="212"/>
  <c r="G311" i="213"/>
  <c r="G311" i="214"/>
  <c r="G311" i="215"/>
  <c r="G311" i="216"/>
  <c r="G311" i="217"/>
  <c r="G311" i="277"/>
  <c r="G311" i="278"/>
  <c r="G311" i="279"/>
  <c r="G311" i="280"/>
  <c r="G311" i="281"/>
  <c r="G311" i="282"/>
  <c r="G311" i="204"/>
  <c r="G303" i="205"/>
  <c r="G303" i="212"/>
  <c r="G303" i="213"/>
  <c r="G303" i="214"/>
  <c r="G303" i="215"/>
  <c r="G303" i="216"/>
  <c r="G303" i="217"/>
  <c r="G303" i="277"/>
  <c r="G303" i="278"/>
  <c r="G303" i="279"/>
  <c r="G303" i="280"/>
  <c r="G303" i="281"/>
  <c r="G303" i="282"/>
  <c r="G303" i="204"/>
  <c r="E303" i="205"/>
  <c r="E303" i="212"/>
  <c r="E303" i="213"/>
  <c r="E303" i="214"/>
  <c r="E303" i="215"/>
  <c r="E303" i="216"/>
  <c r="E303" i="217"/>
  <c r="E303" i="277"/>
  <c r="E303" i="278"/>
  <c r="E303" i="279"/>
  <c r="E303" i="280"/>
  <c r="E303" i="281"/>
  <c r="E303" i="282"/>
  <c r="E303" i="204"/>
  <c r="E257" i="204"/>
  <c r="E257" i="205"/>
  <c r="E257" i="212"/>
  <c r="E257" i="213"/>
  <c r="E257" i="214"/>
  <c r="E257" i="215"/>
  <c r="E257" i="216"/>
  <c r="E257" i="217"/>
  <c r="E257" i="277"/>
  <c r="E257" i="278"/>
  <c r="E257" i="279"/>
  <c r="E257" i="280"/>
  <c r="E257" i="281"/>
  <c r="E257" i="282"/>
  <c r="E311" i="189"/>
  <c r="C47" i="194"/>
  <c r="E210" i="161" l="1"/>
  <c r="E210" i="308"/>
  <c r="E51" i="194"/>
  <c r="E311" i="204"/>
  <c r="E311" i="282"/>
  <c r="E311" i="281"/>
  <c r="E311" i="280"/>
  <c r="E311" i="279"/>
  <c r="E311" i="278"/>
  <c r="E311" i="277"/>
  <c r="E311" i="217"/>
  <c r="E311" i="216"/>
  <c r="E311" i="215"/>
  <c r="E311" i="214"/>
  <c r="E311" i="213"/>
  <c r="E311" i="212"/>
  <c r="E311" i="205"/>
  <c r="AQ72" i="202" l="1"/>
  <c r="AP72" i="202"/>
  <c r="AO72" i="202"/>
  <c r="AN72" i="202"/>
  <c r="AM72" i="202"/>
  <c r="AL72" i="202"/>
  <c r="AK72" i="202"/>
  <c r="AJ72" i="202"/>
  <c r="E44" i="194" l="1"/>
  <c r="AI361" i="217" l="1"/>
  <c r="AI361" i="277"/>
  <c r="AI361" i="278"/>
  <c r="AH361" i="217"/>
  <c r="AH361" i="277"/>
  <c r="AH361" i="278"/>
  <c r="AI357" i="217"/>
  <c r="AI357" i="277"/>
  <c r="AI357" i="278"/>
  <c r="AH357" i="217"/>
  <c r="AH357" i="277"/>
  <c r="AH357" i="278"/>
  <c r="AI353" i="217" l="1"/>
  <c r="AI353" i="277"/>
  <c r="AI353" i="278"/>
  <c r="AH353" i="217"/>
  <c r="AH353" i="277"/>
  <c r="AH353" i="278"/>
  <c r="AH330" i="217" l="1"/>
  <c r="AI330" i="217"/>
  <c r="AH330" i="277"/>
  <c r="AI330" i="277"/>
  <c r="AH330" i="278"/>
  <c r="AI330" i="278"/>
  <c r="G31" i="183" l="1"/>
  <c r="G33" i="183"/>
  <c r="AQ429" i="278"/>
  <c r="AP429" i="278"/>
  <c r="AO429" i="278"/>
  <c r="AN429" i="278"/>
  <c r="AM429" i="278"/>
  <c r="AL429" i="278"/>
  <c r="AK429" i="278"/>
  <c r="AJ429" i="278"/>
  <c r="E432" i="205"/>
  <c r="E431" i="205"/>
  <c r="E429" i="205"/>
  <c r="E428" i="205"/>
  <c r="E427" i="205"/>
  <c r="E426" i="205"/>
  <c r="E432" i="212"/>
  <c r="E431" i="212"/>
  <c r="E429" i="212"/>
  <c r="E428" i="212"/>
  <c r="E427" i="212"/>
  <c r="E426" i="212"/>
  <c r="E432" i="213"/>
  <c r="E431" i="213"/>
  <c r="E429" i="213"/>
  <c r="E428" i="213"/>
  <c r="E427" i="213"/>
  <c r="E426" i="213"/>
  <c r="E432" i="214"/>
  <c r="E431" i="214"/>
  <c r="E429" i="214"/>
  <c r="E428" i="214"/>
  <c r="E427" i="214"/>
  <c r="E426" i="214"/>
  <c r="E432" i="215"/>
  <c r="E431" i="215"/>
  <c r="E429" i="215"/>
  <c r="E428" i="215"/>
  <c r="E427" i="215"/>
  <c r="E426" i="215"/>
  <c r="E432" i="216"/>
  <c r="E431" i="216"/>
  <c r="E429" i="216"/>
  <c r="E428" i="216"/>
  <c r="E427" i="216"/>
  <c r="E426" i="216"/>
  <c r="E432" i="217"/>
  <c r="E431" i="217"/>
  <c r="E429" i="217"/>
  <c r="E428" i="217"/>
  <c r="E427" i="217"/>
  <c r="E426" i="217"/>
  <c r="E432" i="277"/>
  <c r="E431" i="277"/>
  <c r="E429" i="277"/>
  <c r="E428" i="277"/>
  <c r="E427" i="277"/>
  <c r="E426" i="277"/>
  <c r="E432" i="278"/>
  <c r="E431" i="278"/>
  <c r="E429" i="278"/>
  <c r="E428" i="278"/>
  <c r="E427" i="278"/>
  <c r="E426" i="278"/>
  <c r="E432" i="279"/>
  <c r="E431" i="279"/>
  <c r="E429" i="279"/>
  <c r="E428" i="279"/>
  <c r="E427" i="279"/>
  <c r="E426" i="279"/>
  <c r="E432" i="280"/>
  <c r="E431" i="280"/>
  <c r="E429" i="280"/>
  <c r="E428" i="280"/>
  <c r="E427" i="280"/>
  <c r="E426" i="280"/>
  <c r="E432" i="281"/>
  <c r="E431" i="281"/>
  <c r="E429" i="281"/>
  <c r="E428" i="281"/>
  <c r="E427" i="281"/>
  <c r="E426" i="281"/>
  <c r="E432" i="282"/>
  <c r="E431" i="282"/>
  <c r="E429" i="282"/>
  <c r="E428" i="282"/>
  <c r="E427" i="282"/>
  <c r="E426" i="282"/>
  <c r="E432" i="204"/>
  <c r="E431" i="204"/>
  <c r="E429" i="204"/>
  <c r="E428" i="204"/>
  <c r="E427" i="204"/>
  <c r="E426" i="204"/>
  <c r="E421" i="205"/>
  <c r="E420" i="205"/>
  <c r="E418" i="205"/>
  <c r="E417" i="205"/>
  <c r="E416" i="205"/>
  <c r="E415" i="205"/>
  <c r="E421" i="212"/>
  <c r="E420" i="212"/>
  <c r="E418" i="212"/>
  <c r="E417" i="212"/>
  <c r="E416" i="212"/>
  <c r="E415" i="212"/>
  <c r="E421" i="213"/>
  <c r="E420" i="213"/>
  <c r="E418" i="213"/>
  <c r="E417" i="213"/>
  <c r="E416" i="213"/>
  <c r="E415" i="213"/>
  <c r="E421" i="214"/>
  <c r="E420" i="214"/>
  <c r="E418" i="214"/>
  <c r="E417" i="214"/>
  <c r="E416" i="214"/>
  <c r="E415" i="214"/>
  <c r="E421" i="215"/>
  <c r="E420" i="215"/>
  <c r="E418" i="215"/>
  <c r="E417" i="215"/>
  <c r="E416" i="215"/>
  <c r="E415" i="215"/>
  <c r="E421" i="216"/>
  <c r="E420" i="216"/>
  <c r="E418" i="216"/>
  <c r="E417" i="216"/>
  <c r="E416" i="216"/>
  <c r="E415" i="216"/>
  <c r="E421" i="217"/>
  <c r="E420" i="217"/>
  <c r="E418" i="217"/>
  <c r="E417" i="217"/>
  <c r="E416" i="217"/>
  <c r="E415" i="217"/>
  <c r="E421" i="277"/>
  <c r="E420" i="277"/>
  <c r="E418" i="277"/>
  <c r="E417" i="277"/>
  <c r="E416" i="277"/>
  <c r="E415" i="277"/>
  <c r="E421" i="278"/>
  <c r="E420" i="278"/>
  <c r="E418" i="278"/>
  <c r="E417" i="278"/>
  <c r="E416" i="278"/>
  <c r="E415" i="278"/>
  <c r="E421" i="279"/>
  <c r="E420" i="279"/>
  <c r="E418" i="279"/>
  <c r="E417" i="279"/>
  <c r="E416" i="279"/>
  <c r="E415" i="279"/>
  <c r="E421" i="280"/>
  <c r="E420" i="280"/>
  <c r="E418" i="280"/>
  <c r="E417" i="280"/>
  <c r="E416" i="280"/>
  <c r="E415" i="280"/>
  <c r="E421" i="281"/>
  <c r="E420" i="281"/>
  <c r="E418" i="281"/>
  <c r="E417" i="281"/>
  <c r="E416" i="281"/>
  <c r="E415" i="281"/>
  <c r="E421" i="282"/>
  <c r="E420" i="282"/>
  <c r="E418" i="282"/>
  <c r="E417" i="282"/>
  <c r="E416" i="282"/>
  <c r="E415" i="282"/>
  <c r="E421" i="204"/>
  <c r="E420" i="204"/>
  <c r="E418" i="204"/>
  <c r="E417" i="204"/>
  <c r="E416" i="204"/>
  <c r="E415" i="204"/>
  <c r="E411" i="205"/>
  <c r="E410" i="205"/>
  <c r="E408" i="205"/>
  <c r="E407" i="205"/>
  <c r="E406" i="205"/>
  <c r="E405" i="205"/>
  <c r="E411" i="212"/>
  <c r="E410" i="212"/>
  <c r="E408" i="212"/>
  <c r="E407" i="212"/>
  <c r="E406" i="212"/>
  <c r="E405" i="212"/>
  <c r="E411" i="213"/>
  <c r="E410" i="213"/>
  <c r="E408" i="213"/>
  <c r="E407" i="213"/>
  <c r="E406" i="213"/>
  <c r="E405" i="213"/>
  <c r="E411" i="214"/>
  <c r="E410" i="214"/>
  <c r="E408" i="214"/>
  <c r="E407" i="214"/>
  <c r="E406" i="214"/>
  <c r="E405" i="214"/>
  <c r="E411" i="215"/>
  <c r="E410" i="215"/>
  <c r="E408" i="215"/>
  <c r="E407" i="215"/>
  <c r="E406" i="215"/>
  <c r="E405" i="215"/>
  <c r="E411" i="216"/>
  <c r="E410" i="216"/>
  <c r="E408" i="216"/>
  <c r="E407" i="216"/>
  <c r="E406" i="216"/>
  <c r="E405" i="216"/>
  <c r="E411" i="217"/>
  <c r="E410" i="217"/>
  <c r="E408" i="217"/>
  <c r="E407" i="217"/>
  <c r="E406" i="217"/>
  <c r="E405" i="217"/>
  <c r="E411" i="277"/>
  <c r="E410" i="277"/>
  <c r="E408" i="277"/>
  <c r="E407" i="277"/>
  <c r="E406" i="277"/>
  <c r="E405" i="277"/>
  <c r="E411" i="278"/>
  <c r="E410" i="278"/>
  <c r="E408" i="278"/>
  <c r="E407" i="278"/>
  <c r="E406" i="278"/>
  <c r="E405" i="278"/>
  <c r="E411" i="279"/>
  <c r="E410" i="279"/>
  <c r="E408" i="279"/>
  <c r="E407" i="279"/>
  <c r="E406" i="279"/>
  <c r="E405" i="279"/>
  <c r="E411" i="280"/>
  <c r="E410" i="280"/>
  <c r="E408" i="280"/>
  <c r="E407" i="280"/>
  <c r="E406" i="280"/>
  <c r="E405" i="280"/>
  <c r="E411" i="281"/>
  <c r="E410" i="281"/>
  <c r="E408" i="281"/>
  <c r="E407" i="281"/>
  <c r="E406" i="281"/>
  <c r="E405" i="281"/>
  <c r="E411" i="282"/>
  <c r="E410" i="282"/>
  <c r="E408" i="282"/>
  <c r="E407" i="282"/>
  <c r="E406" i="282"/>
  <c r="E405" i="282"/>
  <c r="E411" i="204"/>
  <c r="E410" i="204"/>
  <c r="E408" i="204"/>
  <c r="E407" i="204"/>
  <c r="E406" i="204"/>
  <c r="E405" i="204"/>
  <c r="E401" i="205"/>
  <c r="E400" i="205"/>
  <c r="E398" i="205"/>
  <c r="E397" i="205"/>
  <c r="E396" i="205"/>
  <c r="E395" i="205"/>
  <c r="E401" i="212"/>
  <c r="E400" i="212"/>
  <c r="E398" i="212"/>
  <c r="E397" i="212"/>
  <c r="E396" i="212"/>
  <c r="E395" i="212"/>
  <c r="E401" i="213"/>
  <c r="E400" i="213"/>
  <c r="E398" i="213"/>
  <c r="E397" i="213"/>
  <c r="E396" i="213"/>
  <c r="E395" i="213"/>
  <c r="E401" i="214"/>
  <c r="E400" i="214"/>
  <c r="E398" i="214"/>
  <c r="E397" i="214"/>
  <c r="E396" i="214"/>
  <c r="E395" i="214"/>
  <c r="E401" i="215"/>
  <c r="E400" i="215"/>
  <c r="E398" i="215"/>
  <c r="E397" i="215"/>
  <c r="E396" i="215"/>
  <c r="E395" i="215"/>
  <c r="E401" i="216"/>
  <c r="E400" i="216"/>
  <c r="E398" i="216"/>
  <c r="E397" i="216"/>
  <c r="E396" i="216"/>
  <c r="E395" i="216"/>
  <c r="E401" i="217"/>
  <c r="E400" i="217"/>
  <c r="E398" i="217"/>
  <c r="E397" i="217"/>
  <c r="E396" i="217"/>
  <c r="E395" i="217"/>
  <c r="E401" i="277"/>
  <c r="E400" i="277"/>
  <c r="E398" i="277"/>
  <c r="E397" i="277"/>
  <c r="E396" i="277"/>
  <c r="E395" i="277"/>
  <c r="E401" i="278"/>
  <c r="E400" i="278"/>
  <c r="E398" i="278"/>
  <c r="E397" i="278"/>
  <c r="E396" i="278"/>
  <c r="E395" i="278"/>
  <c r="E401" i="279"/>
  <c r="E400" i="279"/>
  <c r="E398" i="279"/>
  <c r="E397" i="279"/>
  <c r="E396" i="279"/>
  <c r="E395" i="279"/>
  <c r="E401" i="280"/>
  <c r="E400" i="280"/>
  <c r="E398" i="280"/>
  <c r="E397" i="280"/>
  <c r="E396" i="280"/>
  <c r="E395" i="280"/>
  <c r="E401" i="281"/>
  <c r="E400" i="281"/>
  <c r="E398" i="281"/>
  <c r="E397" i="281"/>
  <c r="E396" i="281"/>
  <c r="E395" i="281"/>
  <c r="E401" i="282"/>
  <c r="E400" i="282"/>
  <c r="E398" i="282"/>
  <c r="E397" i="282"/>
  <c r="E396" i="282"/>
  <c r="E395" i="282"/>
  <c r="E401" i="204"/>
  <c r="E400" i="204"/>
  <c r="E398" i="204"/>
  <c r="E397" i="204"/>
  <c r="E396" i="204"/>
  <c r="E395" i="204"/>
  <c r="E391" i="205"/>
  <c r="E390" i="205"/>
  <c r="E388" i="205"/>
  <c r="E387" i="205"/>
  <c r="E386" i="205"/>
  <c r="E385" i="205"/>
  <c r="E391" i="212"/>
  <c r="E390" i="212"/>
  <c r="E388" i="212"/>
  <c r="E387" i="212"/>
  <c r="E386" i="212"/>
  <c r="E385" i="212"/>
  <c r="E391" i="213"/>
  <c r="E390" i="213"/>
  <c r="E388" i="213"/>
  <c r="E387" i="213"/>
  <c r="E386" i="213"/>
  <c r="E385" i="213"/>
  <c r="E391" i="214"/>
  <c r="E390" i="214"/>
  <c r="E388" i="214"/>
  <c r="E387" i="214"/>
  <c r="E386" i="214"/>
  <c r="E385" i="214"/>
  <c r="E391" i="215"/>
  <c r="E390" i="215"/>
  <c r="E388" i="215"/>
  <c r="E387" i="215"/>
  <c r="E386" i="215"/>
  <c r="E385" i="215"/>
  <c r="E391" i="216"/>
  <c r="E390" i="216"/>
  <c r="E388" i="216"/>
  <c r="E387" i="216"/>
  <c r="E386" i="216"/>
  <c r="E385" i="216"/>
  <c r="E391" i="217"/>
  <c r="E390" i="217"/>
  <c r="E388" i="217"/>
  <c r="E387" i="217"/>
  <c r="E386" i="217"/>
  <c r="E385" i="217"/>
  <c r="E391" i="277"/>
  <c r="E390" i="277"/>
  <c r="E388" i="277"/>
  <c r="E387" i="277"/>
  <c r="E386" i="277"/>
  <c r="E385" i="277"/>
  <c r="E391" i="278"/>
  <c r="E390" i="278"/>
  <c r="E388" i="278"/>
  <c r="E387" i="278"/>
  <c r="E386" i="278"/>
  <c r="E385" i="278"/>
  <c r="E391" i="279"/>
  <c r="E390" i="279"/>
  <c r="E388" i="279"/>
  <c r="E387" i="279"/>
  <c r="E386" i="279"/>
  <c r="E385" i="279"/>
  <c r="E391" i="280"/>
  <c r="E390" i="280"/>
  <c r="E388" i="280"/>
  <c r="E387" i="280"/>
  <c r="E386" i="280"/>
  <c r="E385" i="280"/>
  <c r="E391" i="281"/>
  <c r="E390" i="281"/>
  <c r="E388" i="281"/>
  <c r="E387" i="281"/>
  <c r="E386" i="281"/>
  <c r="E385" i="281"/>
  <c r="E391" i="282"/>
  <c r="E390" i="282"/>
  <c r="E388" i="282"/>
  <c r="E387" i="282"/>
  <c r="E386" i="282"/>
  <c r="E385" i="282"/>
  <c r="E391" i="204"/>
  <c r="E390" i="204"/>
  <c r="E388" i="204"/>
  <c r="E387" i="204"/>
  <c r="E386" i="204"/>
  <c r="E385" i="204"/>
  <c r="E378" i="205"/>
  <c r="E380" i="205"/>
  <c r="E378" i="212"/>
  <c r="E380" i="212"/>
  <c r="E378" i="213"/>
  <c r="E380" i="213"/>
  <c r="E378" i="214"/>
  <c r="E380" i="214"/>
  <c r="E378" i="215"/>
  <c r="E380" i="215"/>
  <c r="E378" i="216"/>
  <c r="E380" i="216"/>
  <c r="E378" i="217"/>
  <c r="E380" i="217"/>
  <c r="E378" i="277"/>
  <c r="E380" i="277"/>
  <c r="E378" i="278"/>
  <c r="E380" i="278"/>
  <c r="E378" i="279"/>
  <c r="E380" i="279"/>
  <c r="E378" i="280"/>
  <c r="E380" i="280"/>
  <c r="E378" i="281"/>
  <c r="E380" i="281"/>
  <c r="E378" i="282"/>
  <c r="E380" i="282"/>
  <c r="E378" i="204"/>
  <c r="E380" i="204"/>
  <c r="E228" i="205"/>
  <c r="E228" i="212"/>
  <c r="E228" i="213"/>
  <c r="E228" i="214"/>
  <c r="E228" i="215"/>
  <c r="E228" i="216"/>
  <c r="AQ228" i="217"/>
  <c r="AP228" i="217"/>
  <c r="AO228" i="217"/>
  <c r="AN228" i="217"/>
  <c r="AM228" i="217"/>
  <c r="AL228" i="217"/>
  <c r="AK228" i="217"/>
  <c r="AJ228" i="217"/>
  <c r="E228" i="217"/>
  <c r="AQ228" i="277"/>
  <c r="AP228" i="277"/>
  <c r="AO228" i="277"/>
  <c r="AN228" i="277"/>
  <c r="AM228" i="277"/>
  <c r="AL228" i="277"/>
  <c r="AK228" i="277"/>
  <c r="AJ228" i="277"/>
  <c r="E228" i="277"/>
  <c r="AQ228" i="278"/>
  <c r="AP228" i="278"/>
  <c r="AO228" i="278"/>
  <c r="AN228" i="278"/>
  <c r="AM228" i="278"/>
  <c r="AL228" i="278"/>
  <c r="AK228" i="278"/>
  <c r="AJ228" i="278"/>
  <c r="E228" i="278"/>
  <c r="E228" i="279"/>
  <c r="E228" i="280"/>
  <c r="E228" i="281"/>
  <c r="E228" i="282"/>
  <c r="E228" i="204"/>
  <c r="E226" i="205"/>
  <c r="E226" i="212"/>
  <c r="E226" i="213"/>
  <c r="E226" i="214"/>
  <c r="E226" i="215"/>
  <c r="E226" i="216"/>
  <c r="AJ226" i="217"/>
  <c r="E226" i="217"/>
  <c r="AJ226" i="277"/>
  <c r="E226" i="277"/>
  <c r="AJ226" i="278"/>
  <c r="E226" i="278"/>
  <c r="E226" i="279"/>
  <c r="E226" i="280"/>
  <c r="E226" i="281"/>
  <c r="E226" i="282"/>
  <c r="E226" i="204"/>
  <c r="E218" i="205"/>
  <c r="E218" i="212"/>
  <c r="E218" i="213"/>
  <c r="E218" i="214"/>
  <c r="E218" i="215"/>
  <c r="E218" i="216"/>
  <c r="E218" i="217"/>
  <c r="E218" i="277"/>
  <c r="E218" i="278"/>
  <c r="E218" i="279"/>
  <c r="E218" i="280"/>
  <c r="E218" i="281"/>
  <c r="E218" i="282"/>
  <c r="E218" i="204"/>
  <c r="E216" i="205"/>
  <c r="E216" i="212"/>
  <c r="E216" i="213"/>
  <c r="E216" i="214"/>
  <c r="E216" i="215"/>
  <c r="E216" i="216"/>
  <c r="E216" i="217"/>
  <c r="E216" i="277"/>
  <c r="E216" i="278"/>
  <c r="E216" i="279"/>
  <c r="E216" i="280"/>
  <c r="E216" i="281"/>
  <c r="E216" i="282"/>
  <c r="E216" i="204"/>
  <c r="E211" i="205"/>
  <c r="E210" i="205"/>
  <c r="E208" i="205"/>
  <c r="E207" i="205"/>
  <c r="E206" i="205"/>
  <c r="E205" i="205"/>
  <c r="E211" i="212"/>
  <c r="E210" i="212"/>
  <c r="E208" i="212"/>
  <c r="E207" i="212"/>
  <c r="E206" i="212"/>
  <c r="E205" i="212"/>
  <c r="E211" i="213"/>
  <c r="E210" i="213"/>
  <c r="E208" i="213"/>
  <c r="E207" i="213"/>
  <c r="E206" i="213"/>
  <c r="E205" i="213"/>
  <c r="E211" i="214"/>
  <c r="E210" i="214"/>
  <c r="E208" i="214"/>
  <c r="E207" i="214"/>
  <c r="E206" i="214"/>
  <c r="E205" i="214"/>
  <c r="E211" i="215"/>
  <c r="E210" i="215"/>
  <c r="E208" i="215"/>
  <c r="E207" i="215"/>
  <c r="E206" i="215"/>
  <c r="E205" i="215"/>
  <c r="E211" i="216"/>
  <c r="E210" i="216"/>
  <c r="E208" i="216"/>
  <c r="E207" i="216"/>
  <c r="E206" i="216"/>
  <c r="E205" i="216"/>
  <c r="E211" i="217"/>
  <c r="E210" i="217"/>
  <c r="E208" i="217"/>
  <c r="E207" i="217"/>
  <c r="E206" i="217"/>
  <c r="E205" i="217"/>
  <c r="E211" i="277"/>
  <c r="E210" i="277"/>
  <c r="E208" i="277"/>
  <c r="E207" i="277"/>
  <c r="E206" i="277"/>
  <c r="E205" i="277"/>
  <c r="E211" i="278"/>
  <c r="E210" i="278"/>
  <c r="E208" i="278"/>
  <c r="E207" i="278"/>
  <c r="E206" i="278"/>
  <c r="E205" i="278"/>
  <c r="E211" i="279"/>
  <c r="E210" i="279"/>
  <c r="E208" i="279"/>
  <c r="E207" i="279"/>
  <c r="E206" i="279"/>
  <c r="E205" i="279"/>
  <c r="E211" i="280"/>
  <c r="E210" i="280"/>
  <c r="E208" i="280"/>
  <c r="E207" i="280"/>
  <c r="E206" i="280"/>
  <c r="E205" i="280"/>
  <c r="E211" i="281"/>
  <c r="E210" i="281"/>
  <c r="E208" i="281"/>
  <c r="E207" i="281"/>
  <c r="E206" i="281"/>
  <c r="E205" i="281"/>
  <c r="E211" i="282"/>
  <c r="E210" i="282"/>
  <c r="E208" i="282"/>
  <c r="E207" i="282"/>
  <c r="E206" i="282"/>
  <c r="E205" i="282"/>
  <c r="E211" i="204"/>
  <c r="E210" i="204"/>
  <c r="E208" i="204"/>
  <c r="E207" i="204"/>
  <c r="E206" i="204"/>
  <c r="E205" i="204"/>
  <c r="E202" i="205"/>
  <c r="E201" i="205"/>
  <c r="E199" i="205"/>
  <c r="E198" i="205"/>
  <c r="E197" i="205"/>
  <c r="E196" i="205"/>
  <c r="E202" i="212"/>
  <c r="E201" i="212"/>
  <c r="E199" i="212"/>
  <c r="E198" i="212"/>
  <c r="E197" i="212"/>
  <c r="E196" i="212"/>
  <c r="E202" i="213"/>
  <c r="E201" i="213"/>
  <c r="E199" i="213"/>
  <c r="E198" i="213"/>
  <c r="E197" i="213"/>
  <c r="E196" i="213"/>
  <c r="E202" i="214"/>
  <c r="E201" i="214"/>
  <c r="E199" i="214"/>
  <c r="E198" i="214"/>
  <c r="E197" i="214"/>
  <c r="E196" i="214"/>
  <c r="E202" i="215"/>
  <c r="E201" i="215"/>
  <c r="E199" i="215"/>
  <c r="E198" i="215"/>
  <c r="E197" i="215"/>
  <c r="E196" i="215"/>
  <c r="E202" i="216"/>
  <c r="E201" i="216"/>
  <c r="E199" i="216"/>
  <c r="E198" i="216"/>
  <c r="E197" i="216"/>
  <c r="E196" i="216"/>
  <c r="E202" i="217"/>
  <c r="E201" i="217"/>
  <c r="E199" i="217"/>
  <c r="E198" i="217"/>
  <c r="E197" i="217"/>
  <c r="E196" i="217"/>
  <c r="E202" i="277"/>
  <c r="E201" i="277"/>
  <c r="E199" i="277"/>
  <c r="E198" i="277"/>
  <c r="E197" i="277"/>
  <c r="E196" i="277"/>
  <c r="E202" i="278"/>
  <c r="E201" i="278"/>
  <c r="E199" i="278"/>
  <c r="E198" i="278"/>
  <c r="E197" i="278"/>
  <c r="E196" i="278"/>
  <c r="E202" i="279"/>
  <c r="E201" i="279"/>
  <c r="E199" i="279"/>
  <c r="E198" i="279"/>
  <c r="E197" i="279"/>
  <c r="E196" i="279"/>
  <c r="E202" i="280"/>
  <c r="E201" i="280"/>
  <c r="E199" i="280"/>
  <c r="E198" i="280"/>
  <c r="E197" i="280"/>
  <c r="E196" i="280"/>
  <c r="E202" i="281"/>
  <c r="E201" i="281"/>
  <c r="E199" i="281"/>
  <c r="E198" i="281"/>
  <c r="E197" i="281"/>
  <c r="E196" i="281"/>
  <c r="E202" i="282"/>
  <c r="E201" i="282"/>
  <c r="E199" i="282"/>
  <c r="E198" i="282"/>
  <c r="E197" i="282"/>
  <c r="E196" i="282"/>
  <c r="E202" i="204"/>
  <c r="E201" i="204"/>
  <c r="E199" i="204"/>
  <c r="E198" i="204"/>
  <c r="E197" i="204"/>
  <c r="E196" i="204"/>
  <c r="E193" i="205"/>
  <c r="E192" i="205"/>
  <c r="E190" i="205"/>
  <c r="E189" i="205"/>
  <c r="E188" i="205"/>
  <c r="E187" i="205"/>
  <c r="E193" i="212"/>
  <c r="E192" i="212"/>
  <c r="E190" i="212"/>
  <c r="E189" i="212"/>
  <c r="E188" i="212"/>
  <c r="E187" i="212"/>
  <c r="E193" i="213"/>
  <c r="E192" i="213"/>
  <c r="E190" i="213"/>
  <c r="E189" i="213"/>
  <c r="E188" i="213"/>
  <c r="E187" i="213"/>
  <c r="E193" i="214"/>
  <c r="E192" i="214"/>
  <c r="E190" i="214"/>
  <c r="E189" i="214"/>
  <c r="E188" i="214"/>
  <c r="E187" i="214"/>
  <c r="E193" i="215"/>
  <c r="E192" i="215"/>
  <c r="E190" i="215"/>
  <c r="E189" i="215"/>
  <c r="E188" i="215"/>
  <c r="E187" i="215"/>
  <c r="E193" i="216"/>
  <c r="E192" i="216"/>
  <c r="E190" i="216"/>
  <c r="E189" i="216"/>
  <c r="E188" i="216"/>
  <c r="E187" i="216"/>
  <c r="E193" i="217"/>
  <c r="E192" i="217"/>
  <c r="E190" i="217"/>
  <c r="E189" i="217"/>
  <c r="E188" i="217"/>
  <c r="E187" i="217"/>
  <c r="E193" i="277"/>
  <c r="E192" i="277"/>
  <c r="E190" i="277"/>
  <c r="E189" i="277"/>
  <c r="E188" i="277"/>
  <c r="E187" i="277"/>
  <c r="E193" i="278"/>
  <c r="E192" i="278"/>
  <c r="E190" i="278"/>
  <c r="E189" i="278"/>
  <c r="E188" i="278"/>
  <c r="E187" i="278"/>
  <c r="E193" i="279"/>
  <c r="E192" i="279"/>
  <c r="E190" i="279"/>
  <c r="E189" i="279"/>
  <c r="E188" i="279"/>
  <c r="E187" i="279"/>
  <c r="E193" i="280"/>
  <c r="E192" i="280"/>
  <c r="E190" i="280"/>
  <c r="E189" i="280"/>
  <c r="E188" i="280"/>
  <c r="E187" i="280"/>
  <c r="E193" i="281"/>
  <c r="E192" i="281"/>
  <c r="E190" i="281"/>
  <c r="E189" i="281"/>
  <c r="E188" i="281"/>
  <c r="E187" i="281"/>
  <c r="E193" i="282"/>
  <c r="E192" i="282"/>
  <c r="E190" i="282"/>
  <c r="E189" i="282"/>
  <c r="E188" i="282"/>
  <c r="E187" i="282"/>
  <c r="E193" i="204"/>
  <c r="E192" i="204"/>
  <c r="E190" i="204"/>
  <c r="E189" i="204"/>
  <c r="E188" i="204"/>
  <c r="E187" i="204"/>
  <c r="E184" i="205"/>
  <c r="E183" i="205"/>
  <c r="E181" i="205"/>
  <c r="E180" i="205"/>
  <c r="E179" i="205"/>
  <c r="E178" i="205"/>
  <c r="E184" i="212"/>
  <c r="E183" i="212"/>
  <c r="E181" i="212"/>
  <c r="E180" i="212"/>
  <c r="E179" i="212"/>
  <c r="E178" i="212"/>
  <c r="E184" i="213"/>
  <c r="E183" i="213"/>
  <c r="E181" i="213"/>
  <c r="E180" i="213"/>
  <c r="E179" i="213"/>
  <c r="E178" i="213"/>
  <c r="E184" i="214"/>
  <c r="E183" i="214"/>
  <c r="E181" i="214"/>
  <c r="E180" i="214"/>
  <c r="E179" i="214"/>
  <c r="E178" i="214"/>
  <c r="E184" i="215"/>
  <c r="E183" i="215"/>
  <c r="E181" i="215"/>
  <c r="E180" i="215"/>
  <c r="E179" i="215"/>
  <c r="E178" i="215"/>
  <c r="E184" i="216"/>
  <c r="E183" i="216"/>
  <c r="E181" i="216"/>
  <c r="E180" i="216"/>
  <c r="E179" i="216"/>
  <c r="E178" i="216"/>
  <c r="E184" i="217"/>
  <c r="E183" i="217"/>
  <c r="E181" i="217"/>
  <c r="E180" i="217"/>
  <c r="E179" i="217"/>
  <c r="E178" i="217"/>
  <c r="E184" i="277"/>
  <c r="E183" i="277"/>
  <c r="E181" i="277"/>
  <c r="E180" i="277"/>
  <c r="E179" i="277"/>
  <c r="E178" i="277"/>
  <c r="E184" i="278"/>
  <c r="E183" i="278"/>
  <c r="E181" i="278"/>
  <c r="E180" i="278"/>
  <c r="E179" i="278"/>
  <c r="E178" i="278"/>
  <c r="E184" i="279"/>
  <c r="E183" i="279"/>
  <c r="E181" i="279"/>
  <c r="E180" i="279"/>
  <c r="E179" i="279"/>
  <c r="E178" i="279"/>
  <c r="E184" i="280"/>
  <c r="E183" i="280"/>
  <c r="E181" i="280"/>
  <c r="E180" i="280"/>
  <c r="E179" i="280"/>
  <c r="E178" i="280"/>
  <c r="E184" i="281"/>
  <c r="E183" i="281"/>
  <c r="E181" i="281"/>
  <c r="E180" i="281"/>
  <c r="E179" i="281"/>
  <c r="E178" i="281"/>
  <c r="E184" i="282"/>
  <c r="E183" i="282"/>
  <c r="E181" i="282"/>
  <c r="E180" i="282"/>
  <c r="E179" i="282"/>
  <c r="E178" i="282"/>
  <c r="E184" i="204"/>
  <c r="E183" i="204"/>
  <c r="E181" i="204"/>
  <c r="E180" i="204"/>
  <c r="E179" i="204"/>
  <c r="E178" i="204"/>
  <c r="E166" i="205"/>
  <c r="E165" i="205"/>
  <c r="E163" i="205"/>
  <c r="E162" i="205"/>
  <c r="E161" i="205"/>
  <c r="E160" i="205"/>
  <c r="E166" i="212"/>
  <c r="E165" i="212"/>
  <c r="E163" i="212"/>
  <c r="E162" i="212"/>
  <c r="E161" i="212"/>
  <c r="E160" i="212"/>
  <c r="E166" i="213"/>
  <c r="E165" i="213"/>
  <c r="E163" i="213"/>
  <c r="E162" i="213"/>
  <c r="E161" i="213"/>
  <c r="E160" i="213"/>
  <c r="E166" i="214"/>
  <c r="E165" i="214"/>
  <c r="E163" i="214"/>
  <c r="E162" i="214"/>
  <c r="E161" i="214"/>
  <c r="E160" i="214"/>
  <c r="E166" i="215"/>
  <c r="E165" i="215"/>
  <c r="E163" i="215"/>
  <c r="E162" i="215"/>
  <c r="E161" i="215"/>
  <c r="E160" i="215"/>
  <c r="E166" i="216"/>
  <c r="E165" i="216"/>
  <c r="E163" i="216"/>
  <c r="E162" i="216"/>
  <c r="E161" i="216"/>
  <c r="E160" i="216"/>
  <c r="E166" i="217"/>
  <c r="E165" i="217"/>
  <c r="E163" i="217"/>
  <c r="E162" i="217"/>
  <c r="E161" i="217"/>
  <c r="E160" i="217"/>
  <c r="E166" i="277"/>
  <c r="E165" i="277"/>
  <c r="E163" i="277"/>
  <c r="E162" i="277"/>
  <c r="E161" i="277"/>
  <c r="E160" i="277"/>
  <c r="E166" i="278"/>
  <c r="E165" i="278"/>
  <c r="E163" i="278"/>
  <c r="E162" i="278"/>
  <c r="E161" i="278"/>
  <c r="E160" i="278"/>
  <c r="E166" i="279"/>
  <c r="E165" i="279"/>
  <c r="E163" i="279"/>
  <c r="E162" i="279"/>
  <c r="E161" i="279"/>
  <c r="E160" i="279"/>
  <c r="E166" i="280"/>
  <c r="E165" i="280"/>
  <c r="E163" i="280"/>
  <c r="E162" i="280"/>
  <c r="E161" i="280"/>
  <c r="E160" i="280"/>
  <c r="E166" i="281"/>
  <c r="E165" i="281"/>
  <c r="E163" i="281"/>
  <c r="E162" i="281"/>
  <c r="E161" i="281"/>
  <c r="E160" i="281"/>
  <c r="E166" i="282"/>
  <c r="E165" i="282"/>
  <c r="E163" i="282"/>
  <c r="E162" i="282"/>
  <c r="E161" i="282"/>
  <c r="E160" i="282"/>
  <c r="E166" i="204"/>
  <c r="E165" i="204"/>
  <c r="E163" i="204"/>
  <c r="E162" i="204"/>
  <c r="E161" i="204"/>
  <c r="E160" i="204"/>
  <c r="E157" i="205"/>
  <c r="E156" i="205"/>
  <c r="E154" i="205"/>
  <c r="E153" i="205"/>
  <c r="E152" i="205"/>
  <c r="E151" i="205"/>
  <c r="E157" i="212"/>
  <c r="E156" i="212"/>
  <c r="E154" i="212"/>
  <c r="E153" i="212"/>
  <c r="E152" i="212"/>
  <c r="E151" i="212"/>
  <c r="E157" i="213"/>
  <c r="E156" i="213"/>
  <c r="E154" i="213"/>
  <c r="E153" i="213"/>
  <c r="E152" i="213"/>
  <c r="E151" i="213"/>
  <c r="E157" i="214"/>
  <c r="E156" i="214"/>
  <c r="E154" i="214"/>
  <c r="E153" i="214"/>
  <c r="E152" i="214"/>
  <c r="E151" i="214"/>
  <c r="E157" i="215"/>
  <c r="E156" i="215"/>
  <c r="E154" i="215"/>
  <c r="E153" i="215"/>
  <c r="E152" i="215"/>
  <c r="E151" i="215"/>
  <c r="E157" i="216"/>
  <c r="E156" i="216"/>
  <c r="E154" i="216"/>
  <c r="E153" i="216"/>
  <c r="E152" i="216"/>
  <c r="E151" i="216"/>
  <c r="E157" i="217"/>
  <c r="E156" i="217"/>
  <c r="E154" i="217"/>
  <c r="E153" i="217"/>
  <c r="E152" i="217"/>
  <c r="E151" i="217"/>
  <c r="E157" i="277"/>
  <c r="E156" i="277"/>
  <c r="E154" i="277"/>
  <c r="E153" i="277"/>
  <c r="E152" i="277"/>
  <c r="E151" i="277"/>
  <c r="E157" i="278"/>
  <c r="E156" i="278"/>
  <c r="E154" i="278"/>
  <c r="E153" i="278"/>
  <c r="E152" i="278"/>
  <c r="E151" i="278"/>
  <c r="E157" i="279"/>
  <c r="E156" i="279"/>
  <c r="E154" i="279"/>
  <c r="E153" i="279"/>
  <c r="E152" i="279"/>
  <c r="E151" i="279"/>
  <c r="E157" i="280"/>
  <c r="E156" i="280"/>
  <c r="E154" i="280"/>
  <c r="E153" i="280"/>
  <c r="E152" i="280"/>
  <c r="E151" i="280"/>
  <c r="E157" i="281"/>
  <c r="E156" i="281"/>
  <c r="E154" i="281"/>
  <c r="E153" i="281"/>
  <c r="E152" i="281"/>
  <c r="E151" i="281"/>
  <c r="E157" i="282"/>
  <c r="E156" i="282"/>
  <c r="E154" i="282"/>
  <c r="E153" i="282"/>
  <c r="E152" i="282"/>
  <c r="E151" i="282"/>
  <c r="E157" i="204"/>
  <c r="E156" i="204"/>
  <c r="E154" i="204"/>
  <c r="E153" i="204"/>
  <c r="E152" i="204"/>
  <c r="E151" i="204"/>
  <c r="E148" i="205"/>
  <c r="E147" i="205"/>
  <c r="E145" i="205"/>
  <c r="E144" i="205"/>
  <c r="E143" i="205"/>
  <c r="E142" i="205"/>
  <c r="E148" i="212"/>
  <c r="E147" i="212"/>
  <c r="E145" i="212"/>
  <c r="E144" i="212"/>
  <c r="E143" i="212"/>
  <c r="E142" i="212"/>
  <c r="E148" i="213"/>
  <c r="E147" i="213"/>
  <c r="E145" i="213"/>
  <c r="E144" i="213"/>
  <c r="E143" i="213"/>
  <c r="E142" i="213"/>
  <c r="E148" i="214"/>
  <c r="E147" i="214"/>
  <c r="E145" i="214"/>
  <c r="E144" i="214"/>
  <c r="E143" i="214"/>
  <c r="E142" i="214"/>
  <c r="E148" i="215"/>
  <c r="E147" i="215"/>
  <c r="E145" i="215"/>
  <c r="E144" i="215"/>
  <c r="E143" i="215"/>
  <c r="E142" i="215"/>
  <c r="E148" i="216"/>
  <c r="E147" i="216"/>
  <c r="E145" i="216"/>
  <c r="E144" i="216"/>
  <c r="E143" i="216"/>
  <c r="E142" i="216"/>
  <c r="E148" i="217"/>
  <c r="E147" i="217"/>
  <c r="E145" i="217"/>
  <c r="E144" i="217"/>
  <c r="E143" i="217"/>
  <c r="E142" i="217"/>
  <c r="E148" i="277"/>
  <c r="E147" i="277"/>
  <c r="E145" i="277"/>
  <c r="E144" i="277"/>
  <c r="E143" i="277"/>
  <c r="E142" i="277"/>
  <c r="E148" i="278"/>
  <c r="E147" i="278"/>
  <c r="E145" i="278"/>
  <c r="E144" i="278"/>
  <c r="E143" i="278"/>
  <c r="E142" i="278"/>
  <c r="E148" i="279"/>
  <c r="E147" i="279"/>
  <c r="E145" i="279"/>
  <c r="E144" i="279"/>
  <c r="E143" i="279"/>
  <c r="E142" i="279"/>
  <c r="E148" i="280"/>
  <c r="E147" i="280"/>
  <c r="E145" i="280"/>
  <c r="E144" i="280"/>
  <c r="E143" i="280"/>
  <c r="E142" i="280"/>
  <c r="E148" i="281"/>
  <c r="E147" i="281"/>
  <c r="E145" i="281"/>
  <c r="E144" i="281"/>
  <c r="E143" i="281"/>
  <c r="E142" i="281"/>
  <c r="E148" i="282"/>
  <c r="E147" i="282"/>
  <c r="E145" i="282"/>
  <c r="E144" i="282"/>
  <c r="E143" i="282"/>
  <c r="E142" i="282"/>
  <c r="E148" i="204"/>
  <c r="E147" i="204"/>
  <c r="E145" i="204"/>
  <c r="E144" i="204"/>
  <c r="E143" i="204"/>
  <c r="E142" i="204"/>
  <c r="E139" i="205"/>
  <c r="E138" i="205"/>
  <c r="E136" i="205"/>
  <c r="E135" i="205"/>
  <c r="E134" i="205"/>
  <c r="E133" i="205"/>
  <c r="E139" i="212"/>
  <c r="E138" i="212"/>
  <c r="E136" i="212"/>
  <c r="E135" i="212"/>
  <c r="E134" i="212"/>
  <c r="E133" i="212"/>
  <c r="E139" i="213"/>
  <c r="E138" i="213"/>
  <c r="E136" i="213"/>
  <c r="E135" i="213"/>
  <c r="E134" i="213"/>
  <c r="E133" i="213"/>
  <c r="E139" i="214"/>
  <c r="E138" i="214"/>
  <c r="E136" i="214"/>
  <c r="E135" i="214"/>
  <c r="E134" i="214"/>
  <c r="E133" i="214"/>
  <c r="E139" i="215"/>
  <c r="E138" i="215"/>
  <c r="E136" i="215"/>
  <c r="E135" i="215"/>
  <c r="E134" i="215"/>
  <c r="E133" i="215"/>
  <c r="E139" i="216"/>
  <c r="E138" i="216"/>
  <c r="E136" i="216"/>
  <c r="E135" i="216"/>
  <c r="E134" i="216"/>
  <c r="E133" i="216"/>
  <c r="E139" i="217"/>
  <c r="E138" i="217"/>
  <c r="E136" i="217"/>
  <c r="E135" i="217"/>
  <c r="E134" i="217"/>
  <c r="E133" i="217"/>
  <c r="E139" i="277"/>
  <c r="E138" i="277"/>
  <c r="E136" i="277"/>
  <c r="E135" i="277"/>
  <c r="E134" i="277"/>
  <c r="E133" i="277"/>
  <c r="E139" i="278"/>
  <c r="E138" i="278"/>
  <c r="E136" i="278"/>
  <c r="E135" i="278"/>
  <c r="E134" i="278"/>
  <c r="E133" i="278"/>
  <c r="E139" i="279"/>
  <c r="E138" i="279"/>
  <c r="E136" i="279"/>
  <c r="E135" i="279"/>
  <c r="E134" i="279"/>
  <c r="E133" i="279"/>
  <c r="E139" i="280"/>
  <c r="E138" i="280"/>
  <c r="E136" i="280"/>
  <c r="E135" i="280"/>
  <c r="E134" i="280"/>
  <c r="E133" i="280"/>
  <c r="E139" i="281"/>
  <c r="E138" i="281"/>
  <c r="E136" i="281"/>
  <c r="E135" i="281"/>
  <c r="E134" i="281"/>
  <c r="E133" i="281"/>
  <c r="E139" i="282"/>
  <c r="E138" i="282"/>
  <c r="E136" i="282"/>
  <c r="E135" i="282"/>
  <c r="E134" i="282"/>
  <c r="E133" i="282"/>
  <c r="E139" i="204"/>
  <c r="E138" i="204"/>
  <c r="E136" i="204"/>
  <c r="E135" i="204"/>
  <c r="E134" i="204"/>
  <c r="E133" i="204"/>
  <c r="E127" i="205"/>
  <c r="E129" i="205"/>
  <c r="E127" i="212"/>
  <c r="E129" i="212"/>
  <c r="E127" i="213"/>
  <c r="E129" i="213"/>
  <c r="E127" i="214"/>
  <c r="E129" i="214"/>
  <c r="E127" i="215"/>
  <c r="E129" i="215"/>
  <c r="E127" i="216"/>
  <c r="E129" i="216"/>
  <c r="E127" i="217"/>
  <c r="E129" i="217"/>
  <c r="E127" i="277"/>
  <c r="E129" i="277"/>
  <c r="E127" i="278"/>
  <c r="E129" i="278"/>
  <c r="E127" i="279"/>
  <c r="E129" i="279"/>
  <c r="E127" i="280"/>
  <c r="E129" i="280"/>
  <c r="E127" i="281"/>
  <c r="E129" i="281"/>
  <c r="E127" i="282"/>
  <c r="E129" i="282"/>
  <c r="E127" i="204"/>
  <c r="E129" i="204"/>
  <c r="E118" i="205"/>
  <c r="E120" i="205"/>
  <c r="E118" i="212"/>
  <c r="E120" i="212"/>
  <c r="E118" i="213"/>
  <c r="E120" i="213"/>
  <c r="E118" i="214"/>
  <c r="E120" i="214"/>
  <c r="E118" i="215"/>
  <c r="E120" i="215"/>
  <c r="E118" i="216"/>
  <c r="E120" i="216"/>
  <c r="E118" i="217"/>
  <c r="E120" i="217"/>
  <c r="E118" i="277"/>
  <c r="E120" i="277"/>
  <c r="E118" i="278"/>
  <c r="E120" i="278"/>
  <c r="E118" i="279"/>
  <c r="E120" i="279"/>
  <c r="E118" i="280"/>
  <c r="E120" i="280"/>
  <c r="E118" i="281"/>
  <c r="E120" i="281"/>
  <c r="E118" i="282"/>
  <c r="E120" i="282"/>
  <c r="E118" i="204"/>
  <c r="E120" i="204"/>
  <c r="E109" i="205"/>
  <c r="E111" i="205"/>
  <c r="E109" i="212"/>
  <c r="E111" i="212"/>
  <c r="E109" i="213"/>
  <c r="E111" i="213"/>
  <c r="E109" i="214"/>
  <c r="E111" i="214"/>
  <c r="E109" i="215"/>
  <c r="E111" i="215"/>
  <c r="E109" i="216"/>
  <c r="E111" i="216"/>
  <c r="E109" i="217"/>
  <c r="E111" i="217"/>
  <c r="E109" i="277"/>
  <c r="E111" i="277"/>
  <c r="E109" i="278"/>
  <c r="E111" i="278"/>
  <c r="E109" i="279"/>
  <c r="E111" i="279"/>
  <c r="E109" i="280"/>
  <c r="E111" i="280"/>
  <c r="E109" i="281"/>
  <c r="E111" i="281"/>
  <c r="E109" i="282"/>
  <c r="E111" i="282"/>
  <c r="E109" i="204"/>
  <c r="E111" i="204"/>
  <c r="E98" i="205"/>
  <c r="E100" i="205"/>
  <c r="E98" i="212"/>
  <c r="E100" i="212"/>
  <c r="E98" i="213"/>
  <c r="E100" i="213"/>
  <c r="E98" i="214"/>
  <c r="E100" i="214"/>
  <c r="E98" i="215"/>
  <c r="E100" i="215"/>
  <c r="E98" i="216"/>
  <c r="E100" i="216"/>
  <c r="E98" i="217"/>
  <c r="E100" i="217"/>
  <c r="E98" i="277"/>
  <c r="E100" i="277"/>
  <c r="E98" i="278"/>
  <c r="E100" i="278"/>
  <c r="E98" i="279"/>
  <c r="E100" i="279"/>
  <c r="E98" i="280"/>
  <c r="E100" i="280"/>
  <c r="E98" i="281"/>
  <c r="E100" i="281"/>
  <c r="E98" i="282"/>
  <c r="E100" i="282"/>
  <c r="E98" i="204"/>
  <c r="E100" i="204"/>
  <c r="AQ82" i="195"/>
  <c r="AP82" i="195"/>
  <c r="AO82" i="195"/>
  <c r="AN82" i="195"/>
  <c r="AM82" i="195"/>
  <c r="AL82" i="195"/>
  <c r="AK82" i="195"/>
  <c r="AJ82" i="195"/>
  <c r="AQ70" i="195"/>
  <c r="AP70" i="195"/>
  <c r="AO70" i="195"/>
  <c r="AN70" i="195"/>
  <c r="AM70" i="195"/>
  <c r="AL70" i="195"/>
  <c r="AK70" i="195"/>
  <c r="AJ70" i="195"/>
  <c r="AQ56" i="195"/>
  <c r="AP56" i="195"/>
  <c r="AO56" i="195"/>
  <c r="AN56" i="195"/>
  <c r="AM56" i="195"/>
  <c r="AL56" i="195"/>
  <c r="AK56" i="195"/>
  <c r="AJ56" i="195"/>
  <c r="AJ44" i="195"/>
  <c r="AQ32" i="195"/>
  <c r="AP32" i="195"/>
  <c r="AO32" i="195"/>
  <c r="AN32" i="195"/>
  <c r="AM32" i="195"/>
  <c r="AL32" i="195"/>
  <c r="AK32" i="195"/>
  <c r="AJ32" i="195"/>
  <c r="AQ228" i="189"/>
  <c r="AP228" i="189"/>
  <c r="AO228" i="189"/>
  <c r="AN228" i="189"/>
  <c r="AM228" i="189"/>
  <c r="AL228" i="189"/>
  <c r="AK228" i="189"/>
  <c r="AJ228" i="189"/>
  <c r="AQ226" i="189"/>
  <c r="AP226" i="189"/>
  <c r="AO226" i="189"/>
  <c r="AN226" i="189"/>
  <c r="AM226" i="189"/>
  <c r="AL226" i="189"/>
  <c r="AK226" i="189"/>
  <c r="AJ226" i="189"/>
  <c r="AJ429" i="189" l="1"/>
  <c r="AL429" i="189"/>
  <c r="AN429" i="189"/>
  <c r="AP429" i="189"/>
  <c r="AK429" i="189"/>
  <c r="AM429" i="189"/>
  <c r="AO429" i="189"/>
  <c r="AQ429" i="189"/>
  <c r="AH353" i="189" l="1"/>
  <c r="AI353" i="189"/>
  <c r="AH363" i="189" l="1"/>
  <c r="AH351" i="189"/>
  <c r="AH359" i="189"/>
  <c r="AH355" i="189"/>
  <c r="AH361" i="189"/>
  <c r="AI361" i="189"/>
  <c r="AH357" i="189"/>
  <c r="AI357" i="189"/>
  <c r="I28" i="240" l="1"/>
  <c r="E22" i="240" l="1"/>
  <c r="E23" i="240"/>
  <c r="E24" i="240"/>
  <c r="E25" i="240"/>
  <c r="E26" i="240"/>
  <c r="E27" i="240"/>
  <c r="E21" i="240"/>
  <c r="E20" i="240"/>
  <c r="E19" i="240"/>
  <c r="E18" i="240"/>
  <c r="E17" i="240"/>
  <c r="E16" i="240"/>
  <c r="E15" i="240"/>
  <c r="E14" i="240"/>
  <c r="E195" i="189" l="1"/>
  <c r="E186" i="189"/>
  <c r="E204" i="189"/>
  <c r="AQ195" i="189" l="1"/>
  <c r="AP195" i="189"/>
  <c r="AO195" i="189"/>
  <c r="AN195" i="189"/>
  <c r="AM195" i="189"/>
  <c r="AL195" i="189"/>
  <c r="AK195" i="189"/>
  <c r="AJ195" i="189"/>
  <c r="AQ186" i="189"/>
  <c r="AP186" i="189"/>
  <c r="AO186" i="189"/>
  <c r="AN186" i="189"/>
  <c r="AM186" i="189"/>
  <c r="AL186" i="189"/>
  <c r="AK186" i="189"/>
  <c r="AJ186" i="189"/>
  <c r="G11" i="205"/>
  <c r="G11" i="212"/>
  <c r="G11" i="213"/>
  <c r="G11" i="214"/>
  <c r="G11" i="215"/>
  <c r="G11" i="216"/>
  <c r="G11" i="217"/>
  <c r="G11" i="277"/>
  <c r="G11" i="278"/>
  <c r="G11" i="279"/>
  <c r="G11" i="280"/>
  <c r="G11" i="281"/>
  <c r="G11" i="282"/>
  <c r="G11" i="204"/>
  <c r="E186" i="204"/>
  <c r="E195" i="204"/>
  <c r="E186" i="205"/>
  <c r="E195" i="205"/>
  <c r="E186" i="212"/>
  <c r="E195" i="212"/>
  <c r="E186" i="213"/>
  <c r="E195" i="213"/>
  <c r="E186" i="214"/>
  <c r="E195" i="214"/>
  <c r="E186" i="215"/>
  <c r="E195" i="215"/>
  <c r="E186" i="216"/>
  <c r="E195" i="216"/>
  <c r="E186" i="217"/>
  <c r="E195" i="217"/>
  <c r="E186" i="277"/>
  <c r="E195" i="277"/>
  <c r="E186" i="278"/>
  <c r="E195" i="278"/>
  <c r="E186" i="279"/>
  <c r="E195" i="279"/>
  <c r="E186" i="280"/>
  <c r="E195" i="280"/>
  <c r="E186" i="281"/>
  <c r="E195" i="281"/>
  <c r="E186" i="282"/>
  <c r="E195" i="282"/>
  <c r="I320" i="189" l="1"/>
  <c r="L329" i="189"/>
  <c r="L17" i="283" s="1"/>
  <c r="N329" i="189"/>
  <c r="N17" i="283" s="1"/>
  <c r="P329" i="189"/>
  <c r="P17" i="283" s="1"/>
  <c r="R329" i="189"/>
  <c r="R17" i="283" s="1"/>
  <c r="T329" i="189"/>
  <c r="T17" i="283" s="1"/>
  <c r="V329" i="189"/>
  <c r="V17" i="283" s="1"/>
  <c r="X329" i="189"/>
  <c r="X17" i="283" s="1"/>
  <c r="Z329" i="189"/>
  <c r="Z17" i="283" s="1"/>
  <c r="AB329" i="189"/>
  <c r="AB17" i="283" s="1"/>
  <c r="AD329" i="189"/>
  <c r="AD17" i="283" s="1"/>
  <c r="K329" i="189"/>
  <c r="K17" i="283" s="1"/>
  <c r="M329" i="189"/>
  <c r="M17" i="283" s="1"/>
  <c r="O329" i="189"/>
  <c r="O17" i="283" s="1"/>
  <c r="Q329" i="189"/>
  <c r="Q17" i="283" s="1"/>
  <c r="S329" i="189"/>
  <c r="S17" i="283" s="1"/>
  <c r="U329" i="189"/>
  <c r="U17" i="283" s="1"/>
  <c r="W329" i="189"/>
  <c r="W17" i="283" s="1"/>
  <c r="Y329" i="189"/>
  <c r="Y17" i="283" s="1"/>
  <c r="AA329" i="189"/>
  <c r="AA17" i="283" s="1"/>
  <c r="AC329" i="189"/>
  <c r="AC17" i="283" s="1"/>
  <c r="AJ47" i="217"/>
  <c r="AJ47" i="277"/>
  <c r="AJ47" i="278"/>
  <c r="AI49" i="189" l="1"/>
  <c r="I82" i="189"/>
  <c r="AI61" i="308" l="1"/>
  <c r="I143" i="308"/>
  <c r="I22" i="197"/>
  <c r="G257" i="283" l="1"/>
  <c r="AJ76" i="15" l="1"/>
  <c r="E318" i="205" l="1"/>
  <c r="E318" i="212"/>
  <c r="E318" i="213"/>
  <c r="E318" i="214"/>
  <c r="E318" i="215"/>
  <c r="E318" i="216"/>
  <c r="E318" i="217"/>
  <c r="E318" i="277"/>
  <c r="E318" i="278"/>
  <c r="E318" i="279"/>
  <c r="E318" i="280"/>
  <c r="E318" i="281"/>
  <c r="E318" i="282"/>
  <c r="E318" i="204"/>
  <c r="I30" i="283"/>
  <c r="AG57" i="189" l="1"/>
  <c r="AG58" i="189"/>
  <c r="E381" i="205"/>
  <c r="E377" i="205"/>
  <c r="E376" i="205"/>
  <c r="E375" i="205"/>
  <c r="E381" i="212"/>
  <c r="E377" i="212"/>
  <c r="E376" i="212"/>
  <c r="E375" i="212"/>
  <c r="E381" i="213"/>
  <c r="E377" i="213"/>
  <c r="E376" i="213"/>
  <c r="E375" i="213"/>
  <c r="E381" i="214"/>
  <c r="E377" i="214"/>
  <c r="E376" i="214"/>
  <c r="E375" i="214"/>
  <c r="E381" i="215"/>
  <c r="E377" i="215"/>
  <c r="E376" i="215"/>
  <c r="E375" i="215"/>
  <c r="E381" i="216"/>
  <c r="E377" i="216"/>
  <c r="E376" i="216"/>
  <c r="E375" i="216"/>
  <c r="E381" i="217"/>
  <c r="E377" i="217"/>
  <c r="E376" i="217"/>
  <c r="E375" i="217"/>
  <c r="E381" i="277"/>
  <c r="E377" i="277"/>
  <c r="E376" i="277"/>
  <c r="E375" i="277"/>
  <c r="E381" i="278"/>
  <c r="E377" i="278"/>
  <c r="E376" i="278"/>
  <c r="E375" i="278"/>
  <c r="E381" i="279"/>
  <c r="E377" i="279"/>
  <c r="E376" i="279"/>
  <c r="E375" i="279"/>
  <c r="E381" i="280"/>
  <c r="E377" i="280"/>
  <c r="E376" i="280"/>
  <c r="E375" i="280"/>
  <c r="E381" i="281"/>
  <c r="E377" i="281"/>
  <c r="E376" i="281"/>
  <c r="E375" i="281"/>
  <c r="E381" i="282"/>
  <c r="E377" i="282"/>
  <c r="E376" i="282"/>
  <c r="E375" i="282"/>
  <c r="E381" i="204"/>
  <c r="E377" i="204"/>
  <c r="E376" i="204"/>
  <c r="E375" i="204"/>
  <c r="E229" i="205"/>
  <c r="E225" i="205"/>
  <c r="E224" i="205"/>
  <c r="E223" i="205"/>
  <c r="E229" i="212"/>
  <c r="E225" i="212"/>
  <c r="E224" i="212"/>
  <c r="E223" i="212"/>
  <c r="E229" i="213"/>
  <c r="E225" i="213"/>
  <c r="E224" i="213"/>
  <c r="E223" i="213"/>
  <c r="E229" i="214"/>
  <c r="E225" i="214"/>
  <c r="E224" i="214"/>
  <c r="E223" i="214"/>
  <c r="E229" i="215"/>
  <c r="E225" i="215"/>
  <c r="E224" i="215"/>
  <c r="E223" i="215"/>
  <c r="E229" i="216"/>
  <c r="E225" i="216"/>
  <c r="E224" i="216"/>
  <c r="E223" i="216"/>
  <c r="E229" i="217"/>
  <c r="E225" i="217"/>
  <c r="E224" i="217"/>
  <c r="E223" i="217"/>
  <c r="E229" i="277"/>
  <c r="E225" i="277"/>
  <c r="E224" i="277"/>
  <c r="E223" i="277"/>
  <c r="E229" i="278"/>
  <c r="E225" i="278"/>
  <c r="E224" i="278"/>
  <c r="E223" i="278"/>
  <c r="E229" i="279"/>
  <c r="E225" i="279"/>
  <c r="E224" i="279"/>
  <c r="E223" i="279"/>
  <c r="E229" i="280"/>
  <c r="E225" i="280"/>
  <c r="E224" i="280"/>
  <c r="E223" i="280"/>
  <c r="E229" i="281"/>
  <c r="E225" i="281"/>
  <c r="E224" i="281"/>
  <c r="E223" i="281"/>
  <c r="E229" i="282"/>
  <c r="E225" i="282"/>
  <c r="E224" i="282"/>
  <c r="E223" i="282"/>
  <c r="E229" i="204"/>
  <c r="E225" i="204"/>
  <c r="E224" i="204"/>
  <c r="E223" i="204"/>
  <c r="E219" i="205"/>
  <c r="E215" i="205"/>
  <c r="E214" i="205"/>
  <c r="E213" i="205"/>
  <c r="E219" i="212"/>
  <c r="E215" i="212"/>
  <c r="E214" i="212"/>
  <c r="E213" i="212"/>
  <c r="E219" i="213"/>
  <c r="E215" i="213"/>
  <c r="E214" i="213"/>
  <c r="E213" i="213"/>
  <c r="E219" i="214"/>
  <c r="E215" i="214"/>
  <c r="E214" i="214"/>
  <c r="E213" i="214"/>
  <c r="E219" i="215"/>
  <c r="E215" i="215"/>
  <c r="E214" i="215"/>
  <c r="E213" i="215"/>
  <c r="E219" i="216"/>
  <c r="E215" i="216"/>
  <c r="E214" i="216"/>
  <c r="E213" i="216"/>
  <c r="E219" i="217"/>
  <c r="E215" i="217"/>
  <c r="E214" i="217"/>
  <c r="E213" i="217"/>
  <c r="E219" i="277"/>
  <c r="E215" i="277"/>
  <c r="E214" i="277"/>
  <c r="E213" i="277"/>
  <c r="E219" i="278"/>
  <c r="E215" i="278"/>
  <c r="E214" i="278"/>
  <c r="E213" i="278"/>
  <c r="E219" i="279"/>
  <c r="E215" i="279"/>
  <c r="E214" i="279"/>
  <c r="E213" i="279"/>
  <c r="E219" i="280"/>
  <c r="E215" i="280"/>
  <c r="E214" i="280"/>
  <c r="E213" i="280"/>
  <c r="E219" i="281"/>
  <c r="E215" i="281"/>
  <c r="E214" i="281"/>
  <c r="E213" i="281"/>
  <c r="E219" i="282"/>
  <c r="E215" i="282"/>
  <c r="E214" i="282"/>
  <c r="E213" i="282"/>
  <c r="E219" i="204"/>
  <c r="E215" i="204"/>
  <c r="E214" i="204"/>
  <c r="E213" i="204"/>
  <c r="AH58" i="189" l="1"/>
  <c r="AH57" i="189"/>
  <c r="E101" i="205"/>
  <c r="E97" i="205"/>
  <c r="E96" i="205"/>
  <c r="E95" i="205"/>
  <c r="E101" i="212"/>
  <c r="E97" i="212"/>
  <c r="E96" i="212"/>
  <c r="E95" i="212"/>
  <c r="E101" i="213"/>
  <c r="E97" i="213"/>
  <c r="E96" i="213"/>
  <c r="E95" i="213"/>
  <c r="E101" i="214"/>
  <c r="E97" i="214"/>
  <c r="E96" i="214"/>
  <c r="E95" i="214"/>
  <c r="E101" i="215"/>
  <c r="E97" i="215"/>
  <c r="E96" i="215"/>
  <c r="E95" i="215"/>
  <c r="E101" i="216"/>
  <c r="E97" i="216"/>
  <c r="E96" i="216"/>
  <c r="E95" i="216"/>
  <c r="E101" i="217"/>
  <c r="E97" i="217"/>
  <c r="E96" i="217"/>
  <c r="E95" i="217"/>
  <c r="E101" i="277"/>
  <c r="E97" i="277"/>
  <c r="E96" i="277"/>
  <c r="E95" i="277"/>
  <c r="E101" i="278"/>
  <c r="E97" i="278"/>
  <c r="E96" i="278"/>
  <c r="E95" i="278"/>
  <c r="E101" i="279"/>
  <c r="E97" i="279"/>
  <c r="E96" i="279"/>
  <c r="E95" i="279"/>
  <c r="E101" i="280"/>
  <c r="E97" i="280"/>
  <c r="E96" i="280"/>
  <c r="E95" i="280"/>
  <c r="E101" i="281"/>
  <c r="E97" i="281"/>
  <c r="E96" i="281"/>
  <c r="E95" i="281"/>
  <c r="E101" i="282"/>
  <c r="E97" i="282"/>
  <c r="E96" i="282"/>
  <c r="E95" i="282"/>
  <c r="E101" i="204"/>
  <c r="E97" i="204"/>
  <c r="E96" i="204"/>
  <c r="E95" i="204"/>
  <c r="G17" i="7"/>
  <c r="I7" i="308" l="1"/>
  <c r="AI57" i="189"/>
  <c r="AI58" i="189"/>
  <c r="AJ58" i="189" l="1"/>
  <c r="AJ57" i="189"/>
  <c r="M133" i="283"/>
  <c r="N133" i="283"/>
  <c r="M82" i="283"/>
  <c r="N82" i="283"/>
  <c r="M37" i="283"/>
  <c r="N37" i="283"/>
  <c r="M23" i="283"/>
  <c r="N23" i="283"/>
  <c r="I7" i="283"/>
  <c r="E334" i="205"/>
  <c r="E329" i="205"/>
  <c r="E328" i="205"/>
  <c r="E327" i="205"/>
  <c r="E326" i="205"/>
  <c r="E325" i="205"/>
  <c r="E324" i="205"/>
  <c r="E317" i="205"/>
  <c r="E334" i="212"/>
  <c r="E329" i="212"/>
  <c r="E328" i="212"/>
  <c r="E327" i="212"/>
  <c r="E326" i="212"/>
  <c r="E325" i="212"/>
  <c r="E324" i="212"/>
  <c r="E317" i="212"/>
  <c r="E334" i="213"/>
  <c r="E329" i="213"/>
  <c r="E328" i="213"/>
  <c r="E327" i="213"/>
  <c r="E326" i="213"/>
  <c r="E325" i="213"/>
  <c r="E324" i="213"/>
  <c r="E317" i="213"/>
  <c r="E334" i="214"/>
  <c r="E329" i="214"/>
  <c r="E328" i="214"/>
  <c r="E327" i="214"/>
  <c r="E326" i="214"/>
  <c r="E325" i="214"/>
  <c r="E324" i="214"/>
  <c r="E317" i="214"/>
  <c r="E334" i="215"/>
  <c r="E329" i="215"/>
  <c r="E328" i="215"/>
  <c r="E327" i="215"/>
  <c r="E326" i="215"/>
  <c r="E325" i="215"/>
  <c r="E324" i="215"/>
  <c r="E317" i="215"/>
  <c r="E334" i="216"/>
  <c r="E329" i="216"/>
  <c r="E328" i="216"/>
  <c r="E327" i="216"/>
  <c r="E326" i="216"/>
  <c r="E325" i="216"/>
  <c r="E324" i="216"/>
  <c r="E317" i="216"/>
  <c r="E334" i="217"/>
  <c r="E329" i="217"/>
  <c r="E328" i="217"/>
  <c r="E327" i="217"/>
  <c r="E326" i="217"/>
  <c r="E325" i="217"/>
  <c r="E324" i="217"/>
  <c r="E317" i="217"/>
  <c r="E334" i="277"/>
  <c r="E329" i="277"/>
  <c r="E328" i="277"/>
  <c r="E327" i="277"/>
  <c r="E326" i="277"/>
  <c r="E325" i="277"/>
  <c r="E324" i="277"/>
  <c r="E317" i="277"/>
  <c r="E334" i="278"/>
  <c r="E329" i="278"/>
  <c r="E328" i="278"/>
  <c r="E327" i="278"/>
  <c r="E326" i="278"/>
  <c r="E325" i="278"/>
  <c r="E324" i="278"/>
  <c r="E317" i="278"/>
  <c r="E334" i="279"/>
  <c r="E329" i="279"/>
  <c r="E328" i="279"/>
  <c r="E327" i="279"/>
  <c r="E326" i="279"/>
  <c r="E325" i="279"/>
  <c r="E324" i="279"/>
  <c r="E317" i="279"/>
  <c r="E334" i="280"/>
  <c r="E329" i="280"/>
  <c r="E328" i="280"/>
  <c r="E327" i="280"/>
  <c r="E326" i="280"/>
  <c r="E325" i="280"/>
  <c r="E324" i="280"/>
  <c r="E317" i="280"/>
  <c r="E334" i="281"/>
  <c r="E329" i="281"/>
  <c r="E328" i="281"/>
  <c r="E327" i="281"/>
  <c r="E326" i="281"/>
  <c r="E325" i="281"/>
  <c r="E324" i="281"/>
  <c r="E317" i="281"/>
  <c r="E334" i="282"/>
  <c r="E329" i="282"/>
  <c r="E328" i="282"/>
  <c r="E327" i="282"/>
  <c r="E326" i="282"/>
  <c r="E325" i="282"/>
  <c r="E324" i="282"/>
  <c r="E317" i="282"/>
  <c r="E317" i="204"/>
  <c r="AQ43" i="15"/>
  <c r="AP43" i="15"/>
  <c r="AO43" i="15"/>
  <c r="AN43" i="15"/>
  <c r="AM43" i="15"/>
  <c r="AL43" i="15"/>
  <c r="AK43" i="15"/>
  <c r="AJ43" i="15"/>
  <c r="AJ99" i="308" l="1"/>
  <c r="AJ133" i="202"/>
  <c r="AJ29" i="202"/>
  <c r="AJ208" i="161"/>
  <c r="AJ29" i="161"/>
  <c r="AJ208" i="308"/>
  <c r="AJ29" i="308"/>
  <c r="AJ135" i="202"/>
  <c r="AK58" i="189"/>
  <c r="AK57" i="189"/>
  <c r="AI23" i="283"/>
  <c r="AH23" i="283"/>
  <c r="AG23" i="283"/>
  <c r="AF23" i="283"/>
  <c r="AE23" i="283"/>
  <c r="AD23" i="283"/>
  <c r="AC23" i="283"/>
  <c r="AB23" i="283"/>
  <c r="AA23" i="283"/>
  <c r="Z23" i="283"/>
  <c r="Y23" i="283"/>
  <c r="X23" i="283"/>
  <c r="W23" i="283"/>
  <c r="V23" i="283"/>
  <c r="U23" i="283"/>
  <c r="T23" i="283"/>
  <c r="S23" i="283"/>
  <c r="R23" i="283"/>
  <c r="Q23" i="283"/>
  <c r="P23" i="283"/>
  <c r="O23" i="283"/>
  <c r="L23" i="283"/>
  <c r="K23" i="283"/>
  <c r="E334" i="204"/>
  <c r="E329" i="204"/>
  <c r="E328" i="204"/>
  <c r="E327" i="204"/>
  <c r="AQ37" i="283"/>
  <c r="AP37" i="283"/>
  <c r="AO37" i="283"/>
  <c r="AN37" i="283"/>
  <c r="AM37" i="283"/>
  <c r="AL37" i="283"/>
  <c r="AK37" i="283"/>
  <c r="AI37" i="283"/>
  <c r="AH37" i="283"/>
  <c r="AG37" i="283"/>
  <c r="AF37" i="283"/>
  <c r="AE37" i="283"/>
  <c r="AD37" i="283"/>
  <c r="AC37" i="283"/>
  <c r="AB37" i="283"/>
  <c r="AA37" i="283"/>
  <c r="Z37" i="283"/>
  <c r="Y37" i="283"/>
  <c r="X37" i="283"/>
  <c r="W37" i="283"/>
  <c r="V37" i="283"/>
  <c r="U37" i="283"/>
  <c r="T37" i="283"/>
  <c r="S37" i="283"/>
  <c r="R37" i="283"/>
  <c r="Q37" i="283"/>
  <c r="P37" i="283"/>
  <c r="O37" i="283"/>
  <c r="L37" i="283"/>
  <c r="K37" i="283"/>
  <c r="E326" i="204"/>
  <c r="AQ82" i="283"/>
  <c r="AP82" i="283"/>
  <c r="AO82" i="283"/>
  <c r="AM82" i="283"/>
  <c r="AL82" i="283"/>
  <c r="AJ82" i="283"/>
  <c r="E325" i="204"/>
  <c r="E324" i="204"/>
  <c r="AK99" i="308" l="1"/>
  <c r="AL58" i="189"/>
  <c r="AL57" i="189"/>
  <c r="AL29" i="202" s="1"/>
  <c r="AK135" i="202"/>
  <c r="AK133" i="202"/>
  <c r="AK29" i="308"/>
  <c r="AK208" i="308"/>
  <c r="AK29" i="202"/>
  <c r="AK29" i="161"/>
  <c r="AK208" i="161"/>
  <c r="AK16" i="283"/>
  <c r="AM16" i="283"/>
  <c r="AO16" i="283"/>
  <c r="AQ16" i="283"/>
  <c r="AJ16" i="283"/>
  <c r="AL16" i="283"/>
  <c r="AN16" i="283"/>
  <c r="AP16" i="283"/>
  <c r="K134" i="283"/>
  <c r="I28" i="283"/>
  <c r="I29" i="283"/>
  <c r="K82" i="283"/>
  <c r="L82" i="283"/>
  <c r="O82" i="283"/>
  <c r="P82" i="283"/>
  <c r="Q82" i="283"/>
  <c r="R82" i="283"/>
  <c r="S82" i="283"/>
  <c r="T82" i="283"/>
  <c r="U82" i="283"/>
  <c r="V82" i="283"/>
  <c r="W82" i="283"/>
  <c r="X82" i="283"/>
  <c r="Y82" i="283"/>
  <c r="Z82" i="283"/>
  <c r="AA82" i="283"/>
  <c r="AB82" i="283"/>
  <c r="AC82" i="283"/>
  <c r="AD82" i="283"/>
  <c r="AE82" i="283"/>
  <c r="AF82" i="283"/>
  <c r="AG82" i="283"/>
  <c r="AH82" i="283"/>
  <c r="AI82" i="283"/>
  <c r="I128" i="283"/>
  <c r="K133" i="283"/>
  <c r="L133" i="283"/>
  <c r="O133" i="283"/>
  <c r="P133" i="283"/>
  <c r="Q133" i="283"/>
  <c r="R133" i="283"/>
  <c r="S133" i="283"/>
  <c r="T133" i="283"/>
  <c r="U133" i="283"/>
  <c r="V133" i="283"/>
  <c r="W133" i="283"/>
  <c r="X133" i="283"/>
  <c r="Y133" i="283"/>
  <c r="Z133" i="283"/>
  <c r="AA133" i="283"/>
  <c r="AB133" i="283"/>
  <c r="AC133" i="283"/>
  <c r="AD133" i="283"/>
  <c r="AE133" i="283"/>
  <c r="AF133" i="283"/>
  <c r="AG133" i="283"/>
  <c r="AH133" i="283"/>
  <c r="AI133" i="283"/>
  <c r="AJ133" i="283"/>
  <c r="AK133" i="283"/>
  <c r="AL133" i="283"/>
  <c r="AM133" i="283"/>
  <c r="AN133" i="283"/>
  <c r="AO133" i="283"/>
  <c r="AP133" i="283"/>
  <c r="AQ133" i="283"/>
  <c r="AL99" i="308" l="1"/>
  <c r="AL133" i="202"/>
  <c r="AL208" i="161"/>
  <c r="AL29" i="161"/>
  <c r="AL29" i="308"/>
  <c r="AL208" i="308"/>
  <c r="AL135" i="202"/>
  <c r="Z83" i="283"/>
  <c r="Z127" i="283" s="1"/>
  <c r="AM58" i="189"/>
  <c r="AM57" i="189"/>
  <c r="AP38" i="283"/>
  <c r="AC83" i="283"/>
  <c r="AQ129" i="283"/>
  <c r="AN129" i="283"/>
  <c r="AL129" i="283"/>
  <c r="AJ129" i="283"/>
  <c r="AH129" i="283"/>
  <c r="AF129" i="283"/>
  <c r="AD129" i="283"/>
  <c r="AB129" i="283"/>
  <c r="Z129" i="283"/>
  <c r="X129" i="283"/>
  <c r="V129" i="283"/>
  <c r="T129" i="283"/>
  <c r="R129" i="283"/>
  <c r="P129" i="283"/>
  <c r="N129" i="283"/>
  <c r="L129" i="283"/>
  <c r="AP129" i="283"/>
  <c r="AM129" i="283"/>
  <c r="AK129" i="283"/>
  <c r="AI129" i="283"/>
  <c r="AG129" i="283"/>
  <c r="AE129" i="283"/>
  <c r="AC129" i="283"/>
  <c r="AA129" i="283"/>
  <c r="Y129" i="283"/>
  <c r="W129" i="283"/>
  <c r="U129" i="283"/>
  <c r="S129" i="283"/>
  <c r="Q129" i="283"/>
  <c r="O129" i="283"/>
  <c r="M129" i="283"/>
  <c r="AO129" i="283"/>
  <c r="AQ83" i="283"/>
  <c r="AO83" i="283"/>
  <c r="AM83" i="283"/>
  <c r="AK83" i="283"/>
  <c r="AI83" i="283"/>
  <c r="AG83" i="283"/>
  <c r="AE83" i="283"/>
  <c r="AA83" i="283"/>
  <c r="X83" i="283"/>
  <c r="V83" i="283"/>
  <c r="T83" i="283"/>
  <c r="R83" i="283"/>
  <c r="P83" i="283"/>
  <c r="N83" i="283"/>
  <c r="L83" i="283"/>
  <c r="AQ38" i="283"/>
  <c r="AO38" i="283"/>
  <c r="AM38" i="283"/>
  <c r="AK38" i="283"/>
  <c r="AI38" i="283"/>
  <c r="AG38" i="283"/>
  <c r="AE38" i="283"/>
  <c r="AC38" i="283"/>
  <c r="AA38" i="283"/>
  <c r="M38" i="283"/>
  <c r="O38" i="283"/>
  <c r="Q38" i="283"/>
  <c r="S38" i="283"/>
  <c r="U38" i="283"/>
  <c r="W38" i="283"/>
  <c r="Y38" i="283"/>
  <c r="AP83" i="283"/>
  <c r="AN83" i="283"/>
  <c r="AL83" i="283"/>
  <c r="AJ83" i="283"/>
  <c r="AH83" i="283"/>
  <c r="AF83" i="283"/>
  <c r="AD83" i="283"/>
  <c r="AB83" i="283"/>
  <c r="Y83" i="283"/>
  <c r="W83" i="283"/>
  <c r="U83" i="283"/>
  <c r="S83" i="283"/>
  <c r="Q83" i="283"/>
  <c r="O83" i="283"/>
  <c r="M83" i="283"/>
  <c r="AN38" i="283"/>
  <c r="AL38" i="283"/>
  <c r="AJ38" i="283"/>
  <c r="AH38" i="283"/>
  <c r="AF38" i="283"/>
  <c r="AD38" i="283"/>
  <c r="AB38" i="283"/>
  <c r="L38" i="283"/>
  <c r="N38" i="283"/>
  <c r="P38" i="283"/>
  <c r="R38" i="283"/>
  <c r="T38" i="283"/>
  <c r="V38" i="283"/>
  <c r="X38" i="283"/>
  <c r="Z38" i="283"/>
  <c r="AM99" i="308" l="1"/>
  <c r="AN58" i="189"/>
  <c r="AN57" i="189"/>
  <c r="AM135" i="202"/>
  <c r="AM133" i="202"/>
  <c r="AM29" i="308"/>
  <c r="AM208" i="308"/>
  <c r="AM29" i="202"/>
  <c r="AM29" i="161"/>
  <c r="AM208" i="161"/>
  <c r="Z134" i="283"/>
  <c r="L127" i="283"/>
  <c r="L134" i="283" s="1"/>
  <c r="O127" i="283"/>
  <c r="O134" i="283" s="1"/>
  <c r="S127" i="283"/>
  <c r="S134" i="283" s="1"/>
  <c r="W127" i="283"/>
  <c r="W134" i="283" s="1"/>
  <c r="AA127" i="283"/>
  <c r="AA134" i="283" s="1"/>
  <c r="AE127" i="283"/>
  <c r="AE134" i="283" s="1"/>
  <c r="AI127" i="283"/>
  <c r="AI134" i="283" s="1"/>
  <c r="AM127" i="283"/>
  <c r="AM134" i="283" s="1"/>
  <c r="AQ127" i="283"/>
  <c r="AQ134" i="283" s="1"/>
  <c r="N127" i="283"/>
  <c r="N134" i="283" s="1"/>
  <c r="M127" i="283"/>
  <c r="M134" i="283" s="1"/>
  <c r="V127" i="283"/>
  <c r="V134" i="283" s="1"/>
  <c r="X127" i="283"/>
  <c r="X134" i="283" s="1"/>
  <c r="AF127" i="283"/>
  <c r="AF134" i="283" s="1"/>
  <c r="T127" i="283"/>
  <c r="T134" i="283" s="1"/>
  <c r="AJ127" i="283"/>
  <c r="AJ134" i="283" s="1"/>
  <c r="AH127" i="283"/>
  <c r="AH134" i="283" s="1"/>
  <c r="AL127" i="283"/>
  <c r="AL134" i="283" s="1"/>
  <c r="Q127" i="283"/>
  <c r="Q134" i="283" s="1"/>
  <c r="U127" i="283"/>
  <c r="U134" i="283" s="1"/>
  <c r="Y127" i="283"/>
  <c r="Y134" i="283" s="1"/>
  <c r="AC127" i="283"/>
  <c r="AC134" i="283" s="1"/>
  <c r="AG127" i="283"/>
  <c r="AG134" i="283" s="1"/>
  <c r="AK127" i="283"/>
  <c r="AK134" i="283" s="1"/>
  <c r="AO127" i="283"/>
  <c r="AO134" i="283" s="1"/>
  <c r="R127" i="283"/>
  <c r="R134" i="283" s="1"/>
  <c r="P127" i="283"/>
  <c r="P134" i="283" s="1"/>
  <c r="AB127" i="283"/>
  <c r="AB134" i="283" s="1"/>
  <c r="AD127" i="283"/>
  <c r="AD134" i="283" s="1"/>
  <c r="AN127" i="283"/>
  <c r="AN134" i="283" s="1"/>
  <c r="AP127" i="283"/>
  <c r="AP134" i="283" s="1"/>
  <c r="AJ60" i="161"/>
  <c r="E243" i="282"/>
  <c r="E126" i="282"/>
  <c r="E130" i="282"/>
  <c r="E125" i="282"/>
  <c r="E124" i="282"/>
  <c r="E117" i="282"/>
  <c r="E121" i="282"/>
  <c r="E116" i="282"/>
  <c r="E115" i="282"/>
  <c r="E108" i="282"/>
  <c r="E112" i="282"/>
  <c r="E107" i="282"/>
  <c r="E106" i="282"/>
  <c r="E64" i="282"/>
  <c r="E239" i="282"/>
  <c r="E341" i="282"/>
  <c r="E340" i="282"/>
  <c r="E204" i="282"/>
  <c r="E11" i="282"/>
  <c r="E243" i="281"/>
  <c r="E126" i="281"/>
  <c r="E130" i="281"/>
  <c r="E125" i="281"/>
  <c r="E124" i="281"/>
  <c r="E117" i="281"/>
  <c r="E121" i="281"/>
  <c r="E116" i="281"/>
  <c r="E115" i="281"/>
  <c r="E108" i="281"/>
  <c r="E112" i="281"/>
  <c r="E107" i="281"/>
  <c r="E106" i="281"/>
  <c r="E64" i="281"/>
  <c r="E239" i="281"/>
  <c r="E341" i="281"/>
  <c r="E340" i="281"/>
  <c r="E204" i="281"/>
  <c r="E11" i="281"/>
  <c r="E243" i="280"/>
  <c r="E126" i="280"/>
  <c r="E130" i="280"/>
  <c r="E125" i="280"/>
  <c r="E124" i="280"/>
  <c r="E117" i="280"/>
  <c r="E121" i="280"/>
  <c r="E116" i="280"/>
  <c r="E115" i="280"/>
  <c r="E108" i="280"/>
  <c r="E112" i="280"/>
  <c r="E107" i="280"/>
  <c r="E106" i="280"/>
  <c r="E64" i="280"/>
  <c r="E239" i="280"/>
  <c r="E341" i="280"/>
  <c r="E340" i="280"/>
  <c r="E204" i="280"/>
  <c r="E11" i="280"/>
  <c r="E243" i="279"/>
  <c r="E126" i="279"/>
  <c r="E130" i="279"/>
  <c r="E125" i="279"/>
  <c r="E124" i="279"/>
  <c r="E117" i="279"/>
  <c r="E121" i="279"/>
  <c r="E116" i="279"/>
  <c r="E115" i="279"/>
  <c r="E108" i="279"/>
  <c r="E112" i="279"/>
  <c r="E107" i="279"/>
  <c r="E106" i="279"/>
  <c r="E64" i="279"/>
  <c r="E239" i="279"/>
  <c r="E341" i="279"/>
  <c r="E340" i="279"/>
  <c r="E204" i="279"/>
  <c r="E11" i="279"/>
  <c r="AQ428" i="278"/>
  <c r="AP428" i="278"/>
  <c r="AO428" i="278"/>
  <c r="AN428" i="278"/>
  <c r="AM428" i="278"/>
  <c r="AL428" i="278"/>
  <c r="AK428" i="278"/>
  <c r="AJ428" i="278"/>
  <c r="AQ432" i="278"/>
  <c r="AP432" i="278"/>
  <c r="AO432" i="278"/>
  <c r="AN432" i="278"/>
  <c r="AM432" i="278"/>
  <c r="AL432" i="278"/>
  <c r="AK432" i="278"/>
  <c r="AJ432" i="278"/>
  <c r="AQ427" i="278"/>
  <c r="AP427" i="278"/>
  <c r="AO427" i="278"/>
  <c r="AN427" i="278"/>
  <c r="AM427" i="278"/>
  <c r="AL427" i="278"/>
  <c r="AK427" i="278"/>
  <c r="AJ427" i="278"/>
  <c r="AQ426" i="278"/>
  <c r="AP426" i="278"/>
  <c r="AO426" i="278"/>
  <c r="AN426" i="278"/>
  <c r="AM426" i="278"/>
  <c r="AL426" i="278"/>
  <c r="AK426" i="278"/>
  <c r="AJ426" i="278"/>
  <c r="E243" i="278"/>
  <c r="E126" i="278"/>
  <c r="E130" i="278"/>
  <c r="E125" i="278"/>
  <c r="E124" i="278"/>
  <c r="E117" i="278"/>
  <c r="E121" i="278"/>
  <c r="E116" i="278"/>
  <c r="E115" i="278"/>
  <c r="E108" i="278"/>
  <c r="E112" i="278"/>
  <c r="E107" i="278"/>
  <c r="E106" i="278"/>
  <c r="E64" i="278"/>
  <c r="AQ47" i="278"/>
  <c r="AP47" i="278"/>
  <c r="AO47" i="278"/>
  <c r="AN47" i="278"/>
  <c r="AM47" i="278"/>
  <c r="AL47" i="278"/>
  <c r="AK47" i="278"/>
  <c r="AQ239" i="278"/>
  <c r="AP239" i="278"/>
  <c r="AO239" i="278"/>
  <c r="AN239" i="278"/>
  <c r="AM239" i="278"/>
  <c r="AL239" i="278"/>
  <c r="AK239" i="278"/>
  <c r="AJ239" i="278"/>
  <c r="E239" i="278"/>
  <c r="AQ341" i="278"/>
  <c r="AP341" i="278"/>
  <c r="AO341" i="278"/>
  <c r="AN341" i="278"/>
  <c r="AM341" i="278"/>
  <c r="AL341" i="278"/>
  <c r="AK341" i="278"/>
  <c r="AJ341" i="278"/>
  <c r="E341" i="278"/>
  <c r="AQ340" i="278"/>
  <c r="AP340" i="278"/>
  <c r="AO340" i="278"/>
  <c r="AN340" i="278"/>
  <c r="AM340" i="278"/>
  <c r="AL340" i="278"/>
  <c r="AK340" i="278"/>
  <c r="AJ340" i="278"/>
  <c r="E340" i="278"/>
  <c r="AQ204" i="278"/>
  <c r="AP204" i="278"/>
  <c r="AO204" i="278"/>
  <c r="AN204" i="278"/>
  <c r="AM204" i="278"/>
  <c r="AL204" i="278"/>
  <c r="AK204" i="278"/>
  <c r="AJ204" i="278"/>
  <c r="E204" i="278"/>
  <c r="AQ225" i="278"/>
  <c r="AP225" i="278"/>
  <c r="AO225" i="278"/>
  <c r="AN225" i="278"/>
  <c r="AM225" i="278"/>
  <c r="AL225" i="278"/>
  <c r="AK225" i="278"/>
  <c r="AJ225" i="278"/>
  <c r="AQ229" i="278"/>
  <c r="AP229" i="278"/>
  <c r="AO229" i="278"/>
  <c r="AN229" i="278"/>
  <c r="AM229" i="278"/>
  <c r="AL229" i="278"/>
  <c r="AK229" i="278"/>
  <c r="AJ229" i="278"/>
  <c r="AQ224" i="278"/>
  <c r="AP224" i="278"/>
  <c r="AO224" i="278"/>
  <c r="AN224" i="278"/>
  <c r="AM224" i="278"/>
  <c r="AL224" i="278"/>
  <c r="AK224" i="278"/>
  <c r="AJ224" i="278"/>
  <c r="AQ223" i="278"/>
  <c r="AP223" i="278"/>
  <c r="AO223" i="278"/>
  <c r="AN223" i="278"/>
  <c r="AM223" i="278"/>
  <c r="AL223" i="278"/>
  <c r="AK223" i="278"/>
  <c r="AJ223" i="278"/>
  <c r="E11" i="278"/>
  <c r="E243" i="277"/>
  <c r="E126" i="277"/>
  <c r="E130" i="277"/>
  <c r="E125" i="277"/>
  <c r="E124" i="277"/>
  <c r="E117" i="277"/>
  <c r="E121" i="277"/>
  <c r="E116" i="277"/>
  <c r="E115" i="277"/>
  <c r="E108" i="277"/>
  <c r="E112" i="277"/>
  <c r="E107" i="277"/>
  <c r="E106" i="277"/>
  <c r="E64" i="277"/>
  <c r="AQ47" i="277"/>
  <c r="AP47" i="277"/>
  <c r="AO47" i="277"/>
  <c r="AN47" i="277"/>
  <c r="AM47" i="277"/>
  <c r="AL47" i="277"/>
  <c r="AK47" i="277"/>
  <c r="AQ239" i="277"/>
  <c r="AP239" i="277"/>
  <c r="AO239" i="277"/>
  <c r="AN239" i="277"/>
  <c r="AM239" i="277"/>
  <c r="AL239" i="277"/>
  <c r="AK239" i="277"/>
  <c r="AJ239" i="277"/>
  <c r="E239" i="277"/>
  <c r="AQ341" i="277"/>
  <c r="AP341" i="277"/>
  <c r="AO341" i="277"/>
  <c r="AN341" i="277"/>
  <c r="AM341" i="277"/>
  <c r="AL341" i="277"/>
  <c r="AK341" i="277"/>
  <c r="AJ341" i="277"/>
  <c r="E341" i="277"/>
  <c r="AQ340" i="277"/>
  <c r="AP340" i="277"/>
  <c r="AO340" i="277"/>
  <c r="AN340" i="277"/>
  <c r="AM340" i="277"/>
  <c r="AL340" i="277"/>
  <c r="AK340" i="277"/>
  <c r="AJ340" i="277"/>
  <c r="E340" i="277"/>
  <c r="AQ204" i="277"/>
  <c r="AP204" i="277"/>
  <c r="AO204" i="277"/>
  <c r="AN204" i="277"/>
  <c r="AM204" i="277"/>
  <c r="AL204" i="277"/>
  <c r="AK204" i="277"/>
  <c r="AJ204" i="277"/>
  <c r="E204" i="277"/>
  <c r="AQ225" i="277"/>
  <c r="AP225" i="277"/>
  <c r="AO225" i="277"/>
  <c r="AN225" i="277"/>
  <c r="AM225" i="277"/>
  <c r="AL225" i="277"/>
  <c r="AK225" i="277"/>
  <c r="AJ225" i="277"/>
  <c r="AQ229" i="277"/>
  <c r="AP229" i="277"/>
  <c r="AO229" i="277"/>
  <c r="AN229" i="277"/>
  <c r="AM229" i="277"/>
  <c r="AL229" i="277"/>
  <c r="AK229" i="277"/>
  <c r="AJ229" i="277"/>
  <c r="AQ224" i="277"/>
  <c r="AP224" i="277"/>
  <c r="AO224" i="277"/>
  <c r="AN224" i="277"/>
  <c r="AM224" i="277"/>
  <c r="AL224" i="277"/>
  <c r="AK224" i="277"/>
  <c r="AJ224" i="277"/>
  <c r="AQ223" i="277"/>
  <c r="AP223" i="277"/>
  <c r="AO223" i="277"/>
  <c r="AN223" i="277"/>
  <c r="AM223" i="277"/>
  <c r="AL223" i="277"/>
  <c r="AK223" i="277"/>
  <c r="AJ223" i="277"/>
  <c r="E11" i="277"/>
  <c r="AK219" i="277" l="1"/>
  <c r="AK217" i="277"/>
  <c r="AK218" i="277"/>
  <c r="AK216" i="277"/>
  <c r="AK215" i="277"/>
  <c r="AK213" i="277"/>
  <c r="AK214" i="277"/>
  <c r="AM218" i="277"/>
  <c r="AM216" i="277"/>
  <c r="AM214" i="277"/>
  <c r="AM219" i="277"/>
  <c r="AM217" i="277"/>
  <c r="AM215" i="277"/>
  <c r="AM213" i="277"/>
  <c r="AO218" i="277"/>
  <c r="AO216" i="277"/>
  <c r="AO214" i="277"/>
  <c r="AO219" i="277"/>
  <c r="AO217" i="277"/>
  <c r="AO215" i="277"/>
  <c r="AO213" i="277"/>
  <c r="AQ217" i="277"/>
  <c r="AQ215" i="277"/>
  <c r="AQ213" i="277"/>
  <c r="AQ218" i="277"/>
  <c r="AQ216" i="277"/>
  <c r="AQ214" i="277"/>
  <c r="AQ219" i="277"/>
  <c r="AK219" i="278"/>
  <c r="AK217" i="278"/>
  <c r="AK215" i="278"/>
  <c r="AK213" i="278"/>
  <c r="AK218" i="278"/>
  <c r="AK216" i="278"/>
  <c r="AK214" i="278"/>
  <c r="AM218" i="278"/>
  <c r="AM216" i="278"/>
  <c r="AM214" i="278"/>
  <c r="AM219" i="278"/>
  <c r="AM217" i="278"/>
  <c r="AM215" i="278"/>
  <c r="AM213" i="278"/>
  <c r="AO219" i="278"/>
  <c r="AO217" i="278"/>
  <c r="AO215" i="278"/>
  <c r="AO213" i="278"/>
  <c r="AO218" i="278"/>
  <c r="AO216" i="278"/>
  <c r="AO214" i="278"/>
  <c r="AQ218" i="278"/>
  <c r="AQ216" i="278"/>
  <c r="AQ214" i="278"/>
  <c r="AQ219" i="278"/>
  <c r="AQ217" i="278"/>
  <c r="AQ215" i="278"/>
  <c r="AQ213" i="278"/>
  <c r="AJ219" i="277"/>
  <c r="AJ217" i="277"/>
  <c r="AJ215" i="277"/>
  <c r="AJ213" i="277"/>
  <c r="AJ218" i="277"/>
  <c r="AJ216" i="277"/>
  <c r="AJ214" i="277"/>
  <c r="AL218" i="277"/>
  <c r="AL216" i="277"/>
  <c r="AL214" i="277"/>
  <c r="AL219" i="277"/>
  <c r="AL217" i="277"/>
  <c r="AL215" i="277"/>
  <c r="AL213" i="277"/>
  <c r="AN218" i="277"/>
  <c r="AN216" i="277"/>
  <c r="AN214" i="277"/>
  <c r="AN219" i="277"/>
  <c r="AN217" i="277"/>
  <c r="AN215" i="277"/>
  <c r="AN213" i="277"/>
  <c r="AP217" i="277"/>
  <c r="AP215" i="277"/>
  <c r="AP213" i="277"/>
  <c r="AP218" i="277"/>
  <c r="AP216" i="277"/>
  <c r="AP214" i="277"/>
  <c r="AP219" i="277"/>
  <c r="AJ219" i="278"/>
  <c r="AJ217" i="278"/>
  <c r="AJ215" i="278"/>
  <c r="AJ213" i="278"/>
  <c r="AJ218" i="278"/>
  <c r="AJ216" i="278"/>
  <c r="AJ214" i="278"/>
  <c r="AL218" i="278"/>
  <c r="AL216" i="278"/>
  <c r="AL214" i="278"/>
  <c r="AL219" i="278"/>
  <c r="AL217" i="278"/>
  <c r="AL215" i="278"/>
  <c r="AL213" i="278"/>
  <c r="AN219" i="278"/>
  <c r="AN217" i="278"/>
  <c r="AN215" i="278"/>
  <c r="AN213" i="278"/>
  <c r="AN218" i="278"/>
  <c r="AN216" i="278"/>
  <c r="AN214" i="278"/>
  <c r="AP218" i="278"/>
  <c r="AP216" i="278"/>
  <c r="AP214" i="278"/>
  <c r="AP219" i="278"/>
  <c r="AP217" i="278"/>
  <c r="AP215" i="278"/>
  <c r="AP213" i="278"/>
  <c r="AN99" i="308"/>
  <c r="AN133" i="202"/>
  <c r="AN208" i="161"/>
  <c r="AN29" i="161"/>
  <c r="AN29" i="202"/>
  <c r="AN208" i="308"/>
  <c r="AN29" i="308"/>
  <c r="AN135" i="202"/>
  <c r="AO58" i="189"/>
  <c r="AO57" i="189"/>
  <c r="I171" i="283"/>
  <c r="AO99" i="308" l="1"/>
  <c r="AP58" i="189"/>
  <c r="AP57" i="189"/>
  <c r="AO133" i="202"/>
  <c r="AO135" i="202"/>
  <c r="AO29" i="308"/>
  <c r="AO208" i="308"/>
  <c r="AO29" i="202"/>
  <c r="AO29" i="161"/>
  <c r="AO208" i="161"/>
  <c r="E341" i="189"/>
  <c r="E340" i="189"/>
  <c r="E239" i="189"/>
  <c r="E13" i="267"/>
  <c r="E12" i="267"/>
  <c r="E11" i="267"/>
  <c r="E9" i="267"/>
  <c r="E64" i="205"/>
  <c r="E64" i="212"/>
  <c r="E64" i="213"/>
  <c r="E64" i="214"/>
  <c r="E64" i="215"/>
  <c r="E64" i="216"/>
  <c r="E64" i="217"/>
  <c r="E64" i="204"/>
  <c r="AL47" i="189"/>
  <c r="AN47" i="189"/>
  <c r="AP47" i="189"/>
  <c r="AJ47" i="189"/>
  <c r="AQ47" i="189"/>
  <c r="AO47" i="189"/>
  <c r="AM47" i="189"/>
  <c r="AK47" i="189"/>
  <c r="AP341" i="217"/>
  <c r="AO341" i="217"/>
  <c r="AN341" i="217"/>
  <c r="AL341" i="217"/>
  <c r="AK341" i="217"/>
  <c r="AJ341" i="217"/>
  <c r="AP340" i="217"/>
  <c r="AO340" i="217"/>
  <c r="AN340" i="217"/>
  <c r="AL340" i="217"/>
  <c r="AK340" i="217"/>
  <c r="AJ340" i="217"/>
  <c r="AP225" i="217"/>
  <c r="AN225" i="217"/>
  <c r="AL225" i="217"/>
  <c r="AJ229" i="217"/>
  <c r="AP224" i="217"/>
  <c r="AN224" i="217"/>
  <c r="AL224" i="217"/>
  <c r="AP123" i="187"/>
  <c r="AP126" i="187" s="1"/>
  <c r="AN123" i="187"/>
  <c r="AN126" i="187" s="1"/>
  <c r="AM123" i="187"/>
  <c r="AM126" i="187" s="1"/>
  <c r="AL123" i="187"/>
  <c r="AK123" i="187"/>
  <c r="AK126" i="187" s="1"/>
  <c r="AJ123" i="187"/>
  <c r="AQ113" i="187"/>
  <c r="AQ116" i="187" s="1"/>
  <c r="AP113" i="187"/>
  <c r="AP116" i="187" s="1"/>
  <c r="AO113" i="187"/>
  <c r="AN113" i="187"/>
  <c r="AN116" i="187" s="1"/>
  <c r="AM113" i="187"/>
  <c r="AM116" i="187" s="1"/>
  <c r="AL113" i="187"/>
  <c r="AL116" i="187" s="1"/>
  <c r="AK113" i="187"/>
  <c r="AK116" i="187" s="1"/>
  <c r="AJ113" i="187"/>
  <c r="AJ116" i="187" s="1"/>
  <c r="AQ103" i="187"/>
  <c r="AQ106" i="187" s="1"/>
  <c r="AP103" i="187"/>
  <c r="AP106" i="187" s="1"/>
  <c r="AO103" i="187"/>
  <c r="AN103" i="187"/>
  <c r="AN106" i="187" s="1"/>
  <c r="AM103" i="187"/>
  <c r="AL103" i="187"/>
  <c r="AL106" i="187" s="1"/>
  <c r="AK103" i="187"/>
  <c r="AJ103" i="187"/>
  <c r="AJ106" i="187" s="1"/>
  <c r="AQ91" i="187"/>
  <c r="AQ94" i="187" s="1"/>
  <c r="AO91" i="187"/>
  <c r="AO94" i="187" s="1"/>
  <c r="AL91" i="187"/>
  <c r="AL94" i="187" s="1"/>
  <c r="AJ91" i="187"/>
  <c r="AJ94" i="187" s="1"/>
  <c r="I18" i="197"/>
  <c r="I55" i="183"/>
  <c r="AQ341" i="189"/>
  <c r="AO341" i="189"/>
  <c r="AM341" i="189"/>
  <c r="AK341" i="189"/>
  <c r="AQ340" i="189"/>
  <c r="AO340" i="189"/>
  <c r="AM340" i="189"/>
  <c r="AK340" i="189"/>
  <c r="AP224" i="189"/>
  <c r="AK143" i="202"/>
  <c r="AK144" i="202"/>
  <c r="AL144" i="202"/>
  <c r="AK145" i="202"/>
  <c r="AL145" i="202"/>
  <c r="AM145" i="202"/>
  <c r="AK146" i="202"/>
  <c r="AL146" i="202"/>
  <c r="AM146" i="202"/>
  <c r="AN146" i="202"/>
  <c r="AK147" i="202"/>
  <c r="AL147" i="202"/>
  <c r="AM147" i="202"/>
  <c r="AN147" i="202"/>
  <c r="AO147" i="202"/>
  <c r="AK148" i="202"/>
  <c r="AL148" i="202"/>
  <c r="AM148" i="202"/>
  <c r="AN148" i="202"/>
  <c r="AO148" i="202"/>
  <c r="AP148" i="202"/>
  <c r="AJ142" i="202"/>
  <c r="AJ143" i="202"/>
  <c r="AJ144" i="202"/>
  <c r="AJ145" i="202"/>
  <c r="AJ146" i="202"/>
  <c r="AJ147" i="202"/>
  <c r="AJ148" i="202"/>
  <c r="B231" i="161"/>
  <c r="E204" i="204"/>
  <c r="E340" i="204"/>
  <c r="E341" i="204"/>
  <c r="E239" i="204"/>
  <c r="E204" i="205"/>
  <c r="E340" i="205"/>
  <c r="E341" i="205"/>
  <c r="E239" i="205"/>
  <c r="E204" i="212"/>
  <c r="E340" i="212"/>
  <c r="E341" i="212"/>
  <c r="E239" i="212"/>
  <c r="E204" i="213"/>
  <c r="E340" i="213"/>
  <c r="E341" i="213"/>
  <c r="E239" i="213"/>
  <c r="E204" i="214"/>
  <c r="E340" i="214"/>
  <c r="E341" i="214"/>
  <c r="E239" i="214"/>
  <c r="E204" i="215"/>
  <c r="E340" i="215"/>
  <c r="E341" i="215"/>
  <c r="E239" i="215"/>
  <c r="E204" i="216"/>
  <c r="E340" i="216"/>
  <c r="E341" i="216"/>
  <c r="E239" i="216"/>
  <c r="E204" i="217"/>
  <c r="E340" i="217"/>
  <c r="E341" i="217"/>
  <c r="E239" i="217"/>
  <c r="E11" i="204"/>
  <c r="E11" i="205"/>
  <c r="E11" i="212"/>
  <c r="E11" i="213"/>
  <c r="E11" i="214"/>
  <c r="E11" i="215"/>
  <c r="E11" i="216"/>
  <c r="E11" i="217"/>
  <c r="AQ204" i="217"/>
  <c r="AP204" i="217"/>
  <c r="AO204" i="217"/>
  <c r="AN204" i="217"/>
  <c r="AM204" i="217"/>
  <c r="AL204" i="217"/>
  <c r="AK204" i="217"/>
  <c r="AJ204" i="217"/>
  <c r="E244" i="214"/>
  <c r="E243" i="204"/>
  <c r="E243" i="205"/>
  <c r="E243" i="212"/>
  <c r="E243" i="213"/>
  <c r="E243" i="214"/>
  <c r="E243" i="215"/>
  <c r="E243" i="216"/>
  <c r="E243" i="217"/>
  <c r="I59" i="187"/>
  <c r="I65" i="187"/>
  <c r="F10" i="23"/>
  <c r="E126" i="204"/>
  <c r="E130" i="204"/>
  <c r="E125" i="204"/>
  <c r="E124" i="204"/>
  <c r="E126" i="205"/>
  <c r="E130" i="205"/>
  <c r="E125" i="205"/>
  <c r="E124" i="205"/>
  <c r="E126" i="212"/>
  <c r="E130" i="212"/>
  <c r="E125" i="212"/>
  <c r="E124" i="212"/>
  <c r="E126" i="213"/>
  <c r="E130" i="213"/>
  <c r="E125" i="213"/>
  <c r="E124" i="213"/>
  <c r="E126" i="214"/>
  <c r="E130" i="214"/>
  <c r="E125" i="214"/>
  <c r="E124" i="214"/>
  <c r="E126" i="215"/>
  <c r="E130" i="215"/>
  <c r="E125" i="215"/>
  <c r="E124" i="215"/>
  <c r="E126" i="216"/>
  <c r="E130" i="216"/>
  <c r="E125" i="216"/>
  <c r="E124" i="216"/>
  <c r="E126" i="217"/>
  <c r="E130" i="217"/>
  <c r="E125" i="217"/>
  <c r="E124" i="217"/>
  <c r="E117" i="204"/>
  <c r="E121" i="204"/>
  <c r="E116" i="204"/>
  <c r="E115" i="204"/>
  <c r="E117" i="205"/>
  <c r="E121" i="205"/>
  <c r="E116" i="205"/>
  <c r="E115" i="205"/>
  <c r="E117" i="212"/>
  <c r="E121" i="212"/>
  <c r="E116" i="212"/>
  <c r="E115" i="212"/>
  <c r="E117" i="213"/>
  <c r="E121" i="213"/>
  <c r="E116" i="213"/>
  <c r="E115" i="213"/>
  <c r="E117" i="214"/>
  <c r="E121" i="214"/>
  <c r="E116" i="214"/>
  <c r="E115" i="214"/>
  <c r="E117" i="215"/>
  <c r="E121" i="215"/>
  <c r="E116" i="215"/>
  <c r="E115" i="215"/>
  <c r="E117" i="216"/>
  <c r="E121" i="216"/>
  <c r="E116" i="216"/>
  <c r="E115" i="216"/>
  <c r="E117" i="217"/>
  <c r="E121" i="217"/>
  <c r="E116" i="217"/>
  <c r="E115" i="217"/>
  <c r="E106" i="204"/>
  <c r="E107" i="204"/>
  <c r="E112" i="204"/>
  <c r="E108" i="204"/>
  <c r="E106" i="205"/>
  <c r="E107" i="205"/>
  <c r="E112" i="205"/>
  <c r="E108" i="205"/>
  <c r="E106" i="212"/>
  <c r="E107" i="212"/>
  <c r="E112" i="212"/>
  <c r="E108" i="212"/>
  <c r="E106" i="213"/>
  <c r="E107" i="213"/>
  <c r="E112" i="213"/>
  <c r="E108" i="213"/>
  <c r="E106" i="214"/>
  <c r="E107" i="214"/>
  <c r="E112" i="214"/>
  <c r="E108" i="214"/>
  <c r="E106" i="215"/>
  <c r="E107" i="215"/>
  <c r="E112" i="215"/>
  <c r="E108" i="215"/>
  <c r="E106" i="216"/>
  <c r="E107" i="216"/>
  <c r="E112" i="216"/>
  <c r="E108" i="216"/>
  <c r="E106" i="217"/>
  <c r="E107" i="217"/>
  <c r="E112" i="217"/>
  <c r="E108" i="217"/>
  <c r="E177" i="189"/>
  <c r="E177" i="212" s="1"/>
  <c r="E159" i="189"/>
  <c r="E159" i="216" s="1"/>
  <c r="E150" i="189"/>
  <c r="E150" i="204" s="1"/>
  <c r="E141" i="189"/>
  <c r="E141" i="216" s="1"/>
  <c r="E132" i="189"/>
  <c r="E132" i="204" s="1"/>
  <c r="E123" i="189"/>
  <c r="E114" i="189"/>
  <c r="E114" i="216" s="1"/>
  <c r="E105" i="189"/>
  <c r="E105" i="215" s="1"/>
  <c r="E177" i="214"/>
  <c r="G24" i="7"/>
  <c r="C3" i="186"/>
  <c r="AQ341" i="217"/>
  <c r="AM341" i="217"/>
  <c r="AQ340" i="217"/>
  <c r="AM340" i="217"/>
  <c r="AQ47" i="217"/>
  <c r="AP47" i="217"/>
  <c r="AO47" i="217"/>
  <c r="AN47" i="217"/>
  <c r="AM47" i="217"/>
  <c r="AL47" i="217"/>
  <c r="AK47" i="217"/>
  <c r="E66" i="7"/>
  <c r="E48" i="7"/>
  <c r="G30" i="183"/>
  <c r="G34" i="183"/>
  <c r="G29" i="183"/>
  <c r="G28" i="183"/>
  <c r="E14" i="157"/>
  <c r="E13" i="157"/>
  <c r="E12" i="157"/>
  <c r="E11" i="157"/>
  <c r="E10" i="157"/>
  <c r="E9" i="157"/>
  <c r="E8" i="157"/>
  <c r="E51" i="23"/>
  <c r="E50" i="23"/>
  <c r="E49" i="23"/>
  <c r="E48" i="23"/>
  <c r="E47" i="23"/>
  <c r="E46" i="23"/>
  <c r="E45" i="23"/>
  <c r="E44" i="23"/>
  <c r="F12" i="23"/>
  <c r="H62" i="23" s="1"/>
  <c r="D25" i="23"/>
  <c r="D26" i="23" s="1"/>
  <c r="D28" i="23" s="1"/>
  <c r="D29" i="23" s="1"/>
  <c r="D30" i="23" s="1"/>
  <c r="D31" i="23" s="1"/>
  <c r="D32" i="23" s="1"/>
  <c r="D33" i="23" s="1"/>
  <c r="D35" i="23" s="1"/>
  <c r="D36" i="23" s="1"/>
  <c r="D37" i="23" s="1"/>
  <c r="D38" i="23" s="1"/>
  <c r="D39" i="23" s="1"/>
  <c r="D40" i="23" s="1"/>
  <c r="D41" i="23" s="1"/>
  <c r="D42" i="23" s="1"/>
  <c r="AJ224" i="217"/>
  <c r="AJ225" i="217"/>
  <c r="AQ223" i="217"/>
  <c r="AQ225" i="217"/>
  <c r="AQ229" i="217"/>
  <c r="AQ224" i="217"/>
  <c r="AP223" i="217"/>
  <c r="AL229" i="217"/>
  <c r="AK223" i="217"/>
  <c r="AK225" i="217"/>
  <c r="AK229" i="217"/>
  <c r="AK224" i="217"/>
  <c r="AJ223" i="217"/>
  <c r="AN229" i="217"/>
  <c r="AM223" i="217"/>
  <c r="AM225" i="217"/>
  <c r="AM229" i="217"/>
  <c r="AM224" i="217"/>
  <c r="AL223" i="217"/>
  <c r="AP229" i="217"/>
  <c r="AO223" i="217"/>
  <c r="AO225" i="217"/>
  <c r="AO229" i="217"/>
  <c r="AO224" i="217"/>
  <c r="AN223" i="217"/>
  <c r="H19" i="23"/>
  <c r="F29" i="23"/>
  <c r="G29" i="23"/>
  <c r="H29" i="23"/>
  <c r="I29" i="23"/>
  <c r="J29" i="23"/>
  <c r="K29" i="23"/>
  <c r="L29" i="23"/>
  <c r="M29" i="23"/>
  <c r="E244" i="216"/>
  <c r="E123" i="216"/>
  <c r="E123" i="213"/>
  <c r="I143" i="161"/>
  <c r="AJ239" i="217"/>
  <c r="AK239" i="217"/>
  <c r="AL239" i="217"/>
  <c r="AM239" i="217"/>
  <c r="AN239" i="217"/>
  <c r="AO239" i="217"/>
  <c r="AP239" i="217"/>
  <c r="AQ239" i="217"/>
  <c r="E244" i="217"/>
  <c r="AJ213" i="217" l="1"/>
  <c r="AJ216" i="217"/>
  <c r="AJ219" i="217"/>
  <c r="AJ215" i="217"/>
  <c r="AJ218" i="217"/>
  <c r="AJ214" i="217"/>
  <c r="AJ217" i="217"/>
  <c r="AL217" i="217"/>
  <c r="AL213" i="217"/>
  <c r="AL216" i="217"/>
  <c r="AL219" i="217"/>
  <c r="AL215" i="217"/>
  <c r="AL218" i="217"/>
  <c r="AL214" i="217"/>
  <c r="AN218" i="217"/>
  <c r="AN214" i="217"/>
  <c r="AN217" i="217"/>
  <c r="AN213" i="217"/>
  <c r="AN216" i="217"/>
  <c r="AN219" i="217"/>
  <c r="AN215" i="217"/>
  <c r="AP217" i="217"/>
  <c r="AP213" i="217"/>
  <c r="AP216" i="217"/>
  <c r="AP219" i="217"/>
  <c r="AP215" i="217"/>
  <c r="AP218" i="217"/>
  <c r="AP214" i="217"/>
  <c r="AK218" i="217"/>
  <c r="AK214" i="217"/>
  <c r="AK217" i="217"/>
  <c r="AK213" i="217"/>
  <c r="AK216" i="217"/>
  <c r="AK219" i="217"/>
  <c r="AK215" i="217"/>
  <c r="AM217" i="217"/>
  <c r="AM213" i="217"/>
  <c r="AM216" i="217"/>
  <c r="AM219" i="217"/>
  <c r="AM215" i="217"/>
  <c r="AM218" i="217"/>
  <c r="AM214" i="217"/>
  <c r="AO218" i="217"/>
  <c r="AO214" i="217"/>
  <c r="AO217" i="217"/>
  <c r="AO213" i="217"/>
  <c r="AO216" i="217"/>
  <c r="AO219" i="217"/>
  <c r="AO215" i="217"/>
  <c r="AQ217" i="217"/>
  <c r="AQ213" i="217"/>
  <c r="AQ216" i="217"/>
  <c r="AQ219" i="217"/>
  <c r="AQ215" i="217"/>
  <c r="AQ218" i="217"/>
  <c r="AQ214" i="217"/>
  <c r="AP99" i="308"/>
  <c r="F62" i="23"/>
  <c r="AP133" i="202"/>
  <c r="AP208" i="161"/>
  <c r="E244" i="212"/>
  <c r="E132" i="205"/>
  <c r="AP29" i="202"/>
  <c r="AP29" i="161"/>
  <c r="AP208" i="308"/>
  <c r="AP29" i="308"/>
  <c r="AP135" i="202"/>
  <c r="E114" i="217"/>
  <c r="E114" i="212"/>
  <c r="E244" i="213"/>
  <c r="E141" i="204"/>
  <c r="E19" i="23"/>
  <c r="C15" i="23" s="1"/>
  <c r="K62" i="23"/>
  <c r="E132" i="213"/>
  <c r="E114" i="205"/>
  <c r="AQ58" i="189"/>
  <c r="AQ57" i="189"/>
  <c r="E271" i="308"/>
  <c r="B2" i="308"/>
  <c r="E254" i="308"/>
  <c r="AM98" i="308"/>
  <c r="AO98" i="308"/>
  <c r="AQ98" i="308"/>
  <c r="AK98" i="308"/>
  <c r="AJ98" i="308"/>
  <c r="AP98" i="308"/>
  <c r="AN98" i="308"/>
  <c r="AL98" i="308"/>
  <c r="D44" i="23"/>
  <c r="D45" i="23" s="1"/>
  <c r="D46" i="23" s="1"/>
  <c r="D47" i="23" s="1"/>
  <c r="D48" i="23" s="1"/>
  <c r="D49" i="23" s="1"/>
  <c r="D50" i="23" s="1"/>
  <c r="D51" i="23" s="1"/>
  <c r="D53" i="23" s="1"/>
  <c r="D54" i="23" s="1"/>
  <c r="D55" i="23" s="1"/>
  <c r="D56" i="23" s="1"/>
  <c r="D57" i="23" s="1"/>
  <c r="D58" i="23" s="1"/>
  <c r="D59" i="23" s="1"/>
  <c r="D61" i="23" s="1"/>
  <c r="D62" i="23" s="1"/>
  <c r="D64" i="23" s="1"/>
  <c r="D65" i="23" s="1"/>
  <c r="D66" i="23" s="1"/>
  <c r="D67" i="23" s="1"/>
  <c r="D68" i="23" s="1"/>
  <c r="D69" i="23" s="1"/>
  <c r="D70" i="23" s="1"/>
  <c r="D71" i="23" s="1"/>
  <c r="D73" i="23" s="1"/>
  <c r="D74" i="23" s="1"/>
  <c r="D75" i="23" s="1"/>
  <c r="D76" i="23" s="1"/>
  <c r="D77" i="23" s="1"/>
  <c r="D78" i="23" s="1"/>
  <c r="D79" i="23" s="1"/>
  <c r="D80" i="23" s="1"/>
  <c r="D82" i="23" s="1"/>
  <c r="D83" i="23" s="1"/>
  <c r="D84" i="23" s="1"/>
  <c r="D85" i="23" s="1"/>
  <c r="D86" i="23" s="1"/>
  <c r="AM98" i="161"/>
  <c r="AM121" i="161" s="1"/>
  <c r="AO98" i="161"/>
  <c r="AO121" i="161" s="1"/>
  <c r="AK98" i="161"/>
  <c r="AK121" i="161" s="1"/>
  <c r="E132" i="215"/>
  <c r="E114" i="213"/>
  <c r="E114" i="215"/>
  <c r="E114" i="214"/>
  <c r="E177" i="217"/>
  <c r="E177" i="204"/>
  <c r="M62" i="23"/>
  <c r="I62" i="23"/>
  <c r="E150" i="214"/>
  <c r="E150" i="216"/>
  <c r="L62" i="23"/>
  <c r="J62" i="23"/>
  <c r="G62" i="23"/>
  <c r="E177" i="216"/>
  <c r="E132" i="212"/>
  <c r="E150" i="205"/>
  <c r="E177" i="205"/>
  <c r="E105" i="213"/>
  <c r="E123" i="212"/>
  <c r="E141" i="205"/>
  <c r="E159" i="204"/>
  <c r="E244" i="204"/>
  <c r="E150" i="212"/>
  <c r="E132" i="216"/>
  <c r="E177" i="215"/>
  <c r="E177" i="213"/>
  <c r="E150" i="217"/>
  <c r="E150" i="215"/>
  <c r="E150" i="213"/>
  <c r="E132" i="217"/>
  <c r="E132" i="214"/>
  <c r="F7" i="282"/>
  <c r="B2" i="183"/>
  <c r="AN98" i="161"/>
  <c r="AN121" i="161" s="1"/>
  <c r="AQ98" i="161"/>
  <c r="AQ121" i="161" s="1"/>
  <c r="B2" i="197"/>
  <c r="B2" i="161"/>
  <c r="B2" i="189"/>
  <c r="B2" i="9"/>
  <c r="E159" i="213"/>
  <c r="AL340" i="189"/>
  <c r="E105" i="214"/>
  <c r="E123" i="217"/>
  <c r="E105" i="205"/>
  <c r="E159" i="205"/>
  <c r="E159" i="212"/>
  <c r="E141" i="212"/>
  <c r="E123" i="205"/>
  <c r="E159" i="217"/>
  <c r="E141" i="217"/>
  <c r="AN341" i="189"/>
  <c r="E105" i="217"/>
  <c r="E105" i="204"/>
  <c r="E123" i="215"/>
  <c r="E123" i="204"/>
  <c r="E141" i="215"/>
  <c r="E159" i="215"/>
  <c r="E159" i="214"/>
  <c r="E141" i="214"/>
  <c r="E105" i="216"/>
  <c r="E244" i="215"/>
  <c r="E244" i="205"/>
  <c r="B2" i="203"/>
  <c r="B2" i="283"/>
  <c r="O29" i="23"/>
  <c r="N29" i="23"/>
  <c r="AO223" i="189"/>
  <c r="AQ223" i="189"/>
  <c r="AK224" i="189"/>
  <c r="AM224" i="189"/>
  <c r="AQ224" i="189"/>
  <c r="AK229" i="189"/>
  <c r="AM229" i="189"/>
  <c r="AQ229" i="189"/>
  <c r="AK225" i="189"/>
  <c r="AM225" i="189"/>
  <c r="AQ225" i="189"/>
  <c r="AK177" i="189"/>
  <c r="AM177" i="189"/>
  <c r="AO177" i="189"/>
  <c r="AQ177" i="189"/>
  <c r="AK204" i="189"/>
  <c r="AM204" i="189"/>
  <c r="AO204" i="189"/>
  <c r="AJ340" i="189"/>
  <c r="AN340" i="189"/>
  <c r="AJ341" i="189"/>
  <c r="AL341" i="189"/>
  <c r="AP341" i="189"/>
  <c r="I17" i="197"/>
  <c r="AP340" i="189"/>
  <c r="AJ223" i="189"/>
  <c r="AN223" i="189"/>
  <c r="AP223" i="189"/>
  <c r="AJ224" i="189"/>
  <c r="AL224" i="189"/>
  <c r="AN224" i="189"/>
  <c r="AL225" i="189"/>
  <c r="AN225" i="189"/>
  <c r="AP225" i="189"/>
  <c r="AN177" i="189"/>
  <c r="AP177" i="189"/>
  <c r="AJ204" i="189"/>
  <c r="AL204" i="189"/>
  <c r="AN204" i="189"/>
  <c r="AP204" i="189"/>
  <c r="AQ204" i="189"/>
  <c r="AQ123" i="187"/>
  <c r="AQ126" i="187" s="1"/>
  <c r="E105" i="282"/>
  <c r="E105" i="280"/>
  <c r="E105" i="278"/>
  <c r="E105" i="281"/>
  <c r="E105" i="279"/>
  <c r="E105" i="277"/>
  <c r="E114" i="281"/>
  <c r="E114" i="279"/>
  <c r="E114" i="277"/>
  <c r="E114" i="282"/>
  <c r="E114" i="280"/>
  <c r="E114" i="278"/>
  <c r="E123" i="282"/>
  <c r="E123" i="280"/>
  <c r="E123" i="278"/>
  <c r="E123" i="281"/>
  <c r="E123" i="279"/>
  <c r="E123" i="277"/>
  <c r="E141" i="213"/>
  <c r="E141" i="282"/>
  <c r="E141" i="280"/>
  <c r="E141" i="278"/>
  <c r="E141" i="281"/>
  <c r="E141" i="279"/>
  <c r="E141" i="277"/>
  <c r="E159" i="282"/>
  <c r="E159" i="280"/>
  <c r="E159" i="278"/>
  <c r="E159" i="281"/>
  <c r="E159" i="279"/>
  <c r="E159" i="277"/>
  <c r="E244" i="282"/>
  <c r="E244" i="280"/>
  <c r="E244" i="278"/>
  <c r="E244" i="281"/>
  <c r="E244" i="279"/>
  <c r="E244" i="277"/>
  <c r="E132" i="281"/>
  <c r="E132" i="279"/>
  <c r="E132" i="277"/>
  <c r="E132" i="282"/>
  <c r="E132" i="280"/>
  <c r="E132" i="278"/>
  <c r="E150" i="281"/>
  <c r="E150" i="279"/>
  <c r="E150" i="277"/>
  <c r="E150" i="282"/>
  <c r="E150" i="280"/>
  <c r="E150" i="278"/>
  <c r="E177" i="281"/>
  <c r="E177" i="279"/>
  <c r="E177" i="277"/>
  <c r="E177" i="282"/>
  <c r="E177" i="280"/>
  <c r="E177" i="278"/>
  <c r="E105" i="212"/>
  <c r="E114" i="204"/>
  <c r="E123" i="214"/>
  <c r="E35" i="23"/>
  <c r="E37" i="23"/>
  <c r="E39" i="23"/>
  <c r="E41" i="23"/>
  <c r="E36" i="23"/>
  <c r="E38" i="23"/>
  <c r="E40" i="23"/>
  <c r="E42" i="23"/>
  <c r="G9" i="267"/>
  <c r="I7" i="282"/>
  <c r="I7" i="281"/>
  <c r="I7" i="280"/>
  <c r="I7" i="279"/>
  <c r="I7" i="278"/>
  <c r="I7" i="277"/>
  <c r="I7" i="214"/>
  <c r="I7" i="216"/>
  <c r="I7" i="197"/>
  <c r="I7" i="195"/>
  <c r="I7" i="194"/>
  <c r="I7" i="212"/>
  <c r="I7" i="213"/>
  <c r="I7" i="9"/>
  <c r="F19" i="23"/>
  <c r="I7" i="267"/>
  <c r="I7" i="203"/>
  <c r="I7" i="204"/>
  <c r="I7" i="205"/>
  <c r="I7" i="189"/>
  <c r="I7" i="161"/>
  <c r="I7" i="15"/>
  <c r="I7" i="217"/>
  <c r="I7" i="215"/>
  <c r="I7" i="202"/>
  <c r="I7" i="240"/>
  <c r="I7" i="183"/>
  <c r="AM57" i="183" s="1"/>
  <c r="I8" i="187"/>
  <c r="F7" i="280"/>
  <c r="F7" i="281"/>
  <c r="F7" i="278"/>
  <c r="F7" i="279"/>
  <c r="F7" i="277"/>
  <c r="AP91" i="187"/>
  <c r="AP94" i="187" s="1"/>
  <c r="B2" i="15"/>
  <c r="B2" i="187"/>
  <c r="B2" i="202"/>
  <c r="AN91" i="187"/>
  <c r="AN94" i="187" s="1"/>
  <c r="B2" i="195"/>
  <c r="B2" i="267"/>
  <c r="B2" i="194"/>
  <c r="AK91" i="187"/>
  <c r="AK94" i="187" s="1"/>
  <c r="AM91" i="187"/>
  <c r="AM94" i="187" s="1"/>
  <c r="AL98" i="161"/>
  <c r="AL121" i="161" s="1"/>
  <c r="AJ98" i="161"/>
  <c r="F7" i="215"/>
  <c r="F7" i="205"/>
  <c r="AO123" i="187"/>
  <c r="AO126" i="187" s="1"/>
  <c r="F7" i="214"/>
  <c r="F7" i="217"/>
  <c r="F7" i="212"/>
  <c r="AL223" i="189"/>
  <c r="AL229" i="189"/>
  <c r="AN229" i="189"/>
  <c r="AO225" i="189"/>
  <c r="AM223" i="189"/>
  <c r="AO229" i="189"/>
  <c r="AP229" i="189"/>
  <c r="AO106" i="187"/>
  <c r="AL126" i="187"/>
  <c r="F7" i="216"/>
  <c r="F7" i="204"/>
  <c r="F7" i="213"/>
  <c r="F7" i="189"/>
  <c r="AP48" i="189"/>
  <c r="AM48" i="189"/>
  <c r="AL177" i="189"/>
  <c r="AO116" i="187"/>
  <c r="AK106" i="187"/>
  <c r="AM106" i="187"/>
  <c r="AJ126" i="187"/>
  <c r="AP98" i="161"/>
  <c r="AP121" i="161" s="1"/>
  <c r="AQ99" i="308" l="1"/>
  <c r="AQ101" i="308" s="1"/>
  <c r="AK48" i="189"/>
  <c r="AQ48" i="189"/>
  <c r="AN48" i="189"/>
  <c r="AO48" i="189"/>
  <c r="AJ48" i="189"/>
  <c r="AL48" i="189"/>
  <c r="AQ135" i="202"/>
  <c r="AQ133" i="202"/>
  <c r="AQ29" i="308"/>
  <c r="AQ208" i="308"/>
  <c r="AQ29" i="202"/>
  <c r="AQ29" i="161"/>
  <c r="AQ208" i="161"/>
  <c r="AL121" i="308"/>
  <c r="AL101" i="308"/>
  <c r="AN121" i="308"/>
  <c r="AN101" i="308"/>
  <c r="AP121" i="308"/>
  <c r="AP101" i="308"/>
  <c r="AJ121" i="308"/>
  <c r="AJ101" i="308"/>
  <c r="AK121" i="308"/>
  <c r="AK101" i="308"/>
  <c r="AQ121" i="308"/>
  <c r="AO121" i="308"/>
  <c r="AO101" i="308"/>
  <c r="AM121" i="308"/>
  <c r="AM101" i="308"/>
  <c r="AM56" i="183"/>
  <c r="AP56" i="183"/>
  <c r="AJ121" i="161"/>
  <c r="O62" i="23"/>
  <c r="N62" i="23"/>
  <c r="AQ80" i="187"/>
  <c r="AO80" i="187"/>
  <c r="AM80" i="187"/>
  <c r="AK80" i="187"/>
  <c r="AP80" i="187"/>
  <c r="AN80" i="187"/>
  <c r="AL80" i="187"/>
  <c r="AJ80" i="187"/>
  <c r="AL57" i="183"/>
  <c r="AQ57" i="183"/>
  <c r="AO57" i="183"/>
  <c r="AK56" i="183"/>
  <c r="AJ57" i="183"/>
  <c r="AL56" i="183"/>
  <c r="AL65" i="183" s="1"/>
  <c r="AK57" i="183"/>
  <c r="AN56" i="183"/>
  <c r="AN65" i="183" s="1"/>
  <c r="AP57" i="183"/>
  <c r="AJ56" i="183"/>
  <c r="AJ65" i="183" s="1"/>
  <c r="AN57" i="183"/>
  <c r="AQ56" i="183"/>
  <c r="AQ65" i="183" s="1"/>
  <c r="AO56" i="183"/>
  <c r="AO65" i="183" s="1"/>
  <c r="H66" i="23"/>
  <c r="H68" i="23"/>
  <c r="H70" i="23"/>
  <c r="F76" i="23"/>
  <c r="F79" i="23"/>
  <c r="F78" i="23"/>
  <c r="F65" i="23"/>
  <c r="F67" i="23"/>
  <c r="F69" i="23"/>
  <c r="G66" i="23"/>
  <c r="G68" i="23"/>
  <c r="G70" i="23"/>
  <c r="G54" i="23"/>
  <c r="G80" i="23"/>
  <c r="G78" i="23"/>
  <c r="G76" i="23"/>
  <c r="H54" i="23"/>
  <c r="H78" i="23"/>
  <c r="H76" i="23"/>
  <c r="H74" i="23"/>
  <c r="I65" i="23"/>
  <c r="I67" i="23"/>
  <c r="I69" i="23"/>
  <c r="I75" i="23"/>
  <c r="I79" i="23"/>
  <c r="I77" i="23"/>
  <c r="J65" i="23"/>
  <c r="J67" i="23"/>
  <c r="J69" i="23"/>
  <c r="J76" i="23"/>
  <c r="J75" i="23"/>
  <c r="J78" i="23"/>
  <c r="K65" i="23"/>
  <c r="K67" i="23"/>
  <c r="K69" i="23"/>
  <c r="K77" i="23"/>
  <c r="K76" i="23"/>
  <c r="K79" i="23"/>
  <c r="L65" i="23"/>
  <c r="L67" i="23"/>
  <c r="L69" i="23"/>
  <c r="L54" i="23"/>
  <c r="L76" i="23"/>
  <c r="L74" i="23"/>
  <c r="L80" i="23"/>
  <c r="M66" i="23"/>
  <c r="M68" i="23"/>
  <c r="M70" i="23"/>
  <c r="M79" i="23"/>
  <c r="M77" i="23"/>
  <c r="M75" i="23"/>
  <c r="F80" i="23"/>
  <c r="F74" i="23"/>
  <c r="M54" i="23"/>
  <c r="G74" i="23"/>
  <c r="I76" i="23"/>
  <c r="K78" i="23"/>
  <c r="G71" i="23"/>
  <c r="I71" i="23"/>
  <c r="K71" i="23"/>
  <c r="M71" i="23"/>
  <c r="H65" i="23"/>
  <c r="H67" i="23"/>
  <c r="H69" i="23"/>
  <c r="F54" i="23"/>
  <c r="F77" i="23"/>
  <c r="F66" i="23"/>
  <c r="F68" i="23"/>
  <c r="F70" i="23"/>
  <c r="G65" i="23"/>
  <c r="G67" i="23"/>
  <c r="G69" i="23"/>
  <c r="G79" i="23"/>
  <c r="G77" i="23"/>
  <c r="G75" i="23"/>
  <c r="H80" i="23"/>
  <c r="H79" i="23"/>
  <c r="H77" i="23"/>
  <c r="I66" i="23"/>
  <c r="I68" i="23"/>
  <c r="I70" i="23"/>
  <c r="I54" i="23"/>
  <c r="I74" i="23"/>
  <c r="I80" i="23"/>
  <c r="I78" i="23"/>
  <c r="J66" i="23"/>
  <c r="J68" i="23"/>
  <c r="J70" i="23"/>
  <c r="J54" i="23"/>
  <c r="J74" i="23"/>
  <c r="J80" i="23"/>
  <c r="J79" i="23"/>
  <c r="K66" i="23"/>
  <c r="K68" i="23"/>
  <c r="K70" i="23"/>
  <c r="K54" i="23"/>
  <c r="K75" i="23"/>
  <c r="K74" i="23"/>
  <c r="K80" i="23"/>
  <c r="L66" i="23"/>
  <c r="L68" i="23"/>
  <c r="L70" i="23"/>
  <c r="L78" i="23"/>
  <c r="L77" i="23"/>
  <c r="L75" i="23"/>
  <c r="M65" i="23"/>
  <c r="M67" i="23"/>
  <c r="M69" i="23"/>
  <c r="M78" i="23"/>
  <c r="M76" i="23"/>
  <c r="M74" i="23"/>
  <c r="F75" i="23"/>
  <c r="H75" i="23"/>
  <c r="J77" i="23"/>
  <c r="L79" i="23"/>
  <c r="F71" i="23"/>
  <c r="H71" i="23"/>
  <c r="J71" i="23"/>
  <c r="L71" i="23"/>
  <c r="M80" i="23"/>
  <c r="AO43" i="9"/>
  <c r="AN43" i="9"/>
  <c r="AN60" i="9"/>
  <c r="AQ60" i="9"/>
  <c r="AP34" i="9"/>
  <c r="AO34" i="9"/>
  <c r="AM34" i="9"/>
  <c r="AK60" i="9"/>
  <c r="AJ34" i="9"/>
  <c r="AL43" i="9"/>
  <c r="AM43" i="9"/>
  <c r="AK52" i="9"/>
  <c r="AL47" i="9"/>
  <c r="AL53" i="9" s="1"/>
  <c r="AM52" i="9"/>
  <c r="AN47" i="9"/>
  <c r="AN53" i="9" s="1"/>
  <c r="AO52" i="9"/>
  <c r="AP47" i="9"/>
  <c r="AP53" i="9" s="1"/>
  <c r="AQ52" i="9"/>
  <c r="AM33" i="9"/>
  <c r="AM35" i="9" s="1"/>
  <c r="AM45" i="9" s="1"/>
  <c r="AJ33" i="9"/>
  <c r="AN33" i="9"/>
  <c r="AQ47" i="9"/>
  <c r="AQ53" i="9" s="1"/>
  <c r="AJ43" i="9"/>
  <c r="AL34" i="9"/>
  <c r="AN34" i="9"/>
  <c r="AP60" i="9"/>
  <c r="AO60" i="9"/>
  <c r="AM60" i="9"/>
  <c r="AL60" i="9"/>
  <c r="AK34" i="9"/>
  <c r="AP43" i="9"/>
  <c r="AK43" i="9"/>
  <c r="AK47" i="9"/>
  <c r="AK53" i="9" s="1"/>
  <c r="AL52" i="9"/>
  <c r="AM47" i="9"/>
  <c r="AM53" i="9" s="1"/>
  <c r="AN52" i="9"/>
  <c r="AO47" i="9"/>
  <c r="AO53" i="9" s="1"/>
  <c r="AP52" i="9"/>
  <c r="AO33" i="9"/>
  <c r="AK33" i="9"/>
  <c r="AK35" i="9" s="1"/>
  <c r="AK45" i="9" s="1"/>
  <c r="AL33" i="9"/>
  <c r="AP33" i="9"/>
  <c r="AK223" i="189"/>
  <c r="AO224" i="189"/>
  <c r="AJ225" i="189"/>
  <c r="AJ229" i="189"/>
  <c r="AJ177" i="189"/>
  <c r="AK62" i="183" l="1"/>
  <c r="AK65" i="183"/>
  <c r="AP66" i="183"/>
  <c r="AP65" i="183"/>
  <c r="AM66" i="183"/>
  <c r="AM65" i="183"/>
  <c r="AO68" i="9"/>
  <c r="AM68" i="9"/>
  <c r="AQ68" i="9"/>
  <c r="AP68" i="9"/>
  <c r="AN68" i="9"/>
  <c r="AL68" i="9"/>
  <c r="AP61" i="183"/>
  <c r="AM62" i="183"/>
  <c r="AM122" i="308"/>
  <c r="AM113" i="308"/>
  <c r="AO122" i="308"/>
  <c r="AO113" i="308"/>
  <c r="AQ122" i="308"/>
  <c r="AQ113" i="308"/>
  <c r="AK122" i="308"/>
  <c r="AK113" i="308"/>
  <c r="AJ122" i="308"/>
  <c r="AJ113" i="308"/>
  <c r="AP122" i="308"/>
  <c r="AP113" i="308"/>
  <c r="AN122" i="308"/>
  <c r="AN113" i="308"/>
  <c r="AL122" i="308"/>
  <c r="AL113" i="308"/>
  <c r="AM61" i="183"/>
  <c r="AM64" i="183"/>
  <c r="AM67" i="183"/>
  <c r="AM63" i="183"/>
  <c r="AP67" i="183"/>
  <c r="AP62" i="183"/>
  <c r="AP63" i="183"/>
  <c r="AP64" i="183"/>
  <c r="AK68" i="9"/>
  <c r="AQ61" i="183"/>
  <c r="AQ66" i="183"/>
  <c r="AQ64" i="183"/>
  <c r="AJ67" i="183"/>
  <c r="AJ66" i="183"/>
  <c r="AJ64" i="183"/>
  <c r="AN62" i="183"/>
  <c r="AN66" i="183"/>
  <c r="AN64" i="183"/>
  <c r="AL62" i="183"/>
  <c r="AL66" i="183"/>
  <c r="AL64" i="183"/>
  <c r="AK61" i="183"/>
  <c r="AK66" i="183"/>
  <c r="AK64" i="183"/>
  <c r="AO61" i="183"/>
  <c r="AO66" i="183"/>
  <c r="AO64" i="183"/>
  <c r="AK63" i="183"/>
  <c r="AK67" i="183"/>
  <c r="AL67" i="183"/>
  <c r="AL35" i="9"/>
  <c r="AL45" i="9" s="1"/>
  <c r="AO35" i="9"/>
  <c r="AO45" i="9" s="1"/>
  <c r="AN61" i="183"/>
  <c r="AL61" i="183"/>
  <c r="AQ62" i="183"/>
  <c r="AJ62" i="183"/>
  <c r="AQ63" i="183"/>
  <c r="AL63" i="183"/>
  <c r="AN67" i="183"/>
  <c r="AJ61" i="183"/>
  <c r="AJ63" i="183"/>
  <c r="AN63" i="183"/>
  <c r="AQ67" i="183"/>
  <c r="AO67" i="183"/>
  <c r="AO63" i="183"/>
  <c r="AO62" i="183"/>
  <c r="AP35" i="9"/>
  <c r="AP45" i="9" s="1"/>
  <c r="AP54" i="9"/>
  <c r="AP59" i="9" s="1"/>
  <c r="AP61" i="9" s="1"/>
  <c r="AN54" i="9"/>
  <c r="AN59" i="9" s="1"/>
  <c r="AN61" i="9" s="1"/>
  <c r="AL54" i="9"/>
  <c r="AL59" i="9" s="1"/>
  <c r="AL61" i="9" s="1"/>
  <c r="AJ35" i="9"/>
  <c r="AJ45" i="9" s="1"/>
  <c r="J73" i="23"/>
  <c r="N70" i="23"/>
  <c r="O70" i="23"/>
  <c r="O66" i="23"/>
  <c r="N66" i="23"/>
  <c r="F73" i="23"/>
  <c r="O54" i="23"/>
  <c r="N54" i="23"/>
  <c r="H73" i="23"/>
  <c r="G73" i="23"/>
  <c r="N69" i="23"/>
  <c r="O69" i="23"/>
  <c r="N65" i="23"/>
  <c r="O65" i="23"/>
  <c r="AP122" i="187"/>
  <c r="AP115" i="187"/>
  <c r="AP105" i="187"/>
  <c r="AP125" i="187"/>
  <c r="AP90" i="187"/>
  <c r="AP102" i="187"/>
  <c r="AP93" i="187"/>
  <c r="AP112" i="187"/>
  <c r="AP118" i="187" s="1"/>
  <c r="AP104" i="195" s="1"/>
  <c r="AP132" i="187"/>
  <c r="AP135" i="187" s="1"/>
  <c r="AP57" i="187" s="1"/>
  <c r="AM90" i="187"/>
  <c r="AM125" i="187"/>
  <c r="AM105" i="187"/>
  <c r="AM132" i="187"/>
  <c r="AM135" i="187" s="1"/>
  <c r="AM57" i="187" s="1"/>
  <c r="AM93" i="187"/>
  <c r="AM115" i="187"/>
  <c r="AM102" i="187"/>
  <c r="AM108" i="187" s="1"/>
  <c r="AM94" i="195" s="1"/>
  <c r="AM112" i="187"/>
  <c r="AM118" i="187" s="1"/>
  <c r="AM104" i="195" s="1"/>
  <c r="AM122" i="187"/>
  <c r="AQ112" i="187"/>
  <c r="AQ132" i="187"/>
  <c r="AQ135" i="187" s="1"/>
  <c r="AQ57" i="187" s="1"/>
  <c r="AQ115" i="187"/>
  <c r="AQ125" i="187"/>
  <c r="AQ122" i="187"/>
  <c r="AQ93" i="187"/>
  <c r="AQ90" i="187"/>
  <c r="AQ105" i="187"/>
  <c r="AQ102" i="187"/>
  <c r="AK90" i="187"/>
  <c r="AK122" i="187"/>
  <c r="AK132" i="187"/>
  <c r="AK135" i="187" s="1"/>
  <c r="AK57" i="187" s="1"/>
  <c r="AK93" i="187"/>
  <c r="AK102" i="187"/>
  <c r="AK112" i="187"/>
  <c r="AK125" i="187"/>
  <c r="AK105" i="187"/>
  <c r="AK115" i="187"/>
  <c r="AN35" i="9"/>
  <c r="AN45" i="9" s="1"/>
  <c r="N74" i="23"/>
  <c r="N79" i="23"/>
  <c r="N71" i="23"/>
  <c r="O71" i="23"/>
  <c r="K73" i="23"/>
  <c r="I73" i="23"/>
  <c r="N68" i="23"/>
  <c r="O68" i="23"/>
  <c r="M73" i="23"/>
  <c r="L73" i="23"/>
  <c r="N67" i="23"/>
  <c r="O67" i="23"/>
  <c r="AJ102" i="187"/>
  <c r="AJ90" i="187"/>
  <c r="AJ112" i="187"/>
  <c r="AJ93" i="187"/>
  <c r="AJ132" i="187"/>
  <c r="AJ135" i="187" s="1"/>
  <c r="AJ57" i="187" s="1"/>
  <c r="AJ125" i="187"/>
  <c r="AJ115" i="187"/>
  <c r="AJ105" i="187"/>
  <c r="AJ122" i="187"/>
  <c r="AO90" i="187"/>
  <c r="AO112" i="187"/>
  <c r="AO105" i="187"/>
  <c r="AO115" i="187"/>
  <c r="AO93" i="187"/>
  <c r="AO102" i="187"/>
  <c r="AO125" i="187"/>
  <c r="AO132" i="187"/>
  <c r="AO135" i="187" s="1"/>
  <c r="AO57" i="187" s="1"/>
  <c r="AO122" i="187"/>
  <c r="AO128" i="187" s="1"/>
  <c r="AO114" i="195" s="1"/>
  <c r="AL115" i="187"/>
  <c r="AL105" i="187"/>
  <c r="AL102" i="187"/>
  <c r="AL90" i="187"/>
  <c r="AL132" i="187"/>
  <c r="AL135" i="187" s="1"/>
  <c r="AL57" i="187" s="1"/>
  <c r="AL125" i="187"/>
  <c r="AL122" i="187"/>
  <c r="AL112" i="187"/>
  <c r="AL93" i="187"/>
  <c r="AN90" i="187"/>
  <c r="AN93" i="187"/>
  <c r="AN105" i="187"/>
  <c r="AN115" i="187"/>
  <c r="AN102" i="187"/>
  <c r="AN108" i="187" s="1"/>
  <c r="AN94" i="195" s="1"/>
  <c r="AN132" i="187"/>
  <c r="AN135" i="187" s="1"/>
  <c r="AN57" i="187" s="1"/>
  <c r="AN112" i="187"/>
  <c r="AN122" i="187"/>
  <c r="AN125" i="187"/>
  <c r="AQ54" i="9"/>
  <c r="AQ59" i="9" s="1"/>
  <c r="AQ61" i="9" s="1"/>
  <c r="AO54" i="9"/>
  <c r="AO59" i="9" s="1"/>
  <c r="AO61" i="9" s="1"/>
  <c r="AM54" i="9"/>
  <c r="AM59" i="9" s="1"/>
  <c r="AM61" i="9" s="1"/>
  <c r="AK54" i="9"/>
  <c r="AK59" i="9" s="1"/>
  <c r="AK61" i="9" s="1"/>
  <c r="N75" i="23"/>
  <c r="N77" i="23"/>
  <c r="N80" i="23"/>
  <c r="N78" i="23"/>
  <c r="N76" i="23"/>
  <c r="AJ119" i="202"/>
  <c r="AJ99" i="161" l="1"/>
  <c r="AM128" i="187"/>
  <c r="AM114" i="195" s="1"/>
  <c r="AN118" i="187"/>
  <c r="AN104" i="195" s="1"/>
  <c r="AN96" i="187"/>
  <c r="AL118" i="187"/>
  <c r="AL104" i="195" s="1"/>
  <c r="AP128" i="187"/>
  <c r="AP114" i="195" s="1"/>
  <c r="AQ108" i="187"/>
  <c r="AQ94" i="195" s="1"/>
  <c r="AQ96" i="187"/>
  <c r="AQ128" i="187"/>
  <c r="AQ114" i="195" s="1"/>
  <c r="AK12" i="267"/>
  <c r="AN128" i="187"/>
  <c r="AN114" i="195" s="1"/>
  <c r="AL96" i="187"/>
  <c r="AL128" i="187"/>
  <c r="AL114" i="195" s="1"/>
  <c r="AL108" i="187"/>
  <c r="AL94" i="195" s="1"/>
  <c r="AO108" i="187"/>
  <c r="AO94" i="195" s="1"/>
  <c r="AO118" i="187"/>
  <c r="AO104" i="195" s="1"/>
  <c r="AJ128" i="187"/>
  <c r="AJ114" i="195" s="1"/>
  <c r="AJ118" i="187"/>
  <c r="AJ104" i="195" s="1"/>
  <c r="AJ108" i="187"/>
  <c r="AJ94" i="195" s="1"/>
  <c r="AK118" i="187"/>
  <c r="AK104" i="195" s="1"/>
  <c r="AK128" i="187"/>
  <c r="AK114" i="195" s="1"/>
  <c r="AK108" i="187"/>
  <c r="AK94" i="195" s="1"/>
  <c r="AK96" i="187"/>
  <c r="AM96" i="187"/>
  <c r="AP108" i="187"/>
  <c r="AP94" i="195" s="1"/>
  <c r="N73" i="23"/>
  <c r="AP12" i="267"/>
  <c r="AQ12" i="267"/>
  <c r="AM12" i="267"/>
  <c r="AO12" i="267"/>
  <c r="AL12" i="267"/>
  <c r="AN12" i="267"/>
  <c r="AO96" i="187"/>
  <c r="AJ96" i="187"/>
  <c r="AQ118" i="187"/>
  <c r="AQ104" i="195" s="1"/>
  <c r="AP96" i="187"/>
  <c r="I83" i="189"/>
  <c r="AK119" i="202"/>
  <c r="AJ153" i="308" l="1"/>
  <c r="AK153" i="308" s="1"/>
  <c r="AL153" i="308" s="1"/>
  <c r="AM153" i="308" s="1"/>
  <c r="AN153" i="308" s="1"/>
  <c r="AO153" i="308" s="1"/>
  <c r="AP153" i="308" s="1"/>
  <c r="AQ153" i="308" s="1"/>
  <c r="AJ101" i="161"/>
  <c r="AJ113" i="161" s="1"/>
  <c r="AO228" i="308"/>
  <c r="AO186" i="308"/>
  <c r="AK228" i="308"/>
  <c r="AK186" i="308"/>
  <c r="AP228" i="308"/>
  <c r="AP186" i="308"/>
  <c r="AJ186" i="161"/>
  <c r="AJ228" i="308"/>
  <c r="AJ186" i="308"/>
  <c r="AM228" i="308"/>
  <c r="AM186" i="308"/>
  <c r="AL228" i="308"/>
  <c r="AL186" i="308"/>
  <c r="AQ228" i="308"/>
  <c r="AQ186" i="308"/>
  <c r="AN228" i="308"/>
  <c r="AN186" i="308"/>
  <c r="AP228" i="161"/>
  <c r="AP186" i="161"/>
  <c r="AP189" i="161" s="1"/>
  <c r="AP50" i="187" s="1"/>
  <c r="AJ228" i="161"/>
  <c r="AM228" i="161"/>
  <c r="AM186" i="161"/>
  <c r="AM189" i="161" s="1"/>
  <c r="AM50" i="187" s="1"/>
  <c r="AL228" i="161"/>
  <c r="AL186" i="161"/>
  <c r="AL189" i="161" s="1"/>
  <c r="AL50" i="187" s="1"/>
  <c r="AQ228" i="161"/>
  <c r="AQ186" i="161"/>
  <c r="AQ189" i="161" s="1"/>
  <c r="AQ50" i="187" s="1"/>
  <c r="AN228" i="161"/>
  <c r="AN186" i="161"/>
  <c r="AN189" i="161" s="1"/>
  <c r="AN50" i="187" s="1"/>
  <c r="AO228" i="161"/>
  <c r="AO186" i="161"/>
  <c r="AO189" i="161" s="1"/>
  <c r="AO50" i="187" s="1"/>
  <c r="AK228" i="161"/>
  <c r="AK186" i="161"/>
  <c r="AK189" i="161" s="1"/>
  <c r="AK50" i="187" s="1"/>
  <c r="AK99" i="161"/>
  <c r="AQ87" i="189"/>
  <c r="AJ87" i="189"/>
  <c r="AM87" i="189"/>
  <c r="AK87" i="189"/>
  <c r="AL87" i="189"/>
  <c r="AN87" i="189"/>
  <c r="AP87" i="189"/>
  <c r="AO87" i="189"/>
  <c r="I81" i="189"/>
  <c r="AM49" i="189"/>
  <c r="AP49" i="189"/>
  <c r="AN49" i="189"/>
  <c r="AO49" i="189"/>
  <c r="AK49" i="189"/>
  <c r="AL49" i="189"/>
  <c r="AJ49" i="189"/>
  <c r="AQ49" i="189"/>
  <c r="AL119" i="202"/>
  <c r="AQ152" i="308" l="1"/>
  <c r="AL152" i="308"/>
  <c r="AO152" i="308"/>
  <c r="AP152" i="308"/>
  <c r="AP120" i="308"/>
  <c r="AP124" i="308" s="1"/>
  <c r="AP129" i="308" s="1"/>
  <c r="AL120" i="308"/>
  <c r="AL124" i="308" s="1"/>
  <c r="AL129" i="308" s="1"/>
  <c r="AM120" i="308"/>
  <c r="AM124" i="308" s="1"/>
  <c r="AM129" i="308" s="1"/>
  <c r="AQ120" i="308"/>
  <c r="AQ124" i="308" s="1"/>
  <c r="AQ129" i="308" s="1"/>
  <c r="AK152" i="308"/>
  <c r="AN152" i="308"/>
  <c r="AM152" i="308"/>
  <c r="I77" i="308"/>
  <c r="AO120" i="308"/>
  <c r="AO124" i="308" s="1"/>
  <c r="AO129" i="308" s="1"/>
  <c r="AN120" i="308"/>
  <c r="AN124" i="308" s="1"/>
  <c r="AN129" i="308" s="1"/>
  <c r="AK120" i="308"/>
  <c r="AK124" i="308" s="1"/>
  <c r="AK129" i="308" s="1"/>
  <c r="AJ120" i="308"/>
  <c r="AJ124" i="308" s="1"/>
  <c r="AJ129" i="308" s="1"/>
  <c r="AJ122" i="161"/>
  <c r="AS81" i="315"/>
  <c r="AR81" i="315"/>
  <c r="AQ81" i="315"/>
  <c r="AK101" i="161"/>
  <c r="AK122" i="161" s="1"/>
  <c r="AJ61" i="308"/>
  <c r="AP28" i="308" s="1"/>
  <c r="AJ152" i="308"/>
  <c r="AJ189" i="161"/>
  <c r="AJ50" i="187" s="1"/>
  <c r="AJ177" i="161"/>
  <c r="AL28" i="308"/>
  <c r="AJ49" i="187"/>
  <c r="AN189" i="308"/>
  <c r="AN177" i="308"/>
  <c r="AQ189" i="308"/>
  <c r="AQ177" i="308"/>
  <c r="AL189" i="308"/>
  <c r="AL177" i="308"/>
  <c r="AM189" i="308"/>
  <c r="AM177" i="308"/>
  <c r="AJ189" i="308"/>
  <c r="AJ177" i="308"/>
  <c r="AP189" i="308"/>
  <c r="AP177" i="308"/>
  <c r="AK189" i="308"/>
  <c r="AK177" i="308"/>
  <c r="AO189" i="308"/>
  <c r="AO177" i="308"/>
  <c r="AP177" i="161"/>
  <c r="AK177" i="161"/>
  <c r="AO177" i="161"/>
  <c r="AN177" i="161"/>
  <c r="AQ177" i="161"/>
  <c r="AL177" i="161"/>
  <c r="AM177" i="161"/>
  <c r="AK49" i="187"/>
  <c r="AO49" i="187"/>
  <c r="AN49" i="187"/>
  <c r="AQ49" i="187"/>
  <c r="AL49" i="187"/>
  <c r="AM49" i="187"/>
  <c r="AP49" i="187"/>
  <c r="AL99" i="161"/>
  <c r="AJ153" i="161"/>
  <c r="AK153" i="161" s="1"/>
  <c r="AL153" i="161" s="1"/>
  <c r="AM153" i="161" s="1"/>
  <c r="AN153" i="161" s="1"/>
  <c r="AO153" i="161" s="1"/>
  <c r="AP153" i="161" s="1"/>
  <c r="AQ153" i="161" s="1"/>
  <c r="I77" i="161"/>
  <c r="AM119" i="202"/>
  <c r="AR83" i="315" l="1"/>
  <c r="AR84" i="315" s="1"/>
  <c r="AR85" i="315" s="1"/>
  <c r="AR103" i="315" s="1"/>
  <c r="AR105" i="315" s="1"/>
  <c r="AQ83" i="315"/>
  <c r="AQ84" i="315" s="1"/>
  <c r="AQ85" i="315" s="1"/>
  <c r="AQ103" i="315" s="1"/>
  <c r="AQ105" i="315" s="1"/>
  <c r="AS83" i="315"/>
  <c r="AS84" i="315" s="1"/>
  <c r="AS85" i="315" s="1"/>
  <c r="AS103" i="315" s="1"/>
  <c r="AS105" i="315" s="1"/>
  <c r="AS137" i="315" s="1"/>
  <c r="AS138" i="315" s="1"/>
  <c r="AK113" i="161"/>
  <c r="AL101" i="161"/>
  <c r="AL113" i="161" s="1"/>
  <c r="AJ28" i="308"/>
  <c r="AK28" i="308"/>
  <c r="AM28" i="308"/>
  <c r="AJ63" i="308"/>
  <c r="AO28" i="308"/>
  <c r="AN28" i="308"/>
  <c r="AQ28" i="308"/>
  <c r="AM99" i="161"/>
  <c r="AK120" i="161"/>
  <c r="AO120" i="161"/>
  <c r="AN120" i="161"/>
  <c r="AQ120" i="161"/>
  <c r="AM85" i="277"/>
  <c r="AM51" i="277"/>
  <c r="AQ85" i="277"/>
  <c r="AQ51" i="277"/>
  <c r="AM85" i="278"/>
  <c r="AM51" i="278"/>
  <c r="AQ85" i="278"/>
  <c r="AQ51" i="278"/>
  <c r="AL85" i="277"/>
  <c r="AL51" i="277"/>
  <c r="AP85" i="277"/>
  <c r="AP51" i="277"/>
  <c r="AL85" i="278"/>
  <c r="AL51" i="278"/>
  <c r="AP85" i="278"/>
  <c r="AP51" i="278"/>
  <c r="AP120" i="161"/>
  <c r="AL120" i="161"/>
  <c r="AM120" i="161"/>
  <c r="AJ120" i="161"/>
  <c r="AK85" i="277"/>
  <c r="AK51" i="277"/>
  <c r="AO85" i="277"/>
  <c r="AO51" i="277"/>
  <c r="AK85" i="278"/>
  <c r="AK51" i="278"/>
  <c r="AO85" i="278"/>
  <c r="AO51" i="278"/>
  <c r="AJ85" i="277"/>
  <c r="AJ51" i="277"/>
  <c r="AN85" i="277"/>
  <c r="AN51" i="277"/>
  <c r="AJ85" i="278"/>
  <c r="AJ51" i="278"/>
  <c r="AN85" i="278"/>
  <c r="AN51" i="278"/>
  <c r="AL51" i="189"/>
  <c r="AL152" i="161"/>
  <c r="H83" i="23"/>
  <c r="AJ51" i="189"/>
  <c r="AJ152" i="161"/>
  <c r="AJ61" i="161"/>
  <c r="F83" i="23"/>
  <c r="AN51" i="189"/>
  <c r="AN152" i="161"/>
  <c r="J83" i="23"/>
  <c r="AK51" i="189"/>
  <c r="AK152" i="161"/>
  <c r="G83" i="23"/>
  <c r="AQ51" i="189"/>
  <c r="AQ152" i="161"/>
  <c r="M83" i="23"/>
  <c r="K83" i="23"/>
  <c r="AO152" i="161"/>
  <c r="AO51" i="189"/>
  <c r="AM51" i="189"/>
  <c r="I83" i="23"/>
  <c r="AM152" i="161"/>
  <c r="L83" i="23"/>
  <c r="AP152" i="161"/>
  <c r="AP51" i="189"/>
  <c r="AQ51" i="217"/>
  <c r="AQ85" i="217"/>
  <c r="AO51" i="217"/>
  <c r="AO85" i="217"/>
  <c r="AM85" i="217"/>
  <c r="AM51" i="217"/>
  <c r="AP51" i="217"/>
  <c r="AP85" i="217"/>
  <c r="AL51" i="217"/>
  <c r="AL85" i="217"/>
  <c r="AJ85" i="217"/>
  <c r="AJ51" i="217"/>
  <c r="AN85" i="217"/>
  <c r="AN51" i="217"/>
  <c r="AK85" i="217"/>
  <c r="AK51" i="217"/>
  <c r="AN119" i="202"/>
  <c r="AL122" i="161" l="1"/>
  <c r="AL124" i="161" s="1"/>
  <c r="AL129" i="161" s="1"/>
  <c r="AQ122" i="315"/>
  <c r="AQ123" i="315" s="1"/>
  <c r="AQ137" i="315"/>
  <c r="AQ138" i="315" s="1"/>
  <c r="AR137" i="315"/>
  <c r="AR138" i="315" s="1"/>
  <c r="AR122" i="315"/>
  <c r="AR123" i="315" s="1"/>
  <c r="AS122" i="315"/>
  <c r="AS123" i="315" s="1"/>
  <c r="AM101" i="161"/>
  <c r="AM122" i="161" s="1"/>
  <c r="AM124" i="161" s="1"/>
  <c r="AM129" i="161" s="1"/>
  <c r="AJ124" i="161"/>
  <c r="AJ129" i="161" s="1"/>
  <c r="AK124" i="161"/>
  <c r="AK129" i="161" s="1"/>
  <c r="AJ248" i="217"/>
  <c r="AJ249" i="217" s="1"/>
  <c r="AJ248" i="278"/>
  <c r="AJ249" i="278" s="1"/>
  <c r="AJ248" i="277"/>
  <c r="AJ248" i="189"/>
  <c r="AJ249" i="189" s="1"/>
  <c r="AP248" i="189"/>
  <c r="AP249" i="189" s="1"/>
  <c r="AO248" i="189"/>
  <c r="AO249" i="189" s="1"/>
  <c r="AK248" i="189"/>
  <c r="AK249" i="189" s="1"/>
  <c r="AN248" i="189"/>
  <c r="AN249" i="189" s="1"/>
  <c r="AL248" i="189"/>
  <c r="AL249" i="189" s="1"/>
  <c r="AM248" i="189"/>
  <c r="AM249" i="189" s="1"/>
  <c r="AQ248" i="189"/>
  <c r="AQ249" i="189" s="1"/>
  <c r="AN453" i="217"/>
  <c r="AN452" i="217" s="1"/>
  <c r="AN460" i="217" s="1"/>
  <c r="AN448" i="217" s="1"/>
  <c r="AN248" i="217"/>
  <c r="AN249" i="217" s="1"/>
  <c r="AL453" i="217"/>
  <c r="AL452" i="217" s="1"/>
  <c r="AL460" i="217" s="1"/>
  <c r="AL448" i="217" s="1"/>
  <c r="AL248" i="217"/>
  <c r="AL249" i="217" s="1"/>
  <c r="AP453" i="217"/>
  <c r="AP452" i="217" s="1"/>
  <c r="AP460" i="217" s="1"/>
  <c r="AP448" i="217" s="1"/>
  <c r="AP248" i="217"/>
  <c r="AP249" i="217" s="1"/>
  <c r="AO453" i="217"/>
  <c r="AO452" i="217" s="1"/>
  <c r="AO460" i="217" s="1"/>
  <c r="AO448" i="217" s="1"/>
  <c r="AO248" i="217"/>
  <c r="AO249" i="217" s="1"/>
  <c r="AQ453" i="217"/>
  <c r="AQ452" i="217" s="1"/>
  <c r="AQ460" i="217" s="1"/>
  <c r="AQ448" i="217" s="1"/>
  <c r="AQ248" i="217"/>
  <c r="AQ249" i="217" s="1"/>
  <c r="AK453" i="217"/>
  <c r="AK452" i="217" s="1"/>
  <c r="AK460" i="217" s="1"/>
  <c r="AK448" i="217" s="1"/>
  <c r="AK248" i="217"/>
  <c r="AK249" i="217" s="1"/>
  <c r="AJ453" i="217"/>
  <c r="AJ452" i="217" s="1"/>
  <c r="AJ460" i="217" s="1"/>
  <c r="AJ448" i="217" s="1"/>
  <c r="AM453" i="217"/>
  <c r="AM452" i="217" s="1"/>
  <c r="AM460" i="217" s="1"/>
  <c r="AM448" i="217" s="1"/>
  <c r="AM248" i="217"/>
  <c r="AM249" i="217" s="1"/>
  <c r="AN453" i="278"/>
  <c r="AN452" i="278" s="1"/>
  <c r="AN460" i="278" s="1"/>
  <c r="AN448" i="278" s="1"/>
  <c r="AN248" i="278"/>
  <c r="AN249" i="278" s="1"/>
  <c r="AJ453" i="278"/>
  <c r="AJ452" i="278" s="1"/>
  <c r="AJ460" i="278" s="1"/>
  <c r="AJ448" i="278" s="1"/>
  <c r="AN453" i="277"/>
  <c r="AN452" i="277" s="1"/>
  <c r="AN460" i="277" s="1"/>
  <c r="AN448" i="277" s="1"/>
  <c r="AN248" i="277"/>
  <c r="AN249" i="277" s="1"/>
  <c r="AJ453" i="277"/>
  <c r="AJ452" i="277" s="1"/>
  <c r="AJ460" i="277" s="1"/>
  <c r="AJ448" i="277" s="1"/>
  <c r="AJ249" i="277"/>
  <c r="AO453" i="278"/>
  <c r="AO452" i="278" s="1"/>
  <c r="AO460" i="278" s="1"/>
  <c r="AO448" i="278" s="1"/>
  <c r="AO248" i="278"/>
  <c r="AO249" i="278" s="1"/>
  <c r="AK453" i="278"/>
  <c r="AK452" i="278" s="1"/>
  <c r="AK460" i="278" s="1"/>
  <c r="AK448" i="278" s="1"/>
  <c r="AK248" i="278"/>
  <c r="AK249" i="278" s="1"/>
  <c r="AO453" i="277"/>
  <c r="AO452" i="277" s="1"/>
  <c r="AO460" i="277" s="1"/>
  <c r="AO448" i="277" s="1"/>
  <c r="AO248" i="277"/>
  <c r="AO249" i="277" s="1"/>
  <c r="AK453" i="277"/>
  <c r="AK452" i="277" s="1"/>
  <c r="AK460" i="277" s="1"/>
  <c r="AK448" i="277" s="1"/>
  <c r="AK248" i="277"/>
  <c r="AK249" i="277" s="1"/>
  <c r="AP453" i="278"/>
  <c r="AP452" i="278" s="1"/>
  <c r="AP460" i="278" s="1"/>
  <c r="AP448" i="278" s="1"/>
  <c r="AP248" i="278"/>
  <c r="AP249" i="278" s="1"/>
  <c r="AL453" i="278"/>
  <c r="AL452" i="278" s="1"/>
  <c r="AL460" i="278" s="1"/>
  <c r="AL448" i="278" s="1"/>
  <c r="AL248" i="278"/>
  <c r="AL249" i="278" s="1"/>
  <c r="AP453" i="277"/>
  <c r="AP452" i="277" s="1"/>
  <c r="AP460" i="277" s="1"/>
  <c r="AP448" i="277" s="1"/>
  <c r="AP248" i="277"/>
  <c r="AP249" i="277" s="1"/>
  <c r="AL453" i="277"/>
  <c r="AL452" i="277" s="1"/>
  <c r="AL460" i="277" s="1"/>
  <c r="AL448" i="277" s="1"/>
  <c r="AL248" i="277"/>
  <c r="AL249" i="277" s="1"/>
  <c r="AQ453" i="278"/>
  <c r="AQ248" i="278"/>
  <c r="AQ249" i="278" s="1"/>
  <c r="AM453" i="278"/>
  <c r="AM452" i="278" s="1"/>
  <c r="AM460" i="278" s="1"/>
  <c r="AM448" i="278" s="1"/>
  <c r="AM248" i="278"/>
  <c r="AM249" i="278" s="1"/>
  <c r="AQ453" i="277"/>
  <c r="AQ452" i="277" s="1"/>
  <c r="AQ460" i="277" s="1"/>
  <c r="AQ448" i="277" s="1"/>
  <c r="AQ248" i="277"/>
  <c r="AQ249" i="277" s="1"/>
  <c r="AM453" i="277"/>
  <c r="AM452" i="277" s="1"/>
  <c r="AM460" i="277" s="1"/>
  <c r="AM448" i="277" s="1"/>
  <c r="AM248" i="277"/>
  <c r="AM249" i="277" s="1"/>
  <c r="AN85" i="189"/>
  <c r="AN74" i="308" s="1"/>
  <c r="AJ85" i="189"/>
  <c r="AO85" i="189"/>
  <c r="AO74" i="161" s="1"/>
  <c r="AP85" i="189"/>
  <c r="AQ85" i="189"/>
  <c r="AM85" i="189"/>
  <c r="AM74" i="161" s="1"/>
  <c r="AL85" i="189"/>
  <c r="AK85" i="189"/>
  <c r="AJ28" i="161"/>
  <c r="AL28" i="161"/>
  <c r="AN28" i="161"/>
  <c r="AP28" i="161"/>
  <c r="AK28" i="161"/>
  <c r="AM28" i="161"/>
  <c r="AO28" i="161"/>
  <c r="AQ28" i="161"/>
  <c r="AO453" i="189"/>
  <c r="AO452" i="189" s="1"/>
  <c r="AO276" i="308"/>
  <c r="AM453" i="189"/>
  <c r="AM452" i="189" s="1"/>
  <c r="AM276" i="308"/>
  <c r="AQ453" i="189"/>
  <c r="AQ452" i="189" s="1"/>
  <c r="AQ276" i="308"/>
  <c r="AP453" i="189"/>
  <c r="AP452" i="189" s="1"/>
  <c r="AP276" i="308"/>
  <c r="AK453" i="189"/>
  <c r="AK452" i="189" s="1"/>
  <c r="AK276" i="308"/>
  <c r="AN453" i="189"/>
  <c r="AN452" i="189" s="1"/>
  <c r="AN276" i="308"/>
  <c r="AJ453" i="189"/>
  <c r="AJ452" i="189" s="1"/>
  <c r="AJ276" i="308"/>
  <c r="AL453" i="189"/>
  <c r="AL452" i="189" s="1"/>
  <c r="AL276" i="308"/>
  <c r="AQ452" i="278"/>
  <c r="AQ460" i="278" s="1"/>
  <c r="AQ448" i="278" s="1"/>
  <c r="AQ16" i="15"/>
  <c r="AP16" i="15"/>
  <c r="AJ16" i="15"/>
  <c r="AL16" i="15"/>
  <c r="AO16" i="15"/>
  <c r="AK16" i="15"/>
  <c r="AN16" i="15"/>
  <c r="AM16" i="15"/>
  <c r="AJ63" i="161"/>
  <c r="AN99" i="161"/>
  <c r="AN244" i="278"/>
  <c r="AJ244" i="278"/>
  <c r="AN244" i="277"/>
  <c r="AJ244" i="277"/>
  <c r="AO244" i="278"/>
  <c r="AK244" i="278"/>
  <c r="AO244" i="277"/>
  <c r="AK244" i="277"/>
  <c r="AP244" i="278"/>
  <c r="AL244" i="278"/>
  <c r="AP244" i="277"/>
  <c r="AL244" i="277"/>
  <c r="AQ244" i="278"/>
  <c r="AM244" i="278"/>
  <c r="AQ244" i="277"/>
  <c r="AM244" i="277"/>
  <c r="AP24" i="194"/>
  <c r="AP25" i="194" s="1"/>
  <c r="AO24" i="194"/>
  <c r="AO25" i="194" s="1"/>
  <c r="AQ24" i="194"/>
  <c r="AQ25" i="194" s="1"/>
  <c r="AP41" i="9"/>
  <c r="AP42" i="9" s="1"/>
  <c r="AP244" i="189"/>
  <c r="AO41" i="9"/>
  <c r="AO42" i="9" s="1"/>
  <c r="AO244" i="189"/>
  <c r="AK41" i="9"/>
  <c r="AK42" i="9" s="1"/>
  <c r="AK244" i="189"/>
  <c r="AN41" i="9"/>
  <c r="AN42" i="9" s="1"/>
  <c r="AN244" i="189"/>
  <c r="AJ41" i="9"/>
  <c r="AJ42" i="9" s="1"/>
  <c r="AJ244" i="189"/>
  <c r="AL41" i="9"/>
  <c r="AL42" i="9" s="1"/>
  <c r="AL244" i="189"/>
  <c r="AM41" i="9"/>
  <c r="AM42" i="9" s="1"/>
  <c r="AM244" i="189"/>
  <c r="AQ244" i="189"/>
  <c r="O83" i="23"/>
  <c r="AK244" i="217"/>
  <c r="AN244" i="217"/>
  <c r="AJ244" i="217"/>
  <c r="AO119" i="202"/>
  <c r="AM244" i="217"/>
  <c r="AL244" i="217"/>
  <c r="AP244" i="217"/>
  <c r="AO244" i="217"/>
  <c r="AQ244" i="217"/>
  <c r="AM113" i="161" l="1"/>
  <c r="AQ41" i="202"/>
  <c r="AM41" i="202"/>
  <c r="AP41" i="202"/>
  <c r="AL41" i="202"/>
  <c r="AO41" i="202"/>
  <c r="AK41" i="202"/>
  <c r="AN41" i="202"/>
  <c r="AJ41" i="202"/>
  <c r="AL74" i="308"/>
  <c r="AQ74" i="308"/>
  <c r="AO74" i="308"/>
  <c r="AK74" i="308"/>
  <c r="AP74" i="308"/>
  <c r="AN101" i="161"/>
  <c r="AN122" i="161" s="1"/>
  <c r="AN124" i="161" s="1"/>
  <c r="AN129" i="161" s="1"/>
  <c r="AN74" i="161"/>
  <c r="AQ74" i="161"/>
  <c r="AP74" i="161"/>
  <c r="AL74" i="161"/>
  <c r="AK74" i="161"/>
  <c r="AM74" i="308"/>
  <c r="AQ119" i="202"/>
  <c r="AO118" i="202"/>
  <c r="AN118" i="202"/>
  <c r="AL24" i="194"/>
  <c r="AL25" i="194" s="1"/>
  <c r="AM24" i="194"/>
  <c r="AM25" i="194" s="1"/>
  <c r="AN24" i="194"/>
  <c r="AN25" i="194" s="1"/>
  <c r="AK24" i="194"/>
  <c r="AK25" i="194" s="1"/>
  <c r="AQ245" i="278"/>
  <c r="AK245" i="278"/>
  <c r="AQ118" i="202"/>
  <c r="AO99" i="161"/>
  <c r="AL245" i="277"/>
  <c r="AP245" i="277"/>
  <c r="AO245" i="277"/>
  <c r="AN245" i="277"/>
  <c r="AQ245" i="277"/>
  <c r="AN245" i="278"/>
  <c r="AM245" i="277"/>
  <c r="AM245" i="278"/>
  <c r="AL245" i="278"/>
  <c r="AP245" i="278"/>
  <c r="AK245" i="277"/>
  <c r="AO245" i="278"/>
  <c r="AJ245" i="277"/>
  <c r="AJ245" i="278"/>
  <c r="AJ24" i="194"/>
  <c r="AJ25" i="194" s="1"/>
  <c r="AM245" i="189"/>
  <c r="AM29" i="194" s="1"/>
  <c r="AK245" i="217"/>
  <c r="AK245" i="189"/>
  <c r="AK29" i="194" s="1"/>
  <c r="AM33" i="15"/>
  <c r="AM17" i="15"/>
  <c r="AL33" i="15"/>
  <c r="AL17" i="15"/>
  <c r="AL118" i="202"/>
  <c r="AJ118" i="202"/>
  <c r="AN33" i="15"/>
  <c r="AN17" i="15"/>
  <c r="AK17" i="15"/>
  <c r="AK33" i="15"/>
  <c r="AP17" i="15"/>
  <c r="AP33" i="15"/>
  <c r="AJ245" i="189"/>
  <c r="AO245" i="189"/>
  <c r="AO29" i="194" s="1"/>
  <c r="AQ245" i="217"/>
  <c r="AQ245" i="189"/>
  <c r="AQ29" i="194" s="1"/>
  <c r="AQ33" i="15"/>
  <c r="AQ17" i="15"/>
  <c r="AJ33" i="15"/>
  <c r="AJ17" i="15"/>
  <c r="AM118" i="202"/>
  <c r="AK118" i="202"/>
  <c r="AO17" i="15"/>
  <c r="AO33" i="15"/>
  <c r="AL245" i="189"/>
  <c r="AL29" i="194" s="1"/>
  <c r="AN245" i="189"/>
  <c r="AN29" i="194" s="1"/>
  <c r="AP245" i="189"/>
  <c r="AP29" i="194" s="1"/>
  <c r="AN245" i="217"/>
  <c r="AP118" i="202"/>
  <c r="AP119" i="202"/>
  <c r="AO245" i="217"/>
  <c r="AP245" i="217"/>
  <c r="AL245" i="217"/>
  <c r="AM245" i="217"/>
  <c r="AJ245" i="217"/>
  <c r="AJ29" i="194" l="1"/>
  <c r="AJ30" i="194" s="1"/>
  <c r="AN113" i="161"/>
  <c r="AO101" i="161"/>
  <c r="AO113" i="161" s="1"/>
  <c r="AP207" i="308"/>
  <c r="AL207" i="161"/>
  <c r="AL207" i="308"/>
  <c r="AN207" i="161"/>
  <c r="AN207" i="308"/>
  <c r="AQ207" i="161"/>
  <c r="AQ207" i="308"/>
  <c r="AO207" i="161"/>
  <c r="AO207" i="308"/>
  <c r="AK207" i="161"/>
  <c r="AK207" i="308"/>
  <c r="AM207" i="161"/>
  <c r="AM207" i="308"/>
  <c r="AL30" i="194"/>
  <c r="AN30" i="194"/>
  <c r="AQ30" i="194"/>
  <c r="AO30" i="194"/>
  <c r="AK30" i="194"/>
  <c r="AM30" i="194"/>
  <c r="AQ99" i="161"/>
  <c r="AP99" i="161"/>
  <c r="AO122" i="161" l="1"/>
  <c r="AO124" i="161" s="1"/>
  <c r="AO129" i="161" s="1"/>
  <c r="AQ101" i="161"/>
  <c r="AQ113" i="161" s="1"/>
  <c r="AP101" i="161"/>
  <c r="AP113" i="161" s="1"/>
  <c r="AJ207" i="308"/>
  <c r="AJ207" i="161"/>
  <c r="AP30" i="194"/>
  <c r="AP207" i="161"/>
  <c r="AP122" i="161" l="1"/>
  <c r="AP124" i="161" s="1"/>
  <c r="AP129" i="161" s="1"/>
  <c r="AQ122" i="161"/>
  <c r="AQ124" i="161" s="1"/>
  <c r="AQ129" i="161" s="1"/>
  <c r="AP81" i="195"/>
  <c r="AN81" i="195"/>
  <c r="AN85" i="195"/>
  <c r="AJ85" i="195"/>
  <c r="AP69" i="195"/>
  <c r="AP73" i="195"/>
  <c r="AJ73" i="195"/>
  <c r="AP42" i="195"/>
  <c r="AL35" i="195"/>
  <c r="AL30" i="195"/>
  <c r="AL29" i="195"/>
  <c r="AP85" i="195"/>
  <c r="AL85" i="195"/>
  <c r="AP80" i="195"/>
  <c r="AP79" i="195"/>
  <c r="AP68" i="195"/>
  <c r="AP67" i="195"/>
  <c r="AP59" i="195"/>
  <c r="AJ59" i="195"/>
  <c r="AP54" i="195"/>
  <c r="AP53" i="195"/>
  <c r="AP43" i="195"/>
  <c r="AP47" i="195"/>
  <c r="AJ47" i="195"/>
  <c r="AP41" i="195"/>
  <c r="AQ81" i="195"/>
  <c r="AK81" i="195"/>
  <c r="AQ85" i="195"/>
  <c r="AK85" i="195"/>
  <c r="AQ80" i="195"/>
  <c r="AO80" i="195"/>
  <c r="AQ79" i="195"/>
  <c r="AO79" i="195"/>
  <c r="AQ69" i="195"/>
  <c r="AO69" i="195"/>
  <c r="AQ73" i="195"/>
  <c r="AO73" i="195"/>
  <c r="AQ68" i="195"/>
  <c r="AO68" i="195"/>
  <c r="AQ67" i="195"/>
  <c r="AO67" i="195"/>
  <c r="AQ59" i="195"/>
  <c r="AO59" i="195"/>
  <c r="AQ54" i="195"/>
  <c r="AO54" i="195"/>
  <c r="AQ53" i="195"/>
  <c r="AO53" i="195"/>
  <c r="AQ43" i="195"/>
  <c r="AO43" i="195"/>
  <c r="AQ47" i="195"/>
  <c r="AO47" i="195"/>
  <c r="AQ42" i="195"/>
  <c r="AO42" i="195"/>
  <c r="AQ41" i="195"/>
  <c r="AO41" i="195"/>
  <c r="AP239" i="189" l="1"/>
  <c r="AP19" i="194" s="1"/>
  <c r="AM29" i="195"/>
  <c r="AM30" i="195"/>
  <c r="AM35" i="195"/>
  <c r="AM31" i="195"/>
  <c r="AM53" i="195"/>
  <c r="AM54" i="195"/>
  <c r="AM59" i="195"/>
  <c r="AM55" i="195"/>
  <c r="AQ55" i="195"/>
  <c r="AM67" i="195"/>
  <c r="AM68" i="195"/>
  <c r="AM73" i="195"/>
  <c r="AM69" i="195"/>
  <c r="AM79" i="195"/>
  <c r="AM80" i="195"/>
  <c r="AM85" i="195"/>
  <c r="AM81" i="195"/>
  <c r="AM239" i="189"/>
  <c r="AM19" i="194" s="1"/>
  <c r="AQ239" i="189"/>
  <c r="AQ19" i="194" s="1"/>
  <c r="AN29" i="195"/>
  <c r="AN30" i="195"/>
  <c r="AN35" i="195"/>
  <c r="AN31" i="195"/>
  <c r="AP55" i="195"/>
  <c r="AN73" i="195"/>
  <c r="AN69" i="195"/>
  <c r="AL31" i="195"/>
  <c r="AJ42" i="195"/>
  <c r="AJ43" i="195"/>
  <c r="AJ53" i="195"/>
  <c r="AJ54" i="195"/>
  <c r="AL59" i="195"/>
  <c r="AJ67" i="195"/>
  <c r="AJ68" i="195"/>
  <c r="AL69" i="195"/>
  <c r="AJ79" i="195"/>
  <c r="AJ80" i="195"/>
  <c r="AJ81" i="195"/>
  <c r="AL239" i="189"/>
  <c r="AL19" i="194" s="1"/>
  <c r="AJ239" i="189"/>
  <c r="AJ19" i="194" s="1"/>
  <c r="AN239" i="189"/>
  <c r="AN19" i="194" s="1"/>
  <c r="AK29" i="195"/>
  <c r="AK30" i="195"/>
  <c r="AK35" i="195"/>
  <c r="AO35" i="195"/>
  <c r="AK31" i="195"/>
  <c r="AO31" i="195"/>
  <c r="AK53" i="195"/>
  <c r="AK54" i="195"/>
  <c r="AK59" i="195"/>
  <c r="AK55" i="195"/>
  <c r="AO55" i="195"/>
  <c r="AK67" i="195"/>
  <c r="AK68" i="195"/>
  <c r="AK73" i="195"/>
  <c r="AK69" i="195"/>
  <c r="AK79" i="195"/>
  <c r="AK80" i="195"/>
  <c r="AK239" i="189"/>
  <c r="AK19" i="194" s="1"/>
  <c r="AO239" i="189"/>
  <c r="AO19" i="194" s="1"/>
  <c r="AJ29" i="195"/>
  <c r="AJ30" i="195"/>
  <c r="AJ432" i="189"/>
  <c r="AJ35" i="195"/>
  <c r="AJ31" i="195"/>
  <c r="AJ41" i="195"/>
  <c r="AL43" i="195"/>
  <c r="AL53" i="195"/>
  <c r="AL54" i="195"/>
  <c r="AL67" i="195"/>
  <c r="AL68" i="195"/>
  <c r="AL73" i="195"/>
  <c r="AJ69" i="195"/>
  <c r="AL79" i="195"/>
  <c r="AL80" i="195"/>
  <c r="AL81" i="195"/>
  <c r="AP29" i="195"/>
  <c r="AP426" i="189"/>
  <c r="AP30" i="195"/>
  <c r="AP427" i="189"/>
  <c r="AP35" i="195"/>
  <c r="AP432" i="189"/>
  <c r="AP31" i="195"/>
  <c r="AP428" i="189"/>
  <c r="AN53" i="195"/>
  <c r="AN54" i="195"/>
  <c r="AN59" i="195"/>
  <c r="AN55" i="195"/>
  <c r="AN67" i="195"/>
  <c r="AN68" i="195"/>
  <c r="AN79" i="195"/>
  <c r="AN80" i="195"/>
  <c r="AK41" i="195"/>
  <c r="AM41" i="195"/>
  <c r="AK42" i="195"/>
  <c r="AM42" i="195"/>
  <c r="AK47" i="195"/>
  <c r="AM47" i="195"/>
  <c r="AK43" i="195"/>
  <c r="AM43" i="195"/>
  <c r="AO85" i="195"/>
  <c r="AO81" i="195"/>
  <c r="AL42" i="195"/>
  <c r="AN42" i="195"/>
  <c r="AL41" i="195"/>
  <c r="AN41" i="195"/>
  <c r="AL47" i="195"/>
  <c r="AN47" i="195"/>
  <c r="AN43" i="195"/>
  <c r="AO74" i="202" l="1"/>
  <c r="AK74" i="202"/>
  <c r="AQ74" i="202"/>
  <c r="AM74" i="202"/>
  <c r="AN74" i="202"/>
  <c r="AJ74" i="202"/>
  <c r="AL74" i="202"/>
  <c r="AP74" i="202"/>
  <c r="AO428" i="189"/>
  <c r="AO432" i="189"/>
  <c r="AL426" i="189"/>
  <c r="AN428" i="189"/>
  <c r="AN432" i="189"/>
  <c r="AL432" i="189"/>
  <c r="AN426" i="189"/>
  <c r="AL427" i="189"/>
  <c r="AM428" i="189"/>
  <c r="AK428" i="189"/>
  <c r="AM432" i="189"/>
  <c r="AK432" i="189"/>
  <c r="AM427" i="189"/>
  <c r="AK427" i="189"/>
  <c r="AM426" i="189"/>
  <c r="AK426" i="189"/>
  <c r="AJ427" i="189"/>
  <c r="AN427" i="189"/>
  <c r="AL55" i="195"/>
  <c r="AK20" i="194"/>
  <c r="AO30" i="195"/>
  <c r="AO427" i="189"/>
  <c r="AO29" i="195"/>
  <c r="AO426" i="189"/>
  <c r="AL20" i="194"/>
  <c r="AM20" i="194"/>
  <c r="AQ31" i="195"/>
  <c r="AQ428" i="189"/>
  <c r="AQ35" i="195"/>
  <c r="AQ432" i="189"/>
  <c r="AQ30" i="195"/>
  <c r="AQ427" i="189"/>
  <c r="AQ29" i="195"/>
  <c r="AQ426" i="189"/>
  <c r="AP20" i="194"/>
  <c r="AJ428" i="189"/>
  <c r="AJ426" i="189"/>
  <c r="AO20" i="194"/>
  <c r="AN20" i="194"/>
  <c r="AJ20" i="194"/>
  <c r="AJ55" i="195"/>
  <c r="AQ20" i="194"/>
  <c r="AL428" i="189"/>
  <c r="AM64" i="197" l="1"/>
  <c r="AN64" i="197"/>
  <c r="AQ64" i="197"/>
  <c r="AK64" i="197"/>
  <c r="AP64" i="197"/>
  <c r="AO64" i="197"/>
  <c r="AL64" i="197"/>
  <c r="AJ64" i="197" l="1"/>
  <c r="M18" i="283" l="1"/>
  <c r="I90" i="283" s="1"/>
  <c r="I179" i="283" s="1"/>
  <c r="Q18" i="283"/>
  <c r="I94" i="283" s="1"/>
  <c r="R94" i="283" s="1"/>
  <c r="S94" i="283" s="1"/>
  <c r="T94" i="283" s="1"/>
  <c r="U18" i="283"/>
  <c r="I98" i="283" s="1"/>
  <c r="I187" i="283" s="1"/>
  <c r="I235" i="283" s="1"/>
  <c r="Y18" i="283"/>
  <c r="I102" i="283" s="1"/>
  <c r="I191" i="283" s="1"/>
  <c r="I239" i="283" s="1"/>
  <c r="AC18" i="283"/>
  <c r="I106" i="283" s="1"/>
  <c r="I61" i="283" s="1"/>
  <c r="L18" i="283"/>
  <c r="I89" i="283" s="1"/>
  <c r="M89" i="283" s="1"/>
  <c r="P18" i="283"/>
  <c r="I93" i="283" s="1"/>
  <c r="I182" i="283" s="1"/>
  <c r="I230" i="283" s="1"/>
  <c r="T18" i="283"/>
  <c r="I97" i="283" s="1"/>
  <c r="U97" i="283" s="1"/>
  <c r="V97" i="283" s="1"/>
  <c r="W97" i="283" s="1"/>
  <c r="X18" i="283"/>
  <c r="I101" i="283" s="1"/>
  <c r="AB18" i="283"/>
  <c r="I105" i="283" s="1"/>
  <c r="AC105" i="283" s="1"/>
  <c r="AD105" i="283" s="1"/>
  <c r="AE105" i="283" s="1"/>
  <c r="K18" i="283"/>
  <c r="O18" i="283"/>
  <c r="I92" i="283" s="1"/>
  <c r="S18" i="283"/>
  <c r="I96" i="283" s="1"/>
  <c r="I185" i="283" s="1"/>
  <c r="I233" i="283" s="1"/>
  <c r="W18" i="283"/>
  <c r="I100" i="283" s="1"/>
  <c r="AA18" i="283"/>
  <c r="I104" i="283" s="1"/>
  <c r="AB104" i="283" s="1"/>
  <c r="AC104" i="283" s="1"/>
  <c r="AD104" i="283" s="1"/>
  <c r="AE104" i="283" s="1"/>
  <c r="N18" i="283"/>
  <c r="I91" i="283" s="1"/>
  <c r="I180" i="283" s="1"/>
  <c r="R18" i="283"/>
  <c r="I95" i="283" s="1"/>
  <c r="V18" i="283"/>
  <c r="I99" i="283" s="1"/>
  <c r="I54" i="283" s="1"/>
  <c r="W54" i="283" s="1"/>
  <c r="X54" i="283" s="1"/>
  <c r="Y54" i="283" s="1"/>
  <c r="Z18" i="283"/>
  <c r="I103" i="283" s="1"/>
  <c r="AA103" i="283" s="1"/>
  <c r="AB103" i="283" s="1"/>
  <c r="AC103" i="283" s="1"/>
  <c r="AD18" i="283"/>
  <c r="I107" i="283" s="1"/>
  <c r="AE107" i="283" s="1"/>
  <c r="AF107" i="283" s="1"/>
  <c r="AG107" i="283" s="1"/>
  <c r="AD61" i="283" l="1"/>
  <c r="AE61" i="283" s="1"/>
  <c r="I58" i="283"/>
  <c r="AA58" i="283" s="1"/>
  <c r="N89" i="283"/>
  <c r="O89" i="283" s="1"/>
  <c r="P89" i="283" s="1"/>
  <c r="U94" i="283"/>
  <c r="V94" i="283" s="1"/>
  <c r="W94" i="283" s="1"/>
  <c r="X97" i="283"/>
  <c r="Y97" i="283" s="1"/>
  <c r="I62" i="283"/>
  <c r="AE62" i="283" s="1"/>
  <c r="AD103" i="283"/>
  <c r="AE103" i="283" s="1"/>
  <c r="AF103" i="283" s="1"/>
  <c r="AG103" i="283" s="1"/>
  <c r="AH103" i="283" s="1"/>
  <c r="I227" i="283"/>
  <c r="I192" i="283"/>
  <c r="I240" i="283" s="1"/>
  <c r="I196" i="283"/>
  <c r="I244" i="283" s="1"/>
  <c r="AF105" i="283"/>
  <c r="AG105" i="283" s="1"/>
  <c r="I188" i="283"/>
  <c r="W99" i="283"/>
  <c r="I50" i="283"/>
  <c r="S50" i="283" s="1"/>
  <c r="T50" i="283" s="1"/>
  <c r="U50" i="283" s="1"/>
  <c r="I184" i="283"/>
  <c r="I46" i="283"/>
  <c r="O46" i="283" s="1"/>
  <c r="O91" i="283"/>
  <c r="P91" i="283" s="1"/>
  <c r="Q91" i="283" s="1"/>
  <c r="R91" i="283" s="1"/>
  <c r="S91" i="283" s="1"/>
  <c r="I55" i="283"/>
  <c r="X55" i="283" s="1"/>
  <c r="Y55" i="283" s="1"/>
  <c r="Z55" i="283" s="1"/>
  <c r="I189" i="283"/>
  <c r="I51" i="283"/>
  <c r="T51" i="283" s="1"/>
  <c r="T96" i="283"/>
  <c r="I47" i="283"/>
  <c r="P47" i="283" s="1"/>
  <c r="I181" i="283"/>
  <c r="I88" i="283"/>
  <c r="I194" i="283"/>
  <c r="I60" i="283"/>
  <c r="AC60" i="283" s="1"/>
  <c r="I56" i="283"/>
  <c r="Y56" i="283" s="1"/>
  <c r="Y101" i="283"/>
  <c r="I186" i="283"/>
  <c r="I52" i="283"/>
  <c r="U52" i="283" s="1"/>
  <c r="V52" i="283" s="1"/>
  <c r="W52" i="283" s="1"/>
  <c r="X52" i="283" s="1"/>
  <c r="I48" i="283"/>
  <c r="Q48" i="283" s="1"/>
  <c r="Q93" i="283"/>
  <c r="I44" i="283"/>
  <c r="M44" i="283" s="1"/>
  <c r="I178" i="283"/>
  <c r="AD106" i="283"/>
  <c r="I195" i="283"/>
  <c r="Z102" i="283"/>
  <c r="I57" i="283"/>
  <c r="Z57" i="283" s="1"/>
  <c r="I53" i="283"/>
  <c r="V53" i="283" s="1"/>
  <c r="V98" i="283"/>
  <c r="I49" i="283"/>
  <c r="R49" i="283" s="1"/>
  <c r="I183" i="283"/>
  <c r="I45" i="283"/>
  <c r="N45" i="283" s="1"/>
  <c r="N90" i="283"/>
  <c r="I193" i="283"/>
  <c r="S95" i="283"/>
  <c r="T95" i="283" s="1"/>
  <c r="U95" i="283" s="1"/>
  <c r="X100" i="283"/>
  <c r="P92" i="283"/>
  <c r="Q92" i="283" s="1"/>
  <c r="R92" i="283" s="1"/>
  <c r="I59" i="283"/>
  <c r="AB59" i="283" s="1"/>
  <c r="I190" i="283"/>
  <c r="I228" i="283"/>
  <c r="Z54" i="283"/>
  <c r="AA54" i="283" s="1"/>
  <c r="AF104" i="283"/>
  <c r="AG104" i="283" s="1"/>
  <c r="AH104" i="283" s="1"/>
  <c r="AH107" i="283"/>
  <c r="AB58" i="283" l="1"/>
  <c r="AC58" i="283" s="1"/>
  <c r="AD58" i="283" s="1"/>
  <c r="AE58" i="283" s="1"/>
  <c r="Z56" i="283"/>
  <c r="AA56" i="283" s="1"/>
  <c r="O45" i="283"/>
  <c r="P45" i="283" s="1"/>
  <c r="Q45" i="283" s="1"/>
  <c r="R45" i="283" s="1"/>
  <c r="Q89" i="283"/>
  <c r="R89" i="283" s="1"/>
  <c r="U51" i="283"/>
  <c r="V51" i="283" s="1"/>
  <c r="W51" i="283" s="1"/>
  <c r="W53" i="283"/>
  <c r="X53" i="283" s="1"/>
  <c r="Y53" i="283" s="1"/>
  <c r="Z53" i="283" s="1"/>
  <c r="AA55" i="283"/>
  <c r="AB55" i="283" s="1"/>
  <c r="Z97" i="283"/>
  <c r="AA97" i="283" s="1"/>
  <c r="AB97" i="283" s="1"/>
  <c r="Y52" i="283"/>
  <c r="Z52" i="283" s="1"/>
  <c r="AA52" i="283" s="1"/>
  <c r="S92" i="283"/>
  <c r="T92" i="283" s="1"/>
  <c r="U92" i="283" s="1"/>
  <c r="V92" i="283" s="1"/>
  <c r="AC59" i="283"/>
  <c r="AD59" i="283" s="1"/>
  <c r="N44" i="283"/>
  <c r="O44" i="283" s="1"/>
  <c r="P44" i="283" s="1"/>
  <c r="Q47" i="283"/>
  <c r="R47" i="283" s="1"/>
  <c r="R48" i="283"/>
  <c r="S48" i="283" s="1"/>
  <c r="T48" i="283" s="1"/>
  <c r="S49" i="283"/>
  <c r="T49" i="283" s="1"/>
  <c r="U49" i="283" s="1"/>
  <c r="V49" i="283" s="1"/>
  <c r="P46" i="283"/>
  <c r="Q46" i="283" s="1"/>
  <c r="R46" i="283" s="1"/>
  <c r="V50" i="283"/>
  <c r="W50" i="283" s="1"/>
  <c r="V95" i="283"/>
  <c r="W95" i="283" s="1"/>
  <c r="X95" i="283" s="1"/>
  <c r="AD60" i="283"/>
  <c r="AE60" i="283" s="1"/>
  <c r="AA57" i="283"/>
  <c r="AB57" i="283" s="1"/>
  <c r="AC57" i="283" s="1"/>
  <c r="T91" i="283"/>
  <c r="U91" i="283" s="1"/>
  <c r="I241" i="283"/>
  <c r="AA102" i="283"/>
  <c r="AE106" i="283"/>
  <c r="I234" i="283"/>
  <c r="I242" i="283"/>
  <c r="L88" i="283"/>
  <c r="I177" i="283"/>
  <c r="I225" i="283" s="1"/>
  <c r="I43" i="283"/>
  <c r="I236" i="283"/>
  <c r="I238" i="283"/>
  <c r="Y100" i="283"/>
  <c r="O90" i="283"/>
  <c r="I231" i="283"/>
  <c r="W98" i="283"/>
  <c r="I243" i="283"/>
  <c r="I226" i="283"/>
  <c r="R93" i="283"/>
  <c r="Z101" i="283"/>
  <c r="I229" i="283"/>
  <c r="U96" i="283"/>
  <c r="I237" i="283"/>
  <c r="I232" i="283"/>
  <c r="X99" i="283"/>
  <c r="X94" i="283"/>
  <c r="Y94" i="283" s="1"/>
  <c r="Z94" i="283" s="1"/>
  <c r="AB54" i="283"/>
  <c r="AC54" i="283" s="1"/>
  <c r="AD54" i="283" s="1"/>
  <c r="AE54" i="283" s="1"/>
  <c r="AH105" i="283"/>
  <c r="AI104" i="283"/>
  <c r="AJ104" i="283" s="1"/>
  <c r="AI103" i="283"/>
  <c r="AF61" i="283"/>
  <c r="AI107" i="283"/>
  <c r="AJ107" i="283" s="1"/>
  <c r="AK107" i="283" s="1"/>
  <c r="AF62" i="283"/>
  <c r="V91" i="283" l="1"/>
  <c r="W91" i="283" s="1"/>
  <c r="W49" i="283"/>
  <c r="X49" i="283" s="1"/>
  <c r="AB56" i="283"/>
  <c r="AC56" i="283" s="1"/>
  <c r="S89" i="283"/>
  <c r="T89" i="283" s="1"/>
  <c r="U89" i="283" s="1"/>
  <c r="X50" i="283"/>
  <c r="Y50" i="283" s="1"/>
  <c r="AA53" i="283"/>
  <c r="AB53" i="283" s="1"/>
  <c r="AC53" i="283" s="1"/>
  <c r="AD53" i="283" s="1"/>
  <c r="Y95" i="283"/>
  <c r="Z95" i="283" s="1"/>
  <c r="AC55" i="283"/>
  <c r="AD55" i="283" s="1"/>
  <c r="AE55" i="283" s="1"/>
  <c r="S46" i="283"/>
  <c r="T46" i="283" s="1"/>
  <c r="AF60" i="283"/>
  <c r="AG60" i="283" s="1"/>
  <c r="AH60" i="283" s="1"/>
  <c r="AI60" i="283" s="1"/>
  <c r="AC97" i="283"/>
  <c r="AD97" i="283" s="1"/>
  <c r="S93" i="283"/>
  <c r="T93" i="283" s="1"/>
  <c r="U93" i="283" s="1"/>
  <c r="X98" i="283"/>
  <c r="P90" i="283"/>
  <c r="Z100" i="283"/>
  <c r="AA100" i="283" s="1"/>
  <c r="AB100" i="283" s="1"/>
  <c r="AC100" i="283" s="1"/>
  <c r="M88" i="283"/>
  <c r="AF106" i="283"/>
  <c r="AG106" i="283" s="1"/>
  <c r="AB102" i="283"/>
  <c r="Y99" i="283"/>
  <c r="V96" i="283"/>
  <c r="AA101" i="283"/>
  <c r="L43" i="283"/>
  <c r="AA94" i="283"/>
  <c r="AB94" i="283" s="1"/>
  <c r="AC94" i="283" s="1"/>
  <c r="AD94" i="283" s="1"/>
  <c r="U48" i="283"/>
  <c r="V48" i="283" s="1"/>
  <c r="AF54" i="283"/>
  <c r="AG54" i="283" s="1"/>
  <c r="Q44" i="283"/>
  <c r="R44" i="283" s="1"/>
  <c r="S47" i="283"/>
  <c r="T47" i="283" s="1"/>
  <c r="U47" i="283" s="1"/>
  <c r="V47" i="283" s="1"/>
  <c r="W92" i="283"/>
  <c r="AB52" i="283"/>
  <c r="X51" i="283"/>
  <c r="S45" i="283"/>
  <c r="T45" i="283" s="1"/>
  <c r="AD57" i="283"/>
  <c r="AG61" i="283"/>
  <c r="AH61" i="283" s="1"/>
  <c r="AI61" i="283" s="1"/>
  <c r="AJ61" i="283" s="1"/>
  <c r="AI105" i="283"/>
  <c r="AJ105" i="283" s="1"/>
  <c r="AJ103" i="283"/>
  <c r="AE59" i="283"/>
  <c r="AK104" i="283"/>
  <c r="AL104" i="283" s="1"/>
  <c r="AM104" i="283" s="1"/>
  <c r="AN104" i="283" s="1"/>
  <c r="AF58" i="283"/>
  <c r="AG62" i="283"/>
  <c r="AL107" i="283"/>
  <c r="X91" i="283" l="1"/>
  <c r="Y91" i="283" s="1"/>
  <c r="Y49" i="283"/>
  <c r="Z49" i="283" s="1"/>
  <c r="AA49" i="283" s="1"/>
  <c r="V89" i="283"/>
  <c r="W89" i="283" s="1"/>
  <c r="Z50" i="283"/>
  <c r="AA50" i="283" s="1"/>
  <c r="AB50" i="283" s="1"/>
  <c r="U46" i="283"/>
  <c r="V46" i="283" s="1"/>
  <c r="W46" i="283" s="1"/>
  <c r="AF55" i="283"/>
  <c r="AG55" i="283" s="1"/>
  <c r="M43" i="283"/>
  <c r="N43" i="283" s="1"/>
  <c r="O43" i="283" s="1"/>
  <c r="AB101" i="283"/>
  <c r="W96" i="283"/>
  <c r="Z99" i="283"/>
  <c r="AA99" i="283" s="1"/>
  <c r="AB99" i="283" s="1"/>
  <c r="AC102" i="283"/>
  <c r="N88" i="283"/>
  <c r="Y98" i="283"/>
  <c r="V93" i="283"/>
  <c r="W93" i="283" s="1"/>
  <c r="X93" i="283" s="1"/>
  <c r="Y93" i="283" s="1"/>
  <c r="AD100" i="283"/>
  <c r="AE100" i="283" s="1"/>
  <c r="AF100" i="283" s="1"/>
  <c r="Q90" i="283"/>
  <c r="X96" i="283"/>
  <c r="Y96" i="283" s="1"/>
  <c r="AH106" i="283"/>
  <c r="AE94" i="283"/>
  <c r="AF94" i="283" s="1"/>
  <c r="W47" i="283"/>
  <c r="X47" i="283" s="1"/>
  <c r="AD56" i="283"/>
  <c r="AE56" i="283" s="1"/>
  <c r="AA95" i="283"/>
  <c r="AE53" i="283"/>
  <c r="Y51" i="283"/>
  <c r="Z51" i="283" s="1"/>
  <c r="X92" i="283"/>
  <c r="AC52" i="283"/>
  <c r="S44" i="283"/>
  <c r="AH54" i="283"/>
  <c r="AI54" i="283" s="1"/>
  <c r="AE97" i="283"/>
  <c r="U45" i="283"/>
  <c r="V45" i="283" s="1"/>
  <c r="W48" i="283"/>
  <c r="AE57" i="283"/>
  <c r="AJ60" i="283"/>
  <c r="AK60" i="283" s="1"/>
  <c r="AF59" i="283"/>
  <c r="AG58" i="283"/>
  <c r="AH58" i="283" s="1"/>
  <c r="AO104" i="283"/>
  <c r="AP104" i="283" s="1"/>
  <c r="AQ104" i="283" s="1"/>
  <c r="AR104" i="283" s="1"/>
  <c r="AK61" i="283"/>
  <c r="AK103" i="283"/>
  <c r="AL103" i="283" s="1"/>
  <c r="AK105" i="283"/>
  <c r="AH62" i="283"/>
  <c r="AM107" i="283"/>
  <c r="AN107" i="283" s="1"/>
  <c r="AO107" i="283" s="1"/>
  <c r="AC50" i="283" l="1"/>
  <c r="AD50" i="283" s="1"/>
  <c r="Z91" i="283"/>
  <c r="AA91" i="283" s="1"/>
  <c r="X89" i="283"/>
  <c r="Y89" i="283" s="1"/>
  <c r="AB49" i="283"/>
  <c r="AC49" i="283" s="1"/>
  <c r="AD49" i="283" s="1"/>
  <c r="AE49" i="283" s="1"/>
  <c r="AH55" i="283"/>
  <c r="AI55" i="283" s="1"/>
  <c r="AJ55" i="283" s="1"/>
  <c r="X46" i="283"/>
  <c r="Y46" i="283" s="1"/>
  <c r="P43" i="283"/>
  <c r="Q43" i="283" s="1"/>
  <c r="R43" i="283" s="1"/>
  <c r="AF53" i="283"/>
  <c r="AG53" i="283" s="1"/>
  <c r="AF56" i="283"/>
  <c r="AG56" i="283" s="1"/>
  <c r="AL60" i="283"/>
  <c r="AM60" i="283" s="1"/>
  <c r="AI106" i="283"/>
  <c r="Z98" i="283"/>
  <c r="AD102" i="283"/>
  <c r="AE102" i="283" s="1"/>
  <c r="AC101" i="283"/>
  <c r="R90" i="283"/>
  <c r="S90" i="283" s="1"/>
  <c r="AG100" i="283"/>
  <c r="AH100" i="283" s="1"/>
  <c r="AI100" i="283" s="1"/>
  <c r="AJ100" i="283" s="1"/>
  <c r="AK100" i="283" s="1"/>
  <c r="AL100" i="283" s="1"/>
  <c r="AM100" i="283" s="1"/>
  <c r="AN100" i="283" s="1"/>
  <c r="AO100" i="283" s="1"/>
  <c r="AP100" i="283" s="1"/>
  <c r="AQ100" i="283" s="1"/>
  <c r="AR100" i="283" s="1"/>
  <c r="Z93" i="283"/>
  <c r="O88" i="283"/>
  <c r="AC99" i="283"/>
  <c r="Z96" i="283"/>
  <c r="AA96" i="283" s="1"/>
  <c r="AB96" i="283" s="1"/>
  <c r="AC96" i="283" s="1"/>
  <c r="AD96" i="283" s="1"/>
  <c r="AE96" i="283" s="1"/>
  <c r="AG94" i="283"/>
  <c r="AH94" i="283" s="1"/>
  <c r="AI94" i="283" s="1"/>
  <c r="AA51" i="283"/>
  <c r="AB51" i="283" s="1"/>
  <c r="AC51" i="283" s="1"/>
  <c r="AD51" i="283" s="1"/>
  <c r="Y92" i="283"/>
  <c r="Z92" i="283" s="1"/>
  <c r="AA92" i="283" s="1"/>
  <c r="AB92" i="283" s="1"/>
  <c r="AC92" i="283" s="1"/>
  <c r="AD92" i="283" s="1"/>
  <c r="AE92" i="283" s="1"/>
  <c r="AF92" i="283" s="1"/>
  <c r="AG92" i="283" s="1"/>
  <c r="AH92" i="283" s="1"/>
  <c r="AI92" i="283" s="1"/>
  <c r="AJ92" i="283" s="1"/>
  <c r="AK92" i="283" s="1"/>
  <c r="AL92" i="283" s="1"/>
  <c r="AM92" i="283" s="1"/>
  <c r="AN92" i="283" s="1"/>
  <c r="AO92" i="283" s="1"/>
  <c r="AP92" i="283" s="1"/>
  <c r="AQ92" i="283" s="1"/>
  <c r="AR92" i="283" s="1"/>
  <c r="AB95" i="283"/>
  <c r="AF97" i="283"/>
  <c r="AG97" i="283" s="1"/>
  <c r="AH97" i="283" s="1"/>
  <c r="AI97" i="283" s="1"/>
  <c r="AJ97" i="283" s="1"/>
  <c r="AK97" i="283" s="1"/>
  <c r="AL97" i="283" s="1"/>
  <c r="AM97" i="283" s="1"/>
  <c r="AN97" i="283" s="1"/>
  <c r="AO97" i="283" s="1"/>
  <c r="AP97" i="283" s="1"/>
  <c r="AQ97" i="283" s="1"/>
  <c r="AR97" i="283" s="1"/>
  <c r="AD52" i="283"/>
  <c r="Y47" i="283"/>
  <c r="Z47" i="283" s="1"/>
  <c r="AA47" i="283" s="1"/>
  <c r="W45" i="283"/>
  <c r="X45" i="283" s="1"/>
  <c r="AJ54" i="283"/>
  <c r="AK54" i="283" s="1"/>
  <c r="T44" i="283"/>
  <c r="X48" i="283"/>
  <c r="AF57" i="283"/>
  <c r="AI58" i="283"/>
  <c r="AJ58" i="283" s="1"/>
  <c r="AK58" i="283" s="1"/>
  <c r="AM103" i="283"/>
  <c r="AN103" i="283" s="1"/>
  <c r="AO103" i="283" s="1"/>
  <c r="AP103" i="283" s="1"/>
  <c r="AQ103" i="283" s="1"/>
  <c r="AR103" i="283" s="1"/>
  <c r="AL61" i="283"/>
  <c r="AL105" i="283"/>
  <c r="AG59" i="283"/>
  <c r="AP107" i="283"/>
  <c r="AQ107" i="283" s="1"/>
  <c r="AR107" i="283" s="1"/>
  <c r="AI62" i="283"/>
  <c r="AJ62" i="283" s="1"/>
  <c r="AK62" i="283" s="1"/>
  <c r="AB91" i="283" l="1"/>
  <c r="AC91" i="283" s="1"/>
  <c r="AD91" i="283" s="1"/>
  <c r="AE91" i="283" s="1"/>
  <c r="AF91" i="283" s="1"/>
  <c r="AG91" i="283" s="1"/>
  <c r="AH91" i="283" s="1"/>
  <c r="AI91" i="283" s="1"/>
  <c r="AJ91" i="283" s="1"/>
  <c r="AK91" i="283" s="1"/>
  <c r="AL91" i="283" s="1"/>
  <c r="AM91" i="283" s="1"/>
  <c r="AN91" i="283" s="1"/>
  <c r="AO91" i="283" s="1"/>
  <c r="AP91" i="283" s="1"/>
  <c r="AQ91" i="283" s="1"/>
  <c r="AR91" i="283" s="1"/>
  <c r="AE50" i="283"/>
  <c r="AF50" i="283" s="1"/>
  <c r="Z46" i="283"/>
  <c r="AA46" i="283" s="1"/>
  <c r="AK55" i="283"/>
  <c r="AL55" i="283" s="1"/>
  <c r="AM55" i="283" s="1"/>
  <c r="AN55" i="283" s="1"/>
  <c r="AO55" i="283" s="1"/>
  <c r="AP55" i="283" s="1"/>
  <c r="AQ55" i="283" s="1"/>
  <c r="S43" i="283"/>
  <c r="T43" i="283" s="1"/>
  <c r="AH53" i="283"/>
  <c r="AI53" i="283" s="1"/>
  <c r="AL54" i="283"/>
  <c r="AM54" i="283" s="1"/>
  <c r="AN54" i="283" s="1"/>
  <c r="AO54" i="283" s="1"/>
  <c r="AP54" i="283" s="1"/>
  <c r="AQ54" i="283" s="1"/>
  <c r="AR54" i="283" s="1"/>
  <c r="AL62" i="283"/>
  <c r="AM62" i="283" s="1"/>
  <c r="AN62" i="283" s="1"/>
  <c r="AD99" i="283"/>
  <c r="T90" i="283"/>
  <c r="AD101" i="283"/>
  <c r="P88" i="283"/>
  <c r="Q88" i="283" s="1"/>
  <c r="R88" i="283" s="1"/>
  <c r="AA93" i="283"/>
  <c r="AF102" i="283"/>
  <c r="AG102" i="283" s="1"/>
  <c r="AA98" i="283"/>
  <c r="AB98" i="283" s="1"/>
  <c r="AJ106" i="283"/>
  <c r="AB47" i="283"/>
  <c r="AC47" i="283" s="1"/>
  <c r="AJ94" i="283"/>
  <c r="AK94" i="283" s="1"/>
  <c r="AL94" i="283" s="1"/>
  <c r="AM94" i="283" s="1"/>
  <c r="AN94" i="283" s="1"/>
  <c r="AO94" i="283" s="1"/>
  <c r="AP94" i="283" s="1"/>
  <c r="AQ94" i="283" s="1"/>
  <c r="AR94" i="283" s="1"/>
  <c r="AE51" i="283"/>
  <c r="AF96" i="283"/>
  <c r="AG96" i="283" s="1"/>
  <c r="AH96" i="283" s="1"/>
  <c r="AI96" i="283" s="1"/>
  <c r="AJ96" i="283" s="1"/>
  <c r="AK96" i="283" s="1"/>
  <c r="AL96" i="283" s="1"/>
  <c r="AM96" i="283" s="1"/>
  <c r="AN96" i="283" s="1"/>
  <c r="AO96" i="283" s="1"/>
  <c r="AP96" i="283" s="1"/>
  <c r="AQ96" i="283" s="1"/>
  <c r="AR96" i="283" s="1"/>
  <c r="Y45" i="283"/>
  <c r="Z45" i="283" s="1"/>
  <c r="AE52" i="283"/>
  <c r="Y48" i="283"/>
  <c r="Z48" i="283" s="1"/>
  <c r="AA48" i="283" s="1"/>
  <c r="AB48" i="283" s="1"/>
  <c r="AC48" i="283" s="1"/>
  <c r="AD48" i="283" s="1"/>
  <c r="AE48" i="283" s="1"/>
  <c r="AF49" i="283"/>
  <c r="AG49" i="283" s="1"/>
  <c r="AH49" i="283" s="1"/>
  <c r="AI49" i="283" s="1"/>
  <c r="U44" i="283"/>
  <c r="Z89" i="283"/>
  <c r="AA89" i="283" s="1"/>
  <c r="AB89" i="283" s="1"/>
  <c r="AC89" i="283" s="1"/>
  <c r="AD89" i="283" s="1"/>
  <c r="AE89" i="283" s="1"/>
  <c r="AF89" i="283" s="1"/>
  <c r="AG89" i="283" s="1"/>
  <c r="AH89" i="283" s="1"/>
  <c r="AI89" i="283" s="1"/>
  <c r="AJ89" i="283" s="1"/>
  <c r="AK89" i="283" s="1"/>
  <c r="AL89" i="283" s="1"/>
  <c r="AM89" i="283" s="1"/>
  <c r="AN89" i="283" s="1"/>
  <c r="AO89" i="283" s="1"/>
  <c r="AP89" i="283" s="1"/>
  <c r="AQ89" i="283" s="1"/>
  <c r="AR89" i="283" s="1"/>
  <c r="AC95" i="283"/>
  <c r="AD95" i="283" s="1"/>
  <c r="AE95" i="283" s="1"/>
  <c r="AF95" i="283" s="1"/>
  <c r="AG95" i="283" s="1"/>
  <c r="AH95" i="283" s="1"/>
  <c r="AI95" i="283" s="1"/>
  <c r="AJ95" i="283" s="1"/>
  <c r="AK95" i="283" s="1"/>
  <c r="AL95" i="283" s="1"/>
  <c r="AM95" i="283" s="1"/>
  <c r="AN95" i="283" s="1"/>
  <c r="AO95" i="283" s="1"/>
  <c r="AP95" i="283" s="1"/>
  <c r="AQ95" i="283" s="1"/>
  <c r="AR95" i="283" s="1"/>
  <c r="AH56" i="283"/>
  <c r="AG57" i="283"/>
  <c r="AH57" i="283" s="1"/>
  <c r="AL58" i="283"/>
  <c r="AM58" i="283" s="1"/>
  <c r="AM61" i="283"/>
  <c r="AN61" i="283" s="1"/>
  <c r="AO61" i="283" s="1"/>
  <c r="AM105" i="283"/>
  <c r="AN105" i="283" s="1"/>
  <c r="AO105" i="283" s="1"/>
  <c r="AP105" i="283" s="1"/>
  <c r="AQ105" i="283" s="1"/>
  <c r="AR105" i="283" s="1"/>
  <c r="AN60" i="283"/>
  <c r="AO60" i="283" s="1"/>
  <c r="AP60" i="283" s="1"/>
  <c r="AQ60" i="283" s="1"/>
  <c r="AH59" i="283"/>
  <c r="AJ53" i="283" l="1"/>
  <c r="AK53" i="283" s="1"/>
  <c r="AG50" i="283"/>
  <c r="AH50" i="283" s="1"/>
  <c r="AI50" i="283" s="1"/>
  <c r="AB46" i="283"/>
  <c r="AC46" i="283" s="1"/>
  <c r="AD46" i="283" s="1"/>
  <c r="AE46" i="283" s="1"/>
  <c r="U43" i="283"/>
  <c r="V43" i="283" s="1"/>
  <c r="W43" i="283" s="1"/>
  <c r="X43" i="283" s="1"/>
  <c r="Y43" i="283" s="1"/>
  <c r="Z43" i="283" s="1"/>
  <c r="AA43" i="283" s="1"/>
  <c r="AB43" i="283" s="1"/>
  <c r="AC43" i="283" s="1"/>
  <c r="AD43" i="283" s="1"/>
  <c r="AE43" i="283" s="1"/>
  <c r="I151" i="283"/>
  <c r="AR151" i="283" s="1"/>
  <c r="AP61" i="283"/>
  <c r="AQ61" i="283" s="1"/>
  <c r="AR61" i="283" s="1"/>
  <c r="AR55" i="283"/>
  <c r="S88" i="283"/>
  <c r="T88" i="283" s="1"/>
  <c r="U88" i="283" s="1"/>
  <c r="AL53" i="283"/>
  <c r="AM53" i="283" s="1"/>
  <c r="AN53" i="283" s="1"/>
  <c r="AO53" i="283" s="1"/>
  <c r="AP53" i="283" s="1"/>
  <c r="AQ53" i="283" s="1"/>
  <c r="AF48" i="283"/>
  <c r="AG48" i="283" s="1"/>
  <c r="AH48" i="283" s="1"/>
  <c r="AI48" i="283" s="1"/>
  <c r="AJ48" i="283" s="1"/>
  <c r="AK48" i="283" s="1"/>
  <c r="AF51" i="283"/>
  <c r="AG51" i="283" s="1"/>
  <c r="AH51" i="283" s="1"/>
  <c r="AC98" i="283"/>
  <c r="AD98" i="283" s="1"/>
  <c r="AE99" i="283"/>
  <c r="U90" i="283"/>
  <c r="AH102" i="283"/>
  <c r="AI102" i="283" s="1"/>
  <c r="AJ102" i="283" s="1"/>
  <c r="AK102" i="283" s="1"/>
  <c r="AK106" i="283"/>
  <c r="AL106" i="283" s="1"/>
  <c r="AE101" i="283"/>
  <c r="AF101" i="283" s="1"/>
  <c r="AG101" i="283" s="1"/>
  <c r="AB93" i="283"/>
  <c r="AA45" i="283"/>
  <c r="AB45" i="283" s="1"/>
  <c r="AC45" i="283" s="1"/>
  <c r="AI57" i="283"/>
  <c r="AJ57" i="283" s="1"/>
  <c r="AK57" i="283" s="1"/>
  <c r="AJ49" i="283"/>
  <c r="AK49" i="283" s="1"/>
  <c r="AD47" i="283"/>
  <c r="AE47" i="283" s="1"/>
  <c r="AI56" i="283"/>
  <c r="AJ56" i="283" s="1"/>
  <c r="AK56" i="283" s="1"/>
  <c r="V44" i="283"/>
  <c r="W44" i="283" s="1"/>
  <c r="X44" i="283" s="1"/>
  <c r="Y44" i="283" s="1"/>
  <c r="Z44" i="283" s="1"/>
  <c r="AA44" i="283" s="1"/>
  <c r="AB44" i="283" s="1"/>
  <c r="AC44" i="283" s="1"/>
  <c r="AD44" i="283" s="1"/>
  <c r="AE44" i="283" s="1"/>
  <c r="AF52" i="283"/>
  <c r="AG52" i="283" s="1"/>
  <c r="AH52" i="283" s="1"/>
  <c r="AN58" i="283"/>
  <c r="AO58" i="283" s="1"/>
  <c r="AP58" i="283" s="1"/>
  <c r="AR60" i="283"/>
  <c r="I156" i="283"/>
  <c r="AI59" i="283"/>
  <c r="AJ59" i="283" s="1"/>
  <c r="AK59" i="283" s="1"/>
  <c r="AO62" i="283"/>
  <c r="AP62" i="283" s="1"/>
  <c r="AQ62" i="283" s="1"/>
  <c r="AJ50" i="283" l="1"/>
  <c r="AK50" i="283" s="1"/>
  <c r="AF43" i="283"/>
  <c r="AG43" i="283" s="1"/>
  <c r="AH43" i="283" s="1"/>
  <c r="AI43" i="283" s="1"/>
  <c r="AJ43" i="283" s="1"/>
  <c r="AK43" i="283" s="1"/>
  <c r="Z151" i="283"/>
  <c r="Z189" i="283" s="1"/>
  <c r="AK151" i="283"/>
  <c r="AK189" i="283" s="1"/>
  <c r="AE151" i="283"/>
  <c r="AE189" i="283" s="1"/>
  <c r="AP151" i="283"/>
  <c r="AP189" i="283" s="1"/>
  <c r="AF151" i="283"/>
  <c r="AF189" i="283" s="1"/>
  <c r="AM151" i="283"/>
  <c r="AM189" i="283" s="1"/>
  <c r="AH151" i="283"/>
  <c r="AH189" i="283" s="1"/>
  <c r="AC151" i="283"/>
  <c r="AC189" i="283" s="1"/>
  <c r="X151" i="283"/>
  <c r="X189" i="283" s="1"/>
  <c r="AN151" i="283"/>
  <c r="AN189" i="283" s="1"/>
  <c r="AA151" i="283"/>
  <c r="AA189" i="283" s="1"/>
  <c r="AI151" i="283"/>
  <c r="AI189" i="283" s="1"/>
  <c r="AQ151" i="283"/>
  <c r="AQ189" i="283" s="1"/>
  <c r="AD151" i="283"/>
  <c r="AD189" i="283" s="1"/>
  <c r="AL151" i="283"/>
  <c r="AL189" i="283" s="1"/>
  <c r="Y151" i="283"/>
  <c r="Y189" i="283" s="1"/>
  <c r="AG151" i="283"/>
  <c r="AG189" i="283" s="1"/>
  <c r="AO151" i="283"/>
  <c r="AO189" i="283" s="1"/>
  <c r="AB151" i="283"/>
  <c r="AB189" i="283" s="1"/>
  <c r="AJ151" i="283"/>
  <c r="AJ189" i="283" s="1"/>
  <c r="AR53" i="283"/>
  <c r="V88" i="283"/>
  <c r="W88" i="283" s="1"/>
  <c r="X88" i="283" s="1"/>
  <c r="Y88" i="283" s="1"/>
  <c r="Z88" i="283" s="1"/>
  <c r="AR189" i="283"/>
  <c r="AL49" i="283"/>
  <c r="AM49" i="283" s="1"/>
  <c r="AN49" i="283" s="1"/>
  <c r="AO49" i="283" s="1"/>
  <c r="AP49" i="283" s="1"/>
  <c r="AQ49" i="283" s="1"/>
  <c r="AL48" i="283"/>
  <c r="AL59" i="283"/>
  <c r="AM59" i="283" s="1"/>
  <c r="AN59" i="283" s="1"/>
  <c r="AO59" i="283" s="1"/>
  <c r="AP59" i="283" s="1"/>
  <c r="AQ59" i="283" s="1"/>
  <c r="AL56" i="283"/>
  <c r="AM56" i="283" s="1"/>
  <c r="AN56" i="283" s="1"/>
  <c r="AO56" i="283" s="1"/>
  <c r="AP56" i="283" s="1"/>
  <c r="AQ56" i="283" s="1"/>
  <c r="AL57" i="283"/>
  <c r="AM57" i="283" s="1"/>
  <c r="AN57" i="283" s="1"/>
  <c r="AO57" i="283" s="1"/>
  <c r="AP57" i="283" s="1"/>
  <c r="AQ57" i="283" s="1"/>
  <c r="AF44" i="283"/>
  <c r="AG44" i="283" s="1"/>
  <c r="AH44" i="283" s="1"/>
  <c r="AI44" i="283" s="1"/>
  <c r="AJ44" i="283" s="1"/>
  <c r="AK44" i="283" s="1"/>
  <c r="AF47" i="283"/>
  <c r="AG47" i="283" s="1"/>
  <c r="AF46" i="283"/>
  <c r="AG46" i="283" s="1"/>
  <c r="AH46" i="283" s="1"/>
  <c r="AI46" i="283" s="1"/>
  <c r="AJ46" i="283" s="1"/>
  <c r="AK46" i="283" s="1"/>
  <c r="AI51" i="283"/>
  <c r="AJ51" i="283" s="1"/>
  <c r="AK51" i="283" s="1"/>
  <c r="AM106" i="283"/>
  <c r="AN106" i="283" s="1"/>
  <c r="V90" i="283"/>
  <c r="AC93" i="283"/>
  <c r="AH101" i="283"/>
  <c r="AI101" i="283" s="1"/>
  <c r="AJ101" i="283" s="1"/>
  <c r="AF99" i="283"/>
  <c r="AL102" i="283"/>
  <c r="AM102" i="283" s="1"/>
  <c r="AN102" i="283" s="1"/>
  <c r="AE98" i="283"/>
  <c r="AF98" i="283" s="1"/>
  <c r="AG98" i="283" s="1"/>
  <c r="AD45" i="283"/>
  <c r="AI52" i="283"/>
  <c r="AJ52" i="283" s="1"/>
  <c r="AK52" i="283" s="1"/>
  <c r="AQ58" i="283"/>
  <c r="AR156" i="283"/>
  <c r="AR194" i="283" s="1"/>
  <c r="AN156" i="283"/>
  <c r="AN194" i="283" s="1"/>
  <c r="AJ156" i="283"/>
  <c r="AJ194" i="283" s="1"/>
  <c r="AF156" i="283"/>
  <c r="AF194" i="283" s="1"/>
  <c r="AQ156" i="283"/>
  <c r="AQ194" i="283" s="1"/>
  <c r="AM156" i="283"/>
  <c r="AM194" i="283" s="1"/>
  <c r="AI156" i="283"/>
  <c r="AI194" i="283" s="1"/>
  <c r="AE156" i="283"/>
  <c r="AP156" i="283"/>
  <c r="AP194" i="283" s="1"/>
  <c r="AL156" i="283"/>
  <c r="AL194" i="283" s="1"/>
  <c r="AH156" i="283"/>
  <c r="AH194" i="283" s="1"/>
  <c r="AD156" i="283"/>
  <c r="AD194" i="283" s="1"/>
  <c r="AO156" i="283"/>
  <c r="AO194" i="283" s="1"/>
  <c r="AK156" i="283"/>
  <c r="AG156" i="283"/>
  <c r="AG194" i="283" s="1"/>
  <c r="AC156" i="283"/>
  <c r="AC194" i="283" s="1"/>
  <c r="I158" i="283"/>
  <c r="AR62" i="283"/>
  <c r="AL50" i="283" l="1"/>
  <c r="AM50" i="283" s="1"/>
  <c r="AN50" i="283" s="1"/>
  <c r="AO50" i="283" s="1"/>
  <c r="AP50" i="283" s="1"/>
  <c r="AQ50" i="283" s="1"/>
  <c r="AL43" i="283"/>
  <c r="AM43" i="283" s="1"/>
  <c r="AN43" i="283" s="1"/>
  <c r="AO43" i="283" s="1"/>
  <c r="AP43" i="283" s="1"/>
  <c r="AQ43" i="283" s="1"/>
  <c r="G237" i="283"/>
  <c r="K237" i="283" s="1"/>
  <c r="I145" i="283"/>
  <c r="AQ145" i="283" s="1"/>
  <c r="AQ183" i="283" s="1"/>
  <c r="I155" i="283"/>
  <c r="AN155" i="283" s="1"/>
  <c r="AN193" i="283" s="1"/>
  <c r="AR56" i="283"/>
  <c r="AR59" i="283"/>
  <c r="AR49" i="283"/>
  <c r="AL51" i="283"/>
  <c r="AM51" i="283" s="1"/>
  <c r="AN51" i="283" s="1"/>
  <c r="AO51" i="283" s="1"/>
  <c r="AP51" i="283" s="1"/>
  <c r="AQ51" i="283" s="1"/>
  <c r="AL44" i="283"/>
  <c r="AM44" i="283" s="1"/>
  <c r="AN44" i="283" s="1"/>
  <c r="AO44" i="283" s="1"/>
  <c r="AP44" i="283" s="1"/>
  <c r="AQ44" i="283" s="1"/>
  <c r="I140" i="283" s="1"/>
  <c r="AM48" i="283"/>
  <c r="AN48" i="283" s="1"/>
  <c r="AO48" i="283" s="1"/>
  <c r="AP48" i="283" s="1"/>
  <c r="AQ48" i="283" s="1"/>
  <c r="AK194" i="283"/>
  <c r="AL52" i="283"/>
  <c r="AM52" i="283" s="1"/>
  <c r="AN52" i="283" s="1"/>
  <c r="AO52" i="283" s="1"/>
  <c r="AP52" i="283" s="1"/>
  <c r="AQ52" i="283" s="1"/>
  <c r="AL46" i="283"/>
  <c r="AO106" i="283"/>
  <c r="AP106" i="283" s="1"/>
  <c r="AQ106" i="283" s="1"/>
  <c r="AR106" i="283" s="1"/>
  <c r="AE194" i="283"/>
  <c r="AK101" i="283"/>
  <c r="AL101" i="283" s="1"/>
  <c r="AM101" i="283" s="1"/>
  <c r="AN101" i="283" s="1"/>
  <c r="AO101" i="283" s="1"/>
  <c r="AP101" i="283" s="1"/>
  <c r="AQ101" i="283" s="1"/>
  <c r="AR101" i="283" s="1"/>
  <c r="AO102" i="283"/>
  <c r="AP102" i="283" s="1"/>
  <c r="AQ102" i="283" s="1"/>
  <c r="AR102" i="283" s="1"/>
  <c r="AH98" i="283"/>
  <c r="AG99" i="283"/>
  <c r="AH99" i="283" s="1"/>
  <c r="AI99" i="283" s="1"/>
  <c r="AJ99" i="283" s="1"/>
  <c r="AK99" i="283" s="1"/>
  <c r="AL99" i="283" s="1"/>
  <c r="AM99" i="283" s="1"/>
  <c r="AN99" i="283" s="1"/>
  <c r="AO99" i="283" s="1"/>
  <c r="AP99" i="283" s="1"/>
  <c r="AQ99" i="283" s="1"/>
  <c r="AR99" i="283" s="1"/>
  <c r="AA88" i="283"/>
  <c r="AB88" i="283" s="1"/>
  <c r="AC88" i="283" s="1"/>
  <c r="AD88" i="283" s="1"/>
  <c r="AE88" i="283" s="1"/>
  <c r="W90" i="283"/>
  <c r="AD93" i="283"/>
  <c r="AE93" i="283" s="1"/>
  <c r="AF93" i="283" s="1"/>
  <c r="AG93" i="283" s="1"/>
  <c r="AH93" i="283" s="1"/>
  <c r="AI93" i="283" s="1"/>
  <c r="AJ93" i="283" s="1"/>
  <c r="AK93" i="283" s="1"/>
  <c r="AL93" i="283" s="1"/>
  <c r="AM93" i="283" s="1"/>
  <c r="AN93" i="283" s="1"/>
  <c r="AO93" i="283" s="1"/>
  <c r="AP93" i="283" s="1"/>
  <c r="AQ93" i="283" s="1"/>
  <c r="AR93" i="283" s="1"/>
  <c r="AR57" i="283"/>
  <c r="AE45" i="283"/>
  <c r="AH47" i="283"/>
  <c r="I154" i="283"/>
  <c r="AR58" i="283"/>
  <c r="AO158" i="283"/>
  <c r="AO196" i="283" s="1"/>
  <c r="AK158" i="283"/>
  <c r="AG158" i="283"/>
  <c r="AG196" i="283" s="1"/>
  <c r="AR158" i="283"/>
  <c r="AR196" i="283" s="1"/>
  <c r="AN158" i="283"/>
  <c r="AN196" i="283" s="1"/>
  <c r="AJ158" i="283"/>
  <c r="AJ196" i="283" s="1"/>
  <c r="AF158" i="283"/>
  <c r="AF196" i="283" s="1"/>
  <c r="AQ158" i="283"/>
  <c r="AQ196" i="283" s="1"/>
  <c r="AM158" i="283"/>
  <c r="AM196" i="283" s="1"/>
  <c r="AI158" i="283"/>
  <c r="AI196" i="283" s="1"/>
  <c r="AE158" i="283"/>
  <c r="AP158" i="283"/>
  <c r="AP196" i="283" s="1"/>
  <c r="AL158" i="283"/>
  <c r="AL196" i="283" s="1"/>
  <c r="AH158" i="283"/>
  <c r="AH196" i="283" s="1"/>
  <c r="AR50" i="283" l="1"/>
  <c r="I146" i="283"/>
  <c r="AA146" i="283" s="1"/>
  <c r="AA184" i="283" s="1"/>
  <c r="AN145" i="283"/>
  <c r="AN183" i="283" s="1"/>
  <c r="AG145" i="283"/>
  <c r="AG183" i="283" s="1"/>
  <c r="AL145" i="283"/>
  <c r="AL183" i="283" s="1"/>
  <c r="AB145" i="283"/>
  <c r="AB183" i="283" s="1"/>
  <c r="W145" i="283"/>
  <c r="W183" i="283" s="1"/>
  <c r="AA145" i="283"/>
  <c r="AA183" i="283" s="1"/>
  <c r="V145" i="283"/>
  <c r="V183" i="283" s="1"/>
  <c r="AR145" i="283"/>
  <c r="AR183" i="283" s="1"/>
  <c r="R145" i="283"/>
  <c r="R183" i="283" s="1"/>
  <c r="AI145" i="283"/>
  <c r="AI183" i="283" s="1"/>
  <c r="S145" i="283"/>
  <c r="S183" i="283" s="1"/>
  <c r="AD145" i="283"/>
  <c r="AD183" i="283" s="1"/>
  <c r="AO145" i="283"/>
  <c r="AO183" i="283" s="1"/>
  <c r="Y145" i="283"/>
  <c r="Y183" i="283" s="1"/>
  <c r="AJ145" i="283"/>
  <c r="AJ183" i="283" s="1"/>
  <c r="T145" i="283"/>
  <c r="T183" i="283" s="1"/>
  <c r="AM145" i="283"/>
  <c r="AM183" i="283" s="1"/>
  <c r="AH145" i="283"/>
  <c r="AH183" i="283" s="1"/>
  <c r="AC145" i="283"/>
  <c r="AC183" i="283" s="1"/>
  <c r="X145" i="283"/>
  <c r="X183" i="283" s="1"/>
  <c r="AE145" i="283"/>
  <c r="AE183" i="283" s="1"/>
  <c r="AR155" i="283"/>
  <c r="AR193" i="283" s="1"/>
  <c r="Z145" i="283"/>
  <c r="Z183" i="283" s="1"/>
  <c r="AF145" i="283"/>
  <c r="AF183" i="283" s="1"/>
  <c r="U145" i="283"/>
  <c r="U183" i="283" s="1"/>
  <c r="AP145" i="283"/>
  <c r="AP183" i="283" s="1"/>
  <c r="AK145" i="283"/>
  <c r="AE155" i="283"/>
  <c r="AE193" i="283" s="1"/>
  <c r="AC155" i="283"/>
  <c r="AC193" i="283" s="1"/>
  <c r="AD155" i="283"/>
  <c r="AD193" i="283" s="1"/>
  <c r="AB155" i="283"/>
  <c r="AB193" i="283" s="1"/>
  <c r="AM155" i="283"/>
  <c r="AM193" i="283" s="1"/>
  <c r="AL155" i="283"/>
  <c r="AL193" i="283" s="1"/>
  <c r="AK155" i="283"/>
  <c r="AK193" i="283" s="1"/>
  <c r="AJ155" i="283"/>
  <c r="AJ193" i="283" s="1"/>
  <c r="AI155" i="283"/>
  <c r="AI193" i="283" s="1"/>
  <c r="AQ155" i="283"/>
  <c r="AQ193" i="283" s="1"/>
  <c r="AH155" i="283"/>
  <c r="AH193" i="283" s="1"/>
  <c r="AP155" i="283"/>
  <c r="AP193" i="283" s="1"/>
  <c r="AG155" i="283"/>
  <c r="AG193" i="283" s="1"/>
  <c r="AO155" i="283"/>
  <c r="AO193" i="283" s="1"/>
  <c r="AF155" i="283"/>
  <c r="AF193" i="283" s="1"/>
  <c r="I153" i="283"/>
  <c r="AO153" i="283" s="1"/>
  <c r="AO191" i="283" s="1"/>
  <c r="AR52" i="283"/>
  <c r="G242" i="283"/>
  <c r="K242" i="283" s="1"/>
  <c r="I157" i="283"/>
  <c r="AO157" i="283" s="1"/>
  <c r="AO195" i="283" s="1"/>
  <c r="I147" i="283"/>
  <c r="AR147" i="283" s="1"/>
  <c r="AM46" i="283"/>
  <c r="AN46" i="283" s="1"/>
  <c r="AO46" i="283" s="1"/>
  <c r="AP46" i="283" s="1"/>
  <c r="AQ46" i="283" s="1"/>
  <c r="AL140" i="283"/>
  <c r="AL178" i="283" s="1"/>
  <c r="AD140" i="283"/>
  <c r="AD178" i="283" s="1"/>
  <c r="V140" i="283"/>
  <c r="V178" i="283" s="1"/>
  <c r="N140" i="283"/>
  <c r="N178" i="283" s="1"/>
  <c r="AK140" i="283"/>
  <c r="AC140" i="283"/>
  <c r="AC178" i="283" s="1"/>
  <c r="U140" i="283"/>
  <c r="U178" i="283" s="1"/>
  <c r="M140" i="283"/>
  <c r="M178" i="283" s="1"/>
  <c r="AN140" i="283"/>
  <c r="AN178" i="283" s="1"/>
  <c r="AF140" i="283"/>
  <c r="AF178" i="283" s="1"/>
  <c r="X140" i="283"/>
  <c r="X178" i="283" s="1"/>
  <c r="P140" i="283"/>
  <c r="P178" i="283" s="1"/>
  <c r="AM140" i="283"/>
  <c r="AM178" i="283" s="1"/>
  <c r="AE140" i="283"/>
  <c r="AE178" i="283" s="1"/>
  <c r="W140" i="283"/>
  <c r="W178" i="283" s="1"/>
  <c r="O140" i="283"/>
  <c r="O178" i="283" s="1"/>
  <c r="AP140" i="283"/>
  <c r="AP178" i="283" s="1"/>
  <c r="AH140" i="283"/>
  <c r="AH178" i="283" s="1"/>
  <c r="Z140" i="283"/>
  <c r="Z178" i="283" s="1"/>
  <c r="R140" i="283"/>
  <c r="R178" i="283" s="1"/>
  <c r="AO140" i="283"/>
  <c r="AO178" i="283" s="1"/>
  <c r="AG140" i="283"/>
  <c r="AG178" i="283" s="1"/>
  <c r="Y140" i="283"/>
  <c r="Y178" i="283" s="1"/>
  <c r="Q140" i="283"/>
  <c r="Q178" i="283" s="1"/>
  <c r="AR140" i="283"/>
  <c r="AR178" i="283" s="1"/>
  <c r="AJ140" i="283"/>
  <c r="AJ178" i="283" s="1"/>
  <c r="AB140" i="283"/>
  <c r="AB178" i="283" s="1"/>
  <c r="T140" i="283"/>
  <c r="T178" i="283" s="1"/>
  <c r="AQ140" i="283"/>
  <c r="AQ178" i="283" s="1"/>
  <c r="AI140" i="283"/>
  <c r="AI178" i="283" s="1"/>
  <c r="AA140" i="283"/>
  <c r="AA178" i="283" s="1"/>
  <c r="S140" i="283"/>
  <c r="S178" i="283" s="1"/>
  <c r="AK196" i="283"/>
  <c r="I148" i="283"/>
  <c r="AR148" i="283" s="1"/>
  <c r="AR51" i="283"/>
  <c r="AR48" i="283"/>
  <c r="AF88" i="283"/>
  <c r="AE196" i="283"/>
  <c r="I152" i="283"/>
  <c r="X90" i="283"/>
  <c r="Y90" i="283" s="1"/>
  <c r="Z90" i="283" s="1"/>
  <c r="AI98" i="283"/>
  <c r="AJ98" i="283" s="1"/>
  <c r="AK98" i="283" s="1"/>
  <c r="I150" i="283"/>
  <c r="I144" i="283"/>
  <c r="AF45" i="283"/>
  <c r="AI47" i="283"/>
  <c r="AO154" i="283"/>
  <c r="AO192" i="283" s="1"/>
  <c r="AG154" i="283"/>
  <c r="AG192" i="283" s="1"/>
  <c r="AR154" i="283"/>
  <c r="AR192" i="283" s="1"/>
  <c r="AJ154" i="283"/>
  <c r="AJ192" i="283" s="1"/>
  <c r="AB154" i="283"/>
  <c r="AB192" i="283" s="1"/>
  <c r="AM154" i="283"/>
  <c r="AM192" i="283" s="1"/>
  <c r="AE154" i="283"/>
  <c r="AP154" i="283"/>
  <c r="AP192" i="283" s="1"/>
  <c r="AH154" i="283"/>
  <c r="AH192" i="283" s="1"/>
  <c r="AK154" i="283"/>
  <c r="AN154" i="283"/>
  <c r="AN192" i="283" s="1"/>
  <c r="AF154" i="283"/>
  <c r="AF192" i="283" s="1"/>
  <c r="AI154" i="283"/>
  <c r="AI192" i="283" s="1"/>
  <c r="AA154" i="283"/>
  <c r="AA192" i="283" s="1"/>
  <c r="AD154" i="283"/>
  <c r="AD192" i="283" s="1"/>
  <c r="AC154" i="283"/>
  <c r="AC192" i="283" s="1"/>
  <c r="AQ154" i="283"/>
  <c r="AQ192" i="283" s="1"/>
  <c r="AL154" i="283"/>
  <c r="AL192" i="283" s="1"/>
  <c r="AP146" i="283" l="1"/>
  <c r="AP184" i="283" s="1"/>
  <c r="X146" i="283"/>
  <c r="X184" i="283" s="1"/>
  <c r="T146" i="283"/>
  <c r="T184" i="283" s="1"/>
  <c r="AH146" i="283"/>
  <c r="AH184" i="283" s="1"/>
  <c r="AD146" i="283"/>
  <c r="AD184" i="283" s="1"/>
  <c r="AF146" i="283"/>
  <c r="AF184" i="283" s="1"/>
  <c r="AM146" i="283"/>
  <c r="AM184" i="283" s="1"/>
  <c r="AC146" i="283"/>
  <c r="AC184" i="283" s="1"/>
  <c r="Y146" i="283"/>
  <c r="Y184" i="283" s="1"/>
  <c r="AB146" i="283"/>
  <c r="AB184" i="283" s="1"/>
  <c r="AE146" i="283"/>
  <c r="AE184" i="283" s="1"/>
  <c r="AQ146" i="283"/>
  <c r="AQ184" i="283" s="1"/>
  <c r="AI146" i="283"/>
  <c r="AI184" i="283" s="1"/>
  <c r="AO146" i="283"/>
  <c r="AO184" i="283" s="1"/>
  <c r="AN146" i="283"/>
  <c r="AN184" i="283" s="1"/>
  <c r="AG146" i="283"/>
  <c r="AG184" i="283" s="1"/>
  <c r="AR146" i="283"/>
  <c r="AR184" i="283" s="1"/>
  <c r="V146" i="283"/>
  <c r="V184" i="283" s="1"/>
  <c r="AL146" i="283"/>
  <c r="AL184" i="283" s="1"/>
  <c r="U146" i="283"/>
  <c r="U184" i="283" s="1"/>
  <c r="AJ146" i="283"/>
  <c r="AJ184" i="283" s="1"/>
  <c r="W146" i="283"/>
  <c r="W184" i="283" s="1"/>
  <c r="S146" i="283"/>
  <c r="S184" i="283" s="1"/>
  <c r="Z146" i="283"/>
  <c r="Z184" i="283" s="1"/>
  <c r="AK146" i="283"/>
  <c r="AK184" i="283" s="1"/>
  <c r="AG88" i="283"/>
  <c r="AK183" i="283"/>
  <c r="G231" i="283" s="1"/>
  <c r="K231" i="283" s="1"/>
  <c r="AG157" i="283"/>
  <c r="AG195" i="283" s="1"/>
  <c r="AI157" i="283"/>
  <c r="AI195" i="283" s="1"/>
  <c r="AF157" i="283"/>
  <c r="AF195" i="283" s="1"/>
  <c r="AR157" i="283"/>
  <c r="AR195" i="283" s="1"/>
  <c r="AJ157" i="283"/>
  <c r="AJ195" i="283" s="1"/>
  <c r="AQ157" i="283"/>
  <c r="AQ195" i="283" s="1"/>
  <c r="AH157" i="283"/>
  <c r="AH195" i="283" s="1"/>
  <c r="AA148" i="283"/>
  <c r="AA186" i="283" s="1"/>
  <c r="AB153" i="283"/>
  <c r="AB191" i="283" s="1"/>
  <c r="AM148" i="283"/>
  <c r="AM186" i="283" s="1"/>
  <c r="AH153" i="283"/>
  <c r="AH191" i="283" s="1"/>
  <c r="AI153" i="283"/>
  <c r="AI191" i="283" s="1"/>
  <c r="AQ153" i="283"/>
  <c r="AQ191" i="283" s="1"/>
  <c r="X148" i="283"/>
  <c r="X186" i="283" s="1"/>
  <c r="AR153" i="283"/>
  <c r="AR191" i="283" s="1"/>
  <c r="AE153" i="283"/>
  <c r="AE191" i="283" s="1"/>
  <c r="AP147" i="283"/>
  <c r="AP185" i="283" s="1"/>
  <c r="AJ148" i="283"/>
  <c r="AJ186" i="283" s="1"/>
  <c r="AO148" i="283"/>
  <c r="AO186" i="283" s="1"/>
  <c r="AC148" i="283"/>
  <c r="AC186" i="283" s="1"/>
  <c r="AG153" i="283"/>
  <c r="AG191" i="283" s="1"/>
  <c r="AJ153" i="283"/>
  <c r="AJ191" i="283" s="1"/>
  <c r="AM153" i="283"/>
  <c r="AM191" i="283" s="1"/>
  <c r="AP153" i="283"/>
  <c r="AP191" i="283" s="1"/>
  <c r="Z153" i="283"/>
  <c r="Z191" i="283" s="1"/>
  <c r="AC153" i="283"/>
  <c r="AC191" i="283" s="1"/>
  <c r="AN153" i="283"/>
  <c r="AN191" i="283" s="1"/>
  <c r="AD147" i="283"/>
  <c r="AD185" i="283" s="1"/>
  <c r="AQ148" i="283"/>
  <c r="AQ186" i="283" s="1"/>
  <c r="AH148" i="283"/>
  <c r="AH186" i="283" s="1"/>
  <c r="Y148" i="283"/>
  <c r="Y186" i="283" s="1"/>
  <c r="AL148" i="283"/>
  <c r="AL186" i="283" s="1"/>
  <c r="W148" i="283"/>
  <c r="W186" i="283" s="1"/>
  <c r="AD148" i="283"/>
  <c r="AD186" i="283" s="1"/>
  <c r="AF153" i="283"/>
  <c r="AF191" i="283" s="1"/>
  <c r="AL153" i="283"/>
  <c r="AL191" i="283" s="1"/>
  <c r="AK153" i="283"/>
  <c r="AD153" i="283"/>
  <c r="AD191" i="283" s="1"/>
  <c r="AA153" i="283"/>
  <c r="AA191" i="283" s="1"/>
  <c r="G241" i="283"/>
  <c r="K241" i="283" s="1"/>
  <c r="W147" i="283"/>
  <c r="W185" i="283" s="1"/>
  <c r="AK147" i="283"/>
  <c r="AK157" i="283"/>
  <c r="AD157" i="283"/>
  <c r="AD195" i="283" s="1"/>
  <c r="AL157" i="283"/>
  <c r="AL195" i="283" s="1"/>
  <c r="AM157" i="283"/>
  <c r="AM195" i="283" s="1"/>
  <c r="AE157" i="283"/>
  <c r="AE195" i="283" s="1"/>
  <c r="AP157" i="283"/>
  <c r="AP195" i="283" s="1"/>
  <c r="AN157" i="283"/>
  <c r="AN195" i="283" s="1"/>
  <c r="AR186" i="283"/>
  <c r="AB148" i="283"/>
  <c r="AB186" i="283" s="1"/>
  <c r="AI148" i="283"/>
  <c r="AI186" i="283" s="1"/>
  <c r="AP148" i="283"/>
  <c r="AP186" i="283" s="1"/>
  <c r="Z148" i="283"/>
  <c r="Z186" i="283" s="1"/>
  <c r="AG148" i="283"/>
  <c r="AG186" i="283" s="1"/>
  <c r="AN148" i="283"/>
  <c r="AN186" i="283" s="1"/>
  <c r="AE148" i="283"/>
  <c r="AE186" i="283" s="1"/>
  <c r="V148" i="283"/>
  <c r="V186" i="283" s="1"/>
  <c r="AF148" i="283"/>
  <c r="AF186" i="283" s="1"/>
  <c r="AK148" i="283"/>
  <c r="AK186" i="283" s="1"/>
  <c r="U148" i="283"/>
  <c r="U186" i="283" s="1"/>
  <c r="AI147" i="283"/>
  <c r="AI185" i="283" s="1"/>
  <c r="X147" i="283"/>
  <c r="X185" i="283" s="1"/>
  <c r="AM147" i="283"/>
  <c r="AM185" i="283" s="1"/>
  <c r="U147" i="283"/>
  <c r="U185" i="283" s="1"/>
  <c r="AB147" i="283"/>
  <c r="AB185" i="283" s="1"/>
  <c r="AQ147" i="283"/>
  <c r="AQ185" i="283" s="1"/>
  <c r="AH147" i="283"/>
  <c r="AH185" i="283" s="1"/>
  <c r="AF147" i="283"/>
  <c r="AF185" i="283" s="1"/>
  <c r="AA147" i="283"/>
  <c r="AA185" i="283" s="1"/>
  <c r="AO147" i="283"/>
  <c r="AO185" i="283" s="1"/>
  <c r="Y147" i="283"/>
  <c r="Y185" i="283" s="1"/>
  <c r="AG147" i="283"/>
  <c r="AG185" i="283" s="1"/>
  <c r="V147" i="283"/>
  <c r="V185" i="283" s="1"/>
  <c r="AC147" i="283"/>
  <c r="AC185" i="283" s="1"/>
  <c r="AJ147" i="283"/>
  <c r="AJ185" i="283" s="1"/>
  <c r="AE147" i="283"/>
  <c r="AE185" i="283" s="1"/>
  <c r="AL147" i="283"/>
  <c r="AL185" i="283" s="1"/>
  <c r="T147" i="283"/>
  <c r="T185" i="283" s="1"/>
  <c r="Z147" i="283"/>
  <c r="Z185" i="283" s="1"/>
  <c r="AN147" i="283"/>
  <c r="AN185" i="283" s="1"/>
  <c r="I142" i="283"/>
  <c r="AO142" i="283" s="1"/>
  <c r="AO180" i="283" s="1"/>
  <c r="G244" i="283"/>
  <c r="K244" i="283" s="1"/>
  <c r="AR46" i="283"/>
  <c r="AK178" i="283"/>
  <c r="G226" i="283" s="1"/>
  <c r="K226" i="283" s="1"/>
  <c r="AK192" i="283"/>
  <c r="AR185" i="283"/>
  <c r="AE192" i="283"/>
  <c r="AL152" i="283"/>
  <c r="AL190" i="283" s="1"/>
  <c r="AD152" i="283"/>
  <c r="AD190" i="283" s="1"/>
  <c r="AO152" i="283"/>
  <c r="AO190" i="283" s="1"/>
  <c r="AG152" i="283"/>
  <c r="AG190" i="283" s="1"/>
  <c r="Y152" i="283"/>
  <c r="Y190" i="283" s="1"/>
  <c r="AN152" i="283"/>
  <c r="AN190" i="283" s="1"/>
  <c r="AF152" i="283"/>
  <c r="AF190" i="283" s="1"/>
  <c r="AQ152" i="283"/>
  <c r="AQ190" i="283" s="1"/>
  <c r="AI152" i="283"/>
  <c r="AI190" i="283" s="1"/>
  <c r="AA152" i="283"/>
  <c r="AA190" i="283" s="1"/>
  <c r="AH152" i="283"/>
  <c r="AH190" i="283" s="1"/>
  <c r="Z152" i="283"/>
  <c r="Z190" i="283" s="1"/>
  <c r="AK152" i="283"/>
  <c r="AR152" i="283"/>
  <c r="AR190" i="283" s="1"/>
  <c r="AJ152" i="283"/>
  <c r="AJ190" i="283" s="1"/>
  <c r="AM152" i="283"/>
  <c r="AM190" i="283" s="1"/>
  <c r="AP152" i="283"/>
  <c r="AP190" i="283" s="1"/>
  <c r="AC152" i="283"/>
  <c r="AC190" i="283" s="1"/>
  <c r="AB152" i="283"/>
  <c r="AB190" i="283" s="1"/>
  <c r="AE152" i="283"/>
  <c r="AA90" i="283"/>
  <c r="AB90" i="283" s="1"/>
  <c r="AL98" i="283"/>
  <c r="AM98" i="283" s="1"/>
  <c r="AN98" i="283" s="1"/>
  <c r="AO98" i="283" s="1"/>
  <c r="AP98" i="283" s="1"/>
  <c r="AQ98" i="283" s="1"/>
  <c r="AR98" i="283" s="1"/>
  <c r="AQ150" i="283"/>
  <c r="AQ188" i="283" s="1"/>
  <c r="AI150" i="283"/>
  <c r="AI188" i="283" s="1"/>
  <c r="AA150" i="283"/>
  <c r="AA188" i="283" s="1"/>
  <c r="AP150" i="283"/>
  <c r="AP188" i="283" s="1"/>
  <c r="AH150" i="283"/>
  <c r="AH188" i="283" s="1"/>
  <c r="Z150" i="283"/>
  <c r="Z188" i="283" s="1"/>
  <c r="AK150" i="283"/>
  <c r="AC150" i="283"/>
  <c r="AC188" i="283" s="1"/>
  <c r="AR150" i="283"/>
  <c r="AR188" i="283" s="1"/>
  <c r="AJ150" i="283"/>
  <c r="AJ188" i="283" s="1"/>
  <c r="AB150" i="283"/>
  <c r="AB188" i="283" s="1"/>
  <c r="AM150" i="283"/>
  <c r="AM188" i="283" s="1"/>
  <c r="AE150" i="283"/>
  <c r="W150" i="283"/>
  <c r="W188" i="283" s="1"/>
  <c r="AL150" i="283"/>
  <c r="AL188" i="283" s="1"/>
  <c r="AD150" i="283"/>
  <c r="AD188" i="283" s="1"/>
  <c r="AO150" i="283"/>
  <c r="AO188" i="283" s="1"/>
  <c r="AG150" i="283"/>
  <c r="AG188" i="283" s="1"/>
  <c r="Y150" i="283"/>
  <c r="Y188" i="283" s="1"/>
  <c r="AN150" i="283"/>
  <c r="AN188" i="283" s="1"/>
  <c r="AF150" i="283"/>
  <c r="AF188" i="283" s="1"/>
  <c r="X150" i="283"/>
  <c r="X188" i="283" s="1"/>
  <c r="W144" i="283"/>
  <c r="W182" i="283" s="1"/>
  <c r="AL144" i="283"/>
  <c r="AL182" i="283" s="1"/>
  <c r="AD144" i="283"/>
  <c r="AD182" i="283" s="1"/>
  <c r="V144" i="283"/>
  <c r="V182" i="283" s="1"/>
  <c r="AO144" i="283"/>
  <c r="AO182" i="283" s="1"/>
  <c r="AG144" i="283"/>
  <c r="AG182" i="283" s="1"/>
  <c r="Y144" i="283"/>
  <c r="Y182" i="283" s="1"/>
  <c r="Q144" i="283"/>
  <c r="Q182" i="283" s="1"/>
  <c r="AN144" i="283"/>
  <c r="AN182" i="283" s="1"/>
  <c r="AF144" i="283"/>
  <c r="AF182" i="283" s="1"/>
  <c r="X144" i="283"/>
  <c r="X182" i="283" s="1"/>
  <c r="AQ144" i="283"/>
  <c r="AQ182" i="283" s="1"/>
  <c r="AI144" i="283"/>
  <c r="AI182" i="283" s="1"/>
  <c r="AA144" i="283"/>
  <c r="AA182" i="283" s="1"/>
  <c r="AP144" i="283"/>
  <c r="AP182" i="283" s="1"/>
  <c r="AH144" i="283"/>
  <c r="AH182" i="283" s="1"/>
  <c r="Z144" i="283"/>
  <c r="Z182" i="283" s="1"/>
  <c r="R144" i="283"/>
  <c r="R182" i="283" s="1"/>
  <c r="AK144" i="283"/>
  <c r="AC144" i="283"/>
  <c r="AC182" i="283" s="1"/>
  <c r="U144" i="283"/>
  <c r="U182" i="283" s="1"/>
  <c r="AR144" i="283"/>
  <c r="AR182" i="283" s="1"/>
  <c r="AJ144" i="283"/>
  <c r="AJ182" i="283" s="1"/>
  <c r="AB144" i="283"/>
  <c r="AB182" i="283" s="1"/>
  <c r="T144" i="283"/>
  <c r="T182" i="283" s="1"/>
  <c r="AM144" i="283"/>
  <c r="AM182" i="283" s="1"/>
  <c r="AE144" i="283"/>
  <c r="S144" i="283"/>
  <c r="S182" i="283" s="1"/>
  <c r="AG45" i="283"/>
  <c r="AJ47" i="283"/>
  <c r="G232" i="283" l="1"/>
  <c r="K232" i="283" s="1"/>
  <c r="AH88" i="283"/>
  <c r="AI88" i="283" s="1"/>
  <c r="AJ88" i="283" s="1"/>
  <c r="AK88" i="283" s="1"/>
  <c r="AL88" i="283" s="1"/>
  <c r="AM88" i="283" s="1"/>
  <c r="AN88" i="283" s="1"/>
  <c r="AO88" i="283" s="1"/>
  <c r="AP88" i="283" s="1"/>
  <c r="AQ88" i="283" s="1"/>
  <c r="AK191" i="283"/>
  <c r="G239" i="283" s="1"/>
  <c r="K239" i="283" s="1"/>
  <c r="AK185" i="283"/>
  <c r="G233" i="283" s="1"/>
  <c r="K233" i="283" s="1"/>
  <c r="AK195" i="283"/>
  <c r="G243" i="283" s="1"/>
  <c r="K243" i="283" s="1"/>
  <c r="G234" i="283"/>
  <c r="K234" i="283" s="1"/>
  <c r="AG142" i="283"/>
  <c r="AG180" i="283" s="1"/>
  <c r="G240" i="283"/>
  <c r="K240" i="283" s="1"/>
  <c r="AI142" i="283"/>
  <c r="AI180" i="283" s="1"/>
  <c r="AK142" i="283"/>
  <c r="AK180" i="283" s="1"/>
  <c r="AH142" i="283"/>
  <c r="AH180" i="283" s="1"/>
  <c r="AJ142" i="283"/>
  <c r="AJ180" i="283" s="1"/>
  <c r="AE142" i="283"/>
  <c r="AE180" i="283" s="1"/>
  <c r="R142" i="283"/>
  <c r="R180" i="283" s="1"/>
  <c r="S142" i="283"/>
  <c r="S180" i="283" s="1"/>
  <c r="T142" i="283"/>
  <c r="T180" i="283" s="1"/>
  <c r="U142" i="283"/>
  <c r="U180" i="283" s="1"/>
  <c r="AD142" i="283"/>
  <c r="AD180" i="283" s="1"/>
  <c r="AF142" i="283"/>
  <c r="AF180" i="283" s="1"/>
  <c r="AC90" i="283"/>
  <c r="AD90" i="283" s="1"/>
  <c r="AE90" i="283" s="1"/>
  <c r="AF90" i="283" s="1"/>
  <c r="O142" i="283"/>
  <c r="O180" i="283" s="1"/>
  <c r="P142" i="283"/>
  <c r="P180" i="283" s="1"/>
  <c r="Q142" i="283"/>
  <c r="Q180" i="283" s="1"/>
  <c r="Z142" i="283"/>
  <c r="Z180" i="283" s="1"/>
  <c r="AP142" i="283"/>
  <c r="AP180" i="283" s="1"/>
  <c r="AA142" i="283"/>
  <c r="AA180" i="283" s="1"/>
  <c r="AQ142" i="283"/>
  <c r="AQ180" i="283" s="1"/>
  <c r="AB142" i="283"/>
  <c r="AB180" i="283" s="1"/>
  <c r="AR142" i="283"/>
  <c r="AR180" i="283" s="1"/>
  <c r="AC142" i="283"/>
  <c r="AC180" i="283" s="1"/>
  <c r="V142" i="283"/>
  <c r="V180" i="283" s="1"/>
  <c r="AL142" i="283"/>
  <c r="AL180" i="283" s="1"/>
  <c r="W142" i="283"/>
  <c r="W180" i="283" s="1"/>
  <c r="AM142" i="283"/>
  <c r="AM180" i="283" s="1"/>
  <c r="X142" i="283"/>
  <c r="X180" i="283" s="1"/>
  <c r="AN142" i="283"/>
  <c r="AN180" i="283" s="1"/>
  <c r="Y142" i="283"/>
  <c r="Y180" i="283" s="1"/>
  <c r="AK182" i="283"/>
  <c r="AK188" i="283"/>
  <c r="AK190" i="283"/>
  <c r="AE182" i="283"/>
  <c r="AE190" i="283"/>
  <c r="AE188" i="283"/>
  <c r="I149" i="283"/>
  <c r="AC149" i="283" s="1"/>
  <c r="AC187" i="283" s="1"/>
  <c r="AH45" i="283"/>
  <c r="AI45" i="283" s="1"/>
  <c r="AJ45" i="283" s="1"/>
  <c r="AK45" i="283" s="1"/>
  <c r="AK47" i="283"/>
  <c r="G236" i="283" l="1"/>
  <c r="K236" i="283" s="1"/>
  <c r="I139" i="283"/>
  <c r="S139" i="283" s="1"/>
  <c r="S177" i="283" s="1"/>
  <c r="G230" i="283"/>
  <c r="K230" i="283" s="1"/>
  <c r="G238" i="283"/>
  <c r="K238" i="283" s="1"/>
  <c r="AG149" i="283"/>
  <c r="AG187" i="283" s="1"/>
  <c r="AG90" i="283"/>
  <c r="AH90" i="283" s="1"/>
  <c r="AI90" i="283" s="1"/>
  <c r="AJ90" i="283" s="1"/>
  <c r="AK90" i="283" s="1"/>
  <c r="AL90" i="283" s="1"/>
  <c r="AM90" i="283" s="1"/>
  <c r="AN90" i="283" s="1"/>
  <c r="AO90" i="283" s="1"/>
  <c r="AP90" i="283" s="1"/>
  <c r="AQ90" i="283" s="1"/>
  <c r="AR90" i="283" s="1"/>
  <c r="G228" i="283"/>
  <c r="K228" i="283" s="1"/>
  <c r="AK149" i="283"/>
  <c r="AK187" i="283" s="1"/>
  <c r="AB149" i="283"/>
  <c r="AB187" i="283" s="1"/>
  <c r="AE149" i="283"/>
  <c r="AE187" i="283" s="1"/>
  <c r="Y149" i="283"/>
  <c r="Y187" i="283" s="1"/>
  <c r="AM149" i="283"/>
  <c r="AM187" i="283" s="1"/>
  <c r="V149" i="283"/>
  <c r="V187" i="283" s="1"/>
  <c r="AA149" i="283"/>
  <c r="AA187" i="283" s="1"/>
  <c r="X149" i="283"/>
  <c r="X187" i="283" s="1"/>
  <c r="AO149" i="283"/>
  <c r="AO187" i="283" s="1"/>
  <c r="AI149" i="283"/>
  <c r="AI187" i="283" s="1"/>
  <c r="AL45" i="283"/>
  <c r="AM45" i="283" s="1"/>
  <c r="AN45" i="283" s="1"/>
  <c r="AO45" i="283" s="1"/>
  <c r="AP45" i="283" s="1"/>
  <c r="AQ45" i="283" s="1"/>
  <c r="AJ149" i="283"/>
  <c r="AJ187" i="283" s="1"/>
  <c r="Z149" i="283"/>
  <c r="Z187" i="283" s="1"/>
  <c r="AN149" i="283"/>
  <c r="AN187" i="283" s="1"/>
  <c r="AF149" i="283"/>
  <c r="AF187" i="283" s="1"/>
  <c r="AD149" i="283"/>
  <c r="AD187" i="283" s="1"/>
  <c r="AQ149" i="283"/>
  <c r="AQ187" i="283" s="1"/>
  <c r="AL149" i="283"/>
  <c r="AL187" i="283" s="1"/>
  <c r="W149" i="283"/>
  <c r="W187" i="283" s="1"/>
  <c r="AR149" i="283"/>
  <c r="AR187" i="283" s="1"/>
  <c r="AH149" i="283"/>
  <c r="AH187" i="283" s="1"/>
  <c r="AP149" i="283"/>
  <c r="AP187" i="283" s="1"/>
  <c r="AL47" i="283"/>
  <c r="O139" i="283" l="1"/>
  <c r="O177" i="283" s="1"/>
  <c r="AM139" i="283"/>
  <c r="AM177" i="283" s="1"/>
  <c r="AA139" i="283"/>
  <c r="AA177" i="283" s="1"/>
  <c r="U139" i="283"/>
  <c r="U177" i="283" s="1"/>
  <c r="Q139" i="283"/>
  <c r="Q177" i="283" s="1"/>
  <c r="M139" i="283"/>
  <c r="M177" i="283" s="1"/>
  <c r="M210" i="283" s="1"/>
  <c r="N139" i="283"/>
  <c r="N177" i="283" s="1"/>
  <c r="Z139" i="283"/>
  <c r="Z177" i="283" s="1"/>
  <c r="AL139" i="283"/>
  <c r="AL177" i="283" s="1"/>
  <c r="AP139" i="283"/>
  <c r="AP177" i="283" s="1"/>
  <c r="AJ139" i="283"/>
  <c r="AJ177" i="283" s="1"/>
  <c r="AO139" i="283"/>
  <c r="AO177" i="283" s="1"/>
  <c r="AH139" i="283"/>
  <c r="AH177" i="283" s="1"/>
  <c r="T139" i="283"/>
  <c r="T177" i="283" s="1"/>
  <c r="AG139" i="283"/>
  <c r="AG177" i="283" s="1"/>
  <c r="AQ139" i="283"/>
  <c r="AQ177" i="283" s="1"/>
  <c r="X139" i="283"/>
  <c r="X177" i="283" s="1"/>
  <c r="AD139" i="283"/>
  <c r="AD177" i="283" s="1"/>
  <c r="AI139" i="283"/>
  <c r="AI177" i="283" s="1"/>
  <c r="AN139" i="283"/>
  <c r="AN177" i="283" s="1"/>
  <c r="AK139" i="283"/>
  <c r="AK177" i="283" s="1"/>
  <c r="W139" i="283"/>
  <c r="W177" i="283" s="1"/>
  <c r="Y139" i="283"/>
  <c r="Y177" i="283" s="1"/>
  <c r="V139" i="283"/>
  <c r="V177" i="283" s="1"/>
  <c r="L139" i="283"/>
  <c r="L177" i="283" s="1"/>
  <c r="AB139" i="283"/>
  <c r="AB177" i="283" s="1"/>
  <c r="AF139" i="283"/>
  <c r="AF177" i="283" s="1"/>
  <c r="R139" i="283"/>
  <c r="R177" i="283" s="1"/>
  <c r="P139" i="283"/>
  <c r="P177" i="283" s="1"/>
  <c r="AE139" i="283"/>
  <c r="AE177" i="283" s="1"/>
  <c r="AC139" i="283"/>
  <c r="AC177" i="283" s="1"/>
  <c r="G235" i="283"/>
  <c r="K235" i="283" s="1"/>
  <c r="I141" i="283"/>
  <c r="AK141" i="283" s="1"/>
  <c r="AR45" i="283"/>
  <c r="AM47" i="283"/>
  <c r="AN47" i="283" s="1"/>
  <c r="AO47" i="283" s="1"/>
  <c r="AP47" i="283" s="1"/>
  <c r="AQ47" i="283" s="1"/>
  <c r="L210" i="283" l="1"/>
  <c r="G225" i="283"/>
  <c r="K225" i="283" s="1"/>
  <c r="X141" i="283"/>
  <c r="X179" i="283" s="1"/>
  <c r="V141" i="283"/>
  <c r="V179" i="283" s="1"/>
  <c r="P141" i="283"/>
  <c r="P179" i="283" s="1"/>
  <c r="N141" i="283"/>
  <c r="N179" i="283" s="1"/>
  <c r="N210" i="283" s="1"/>
  <c r="AQ141" i="283"/>
  <c r="AQ179" i="283" s="1"/>
  <c r="R141" i="283"/>
  <c r="R179" i="283" s="1"/>
  <c r="T141" i="283"/>
  <c r="T179" i="283" s="1"/>
  <c r="AO141" i="283"/>
  <c r="AO179" i="283" s="1"/>
  <c r="Y141" i="283"/>
  <c r="Y179" i="283" s="1"/>
  <c r="W141" i="283"/>
  <c r="W179" i="283" s="1"/>
  <c r="Q141" i="283"/>
  <c r="Q179" i="283" s="1"/>
  <c r="O141" i="283"/>
  <c r="O179" i="283" s="1"/>
  <c r="O210" i="283" s="1"/>
  <c r="AP141" i="283"/>
  <c r="AP179" i="283" s="1"/>
  <c r="AR141" i="283"/>
  <c r="AR179" i="283" s="1"/>
  <c r="S141" i="283"/>
  <c r="S179" i="283" s="1"/>
  <c r="U141" i="283"/>
  <c r="U179" i="283" s="1"/>
  <c r="AN141" i="283"/>
  <c r="AN179" i="283" s="1"/>
  <c r="AM141" i="283"/>
  <c r="AM179" i="283" s="1"/>
  <c r="AL141" i="283"/>
  <c r="AL179" i="283" s="1"/>
  <c r="AG141" i="283"/>
  <c r="AG179" i="283" s="1"/>
  <c r="AF141" i="283"/>
  <c r="AF179" i="283" s="1"/>
  <c r="AE141" i="283"/>
  <c r="AE179" i="283" s="1"/>
  <c r="AD141" i="283"/>
  <c r="AD179" i="283" s="1"/>
  <c r="Z141" i="283"/>
  <c r="Z179" i="283" s="1"/>
  <c r="AA141" i="283"/>
  <c r="AA179" i="283" s="1"/>
  <c r="AB141" i="283"/>
  <c r="AB179" i="283" s="1"/>
  <c r="AC141" i="283"/>
  <c r="AC179" i="283" s="1"/>
  <c r="AH141" i="283"/>
  <c r="AH179" i="283" s="1"/>
  <c r="AI141" i="283"/>
  <c r="AI179" i="283" s="1"/>
  <c r="AJ141" i="283"/>
  <c r="AJ179" i="283" s="1"/>
  <c r="AK179" i="283"/>
  <c r="I143" i="283"/>
  <c r="AR47" i="283"/>
  <c r="G227" i="283" l="1"/>
  <c r="K227" i="283" s="1"/>
  <c r="AR143" i="283"/>
  <c r="AR181" i="283" s="1"/>
  <c r="AJ143" i="283"/>
  <c r="AJ181" i="283" s="1"/>
  <c r="AB143" i="283"/>
  <c r="AB181" i="283" s="1"/>
  <c r="AB210" i="283" s="1"/>
  <c r="T143" i="283"/>
  <c r="T181" i="283" s="1"/>
  <c r="T210" i="283" s="1"/>
  <c r="AO143" i="283"/>
  <c r="AO181" i="283" s="1"/>
  <c r="AG143" i="283"/>
  <c r="AG181" i="283" s="1"/>
  <c r="Y143" i="283"/>
  <c r="Y181" i="283" s="1"/>
  <c r="Y210" i="283" s="1"/>
  <c r="Q143" i="283"/>
  <c r="Q181" i="283" s="1"/>
  <c r="Q210" i="283" s="1"/>
  <c r="AL143" i="283"/>
  <c r="AL181" i="283" s="1"/>
  <c r="AD143" i="283"/>
  <c r="AD181" i="283" s="1"/>
  <c r="AD210" i="283" s="1"/>
  <c r="V143" i="283"/>
  <c r="V181" i="283" s="1"/>
  <c r="V210" i="283" s="1"/>
  <c r="AQ143" i="283"/>
  <c r="AQ181" i="283" s="1"/>
  <c r="AI143" i="283"/>
  <c r="AI181" i="283" s="1"/>
  <c r="AA143" i="283"/>
  <c r="AA181" i="283" s="1"/>
  <c r="AA210" i="283" s="1"/>
  <c r="S143" i="283"/>
  <c r="S181" i="283" s="1"/>
  <c r="S210" i="283" s="1"/>
  <c r="AN143" i="283"/>
  <c r="AN181" i="283" s="1"/>
  <c r="AF143" i="283"/>
  <c r="AF181" i="283" s="1"/>
  <c r="X143" i="283"/>
  <c r="X181" i="283" s="1"/>
  <c r="X210" i="283" s="1"/>
  <c r="P143" i="283"/>
  <c r="P181" i="283" s="1"/>
  <c r="AK143" i="283"/>
  <c r="AC143" i="283"/>
  <c r="AC181" i="283" s="1"/>
  <c r="AC210" i="283" s="1"/>
  <c r="U143" i="283"/>
  <c r="U181" i="283" s="1"/>
  <c r="U210" i="283" s="1"/>
  <c r="AP143" i="283"/>
  <c r="AP181" i="283" s="1"/>
  <c r="AH143" i="283"/>
  <c r="AH181" i="283" s="1"/>
  <c r="Z143" i="283"/>
  <c r="Z181" i="283" s="1"/>
  <c r="Z210" i="283" s="1"/>
  <c r="R143" i="283"/>
  <c r="R181" i="283" s="1"/>
  <c r="R210" i="283" s="1"/>
  <c r="AM143" i="283"/>
  <c r="AM181" i="283" s="1"/>
  <c r="AE143" i="283"/>
  <c r="W143" i="283"/>
  <c r="W181" i="283" s="1"/>
  <c r="W210" i="283" s="1"/>
  <c r="AK181" i="283" l="1"/>
  <c r="AE181" i="283"/>
  <c r="AE210" i="283" s="1"/>
  <c r="P210" i="283"/>
  <c r="G229" i="283" l="1"/>
  <c r="K229" i="283" s="1"/>
  <c r="AP41" i="197" l="1"/>
  <c r="AK41" i="197"/>
  <c r="AN41" i="197"/>
  <c r="AM41" i="197"/>
  <c r="AJ41" i="197"/>
  <c r="AQ41" i="197"/>
  <c r="AO41" i="197"/>
  <c r="AL41" i="197"/>
  <c r="I73" i="212" l="1"/>
  <c r="I73" i="277" l="1"/>
  <c r="I77" i="277"/>
  <c r="I73" i="215"/>
  <c r="I77" i="217"/>
  <c r="I73" i="217"/>
  <c r="I73" i="278"/>
  <c r="I77" i="278"/>
  <c r="I73" i="205"/>
  <c r="I77" i="205"/>
  <c r="I77" i="212"/>
  <c r="I76" i="278" l="1"/>
  <c r="I76" i="205"/>
  <c r="I76" i="212"/>
  <c r="I76" i="217"/>
  <c r="I76" i="277"/>
  <c r="I73" i="280" l="1"/>
  <c r="I73" i="216"/>
  <c r="I73" i="214" l="1"/>
  <c r="I73" i="281" l="1"/>
  <c r="I77" i="281"/>
  <c r="I73" i="282"/>
  <c r="I77" i="282"/>
  <c r="I77" i="213" l="1"/>
  <c r="I73" i="213"/>
  <c r="I77" i="216"/>
  <c r="I77" i="214"/>
  <c r="I77" i="215"/>
  <c r="I76" i="281"/>
  <c r="I76" i="282"/>
  <c r="I76" i="213" l="1"/>
  <c r="I76" i="215"/>
  <c r="I76" i="214"/>
  <c r="I76" i="216"/>
  <c r="I73" i="279" l="1"/>
  <c r="I77" i="279"/>
  <c r="I77" i="280"/>
  <c r="I76" i="279" l="1"/>
  <c r="I76" i="280"/>
  <c r="B210" i="283" l="1"/>
  <c r="C210" i="283" l="1"/>
  <c r="AJ457" i="189" l="1"/>
  <c r="AK457" i="189"/>
  <c r="AK458" i="189"/>
  <c r="AL457" i="189"/>
  <c r="AK456" i="189"/>
  <c r="AL456" i="189"/>
  <c r="AL458" i="189"/>
  <c r="AM457" i="189"/>
  <c r="AM458" i="189"/>
  <c r="AM456" i="189"/>
  <c r="AN457" i="189"/>
  <c r="AN456" i="189"/>
  <c r="AN458" i="189"/>
  <c r="AO457" i="189"/>
  <c r="AO456" i="189"/>
  <c r="AO458" i="189"/>
  <c r="AP458" i="189"/>
  <c r="AQ457" i="189"/>
  <c r="AP457" i="189"/>
  <c r="AP456" i="189"/>
  <c r="AQ456" i="189"/>
  <c r="AQ458" i="189"/>
  <c r="AJ458" i="189"/>
  <c r="AJ460" i="189" s="1"/>
  <c r="AJ448" i="189" s="1"/>
  <c r="AJ36" i="194" s="1"/>
  <c r="AJ37" i="194" s="1"/>
  <c r="AK460" i="189" l="1"/>
  <c r="AK448" i="189" s="1"/>
  <c r="AK36" i="194" s="1"/>
  <c r="AK37" i="194" s="1"/>
  <c r="AM460" i="189"/>
  <c r="AM448" i="189" s="1"/>
  <c r="AM36" i="194" s="1"/>
  <c r="AM37" i="194" s="1"/>
  <c r="AQ460" i="189"/>
  <c r="AQ448" i="189" s="1"/>
  <c r="AQ36" i="194" s="1"/>
  <c r="AQ37" i="194" s="1"/>
  <c r="AO460" i="189"/>
  <c r="AO448" i="189" s="1"/>
  <c r="AO36" i="194" s="1"/>
  <c r="AO37" i="194" s="1"/>
  <c r="AN460" i="189"/>
  <c r="AN448" i="189" s="1"/>
  <c r="AN36" i="194" s="1"/>
  <c r="AN37" i="194" s="1"/>
  <c r="AP460" i="189"/>
  <c r="AP448" i="189" s="1"/>
  <c r="AP36" i="194" s="1"/>
  <c r="AP37" i="194" s="1"/>
  <c r="AL460" i="189"/>
  <c r="AL448" i="189" s="1"/>
  <c r="AL36" i="194" s="1"/>
  <c r="AL37" i="194" s="1"/>
  <c r="AK283" i="189" l="1"/>
  <c r="AQ283" i="189"/>
  <c r="AM283" i="189"/>
  <c r="AJ292" i="189"/>
  <c r="AP299" i="189"/>
  <c r="AM303" i="189"/>
  <c r="AQ299" i="189"/>
  <c r="AL299" i="189"/>
  <c r="AO303" i="189"/>
  <c r="AN291" i="189"/>
  <c r="AP283" i="189"/>
  <c r="AP292" i="189"/>
  <c r="AQ292" i="189"/>
  <c r="AO292" i="189"/>
  <c r="AK303" i="189"/>
  <c r="AN303" i="189"/>
  <c r="AN299" i="189"/>
  <c r="AJ299" i="189"/>
  <c r="AL283" i="189"/>
  <c r="AQ291" i="189"/>
  <c r="AP291" i="189"/>
  <c r="AO291" i="189"/>
  <c r="AP293" i="189" l="1"/>
  <c r="AQ293" i="189"/>
  <c r="AO293" i="189"/>
  <c r="AQ276" i="189"/>
  <c r="AN283" i="189"/>
  <c r="AJ304" i="189"/>
  <c r="AO283" i="189"/>
  <c r="AM276" i="189"/>
  <c r="AQ300" i="189"/>
  <c r="AQ301" i="189" s="1"/>
  <c r="AP276" i="189"/>
  <c r="AL276" i="189"/>
  <c r="AJ283" i="189"/>
  <c r="AK299" i="189"/>
  <c r="AO276" i="189" l="1"/>
  <c r="AJ276" i="189"/>
  <c r="AM304" i="189"/>
  <c r="AM305" i="189" s="1"/>
  <c r="AK276" i="189"/>
  <c r="AP303" i="189"/>
  <c r="AL304" i="189"/>
  <c r="AQ303" i="189"/>
  <c r="AL303" i="189"/>
  <c r="AO299" i="189"/>
  <c r="AJ300" i="189"/>
  <c r="AJ301" i="189" s="1"/>
  <c r="AM292" i="189"/>
  <c r="AL292" i="189"/>
  <c r="AK292" i="189"/>
  <c r="AK300" i="189"/>
  <c r="AK301" i="189" s="1"/>
  <c r="AQ304" i="189"/>
  <c r="AM300" i="189"/>
  <c r="AN276" i="189"/>
  <c r="AM299" i="189"/>
  <c r="AP304" i="189"/>
  <c r="AL300" i="189"/>
  <c r="AL301" i="189" s="1"/>
  <c r="AJ303" i="189"/>
  <c r="AN304" i="189"/>
  <c r="AN305" i="189" s="1"/>
  <c r="AP300" i="189"/>
  <c r="AP301" i="189" s="1"/>
  <c r="AN292" i="189"/>
  <c r="AN293" i="189" s="1"/>
  <c r="AL305" i="189" l="1"/>
  <c r="AQ305" i="189"/>
  <c r="AP305" i="189"/>
  <c r="AJ305" i="189"/>
  <c r="AM301" i="189"/>
  <c r="AO304" i="189"/>
  <c r="AO305" i="189" s="1"/>
  <c r="AK304" i="189"/>
  <c r="AK305" i="189" s="1"/>
  <c r="AN300" i="189"/>
  <c r="AN301" i="189" s="1"/>
  <c r="AO300" i="189"/>
  <c r="AO301" i="189" s="1"/>
  <c r="AM291" i="189" l="1"/>
  <c r="AM293" i="189" s="1"/>
  <c r="AL291" i="189"/>
  <c r="AL293" i="189" s="1"/>
  <c r="AK291" i="189"/>
  <c r="AK293" i="189" s="1"/>
  <c r="AJ291" i="189" l="1"/>
  <c r="AJ293" i="189" s="1"/>
  <c r="AL105" i="189" l="1"/>
  <c r="AK105" i="189"/>
  <c r="AL141" i="189"/>
  <c r="AP159" i="189"/>
  <c r="AM159" i="189"/>
  <c r="AP105" i="189"/>
  <c r="AM105" i="189"/>
  <c r="AP141" i="189"/>
  <c r="AO105" i="189"/>
  <c r="AO141" i="189"/>
  <c r="AN141" i="189"/>
  <c r="AN159" i="189"/>
  <c r="AQ105" i="189"/>
  <c r="AQ141" i="189"/>
  <c r="AN105" i="189"/>
  <c r="AK141" i="189"/>
  <c r="AO159" i="189"/>
  <c r="AQ159" i="189"/>
  <c r="AL159" i="189"/>
  <c r="AK159" i="189"/>
  <c r="AM141" i="189"/>
  <c r="AJ159" i="189" l="1"/>
  <c r="AJ105" i="189"/>
  <c r="AJ141" i="189"/>
  <c r="AL108" i="189" l="1"/>
  <c r="AL148" i="189"/>
  <c r="AM108" i="189"/>
  <c r="AO108" i="189"/>
  <c r="AO148" i="189"/>
  <c r="AQ108" i="189"/>
  <c r="AN108" i="189"/>
  <c r="AM148" i="189"/>
  <c r="AJ108" i="189"/>
  <c r="AK108" i="189"/>
  <c r="AP108" i="189"/>
  <c r="AP148" i="189"/>
  <c r="AN148" i="189"/>
  <c r="AQ148" i="189"/>
  <c r="AK148" i="189"/>
  <c r="AJ148" i="189"/>
  <c r="AQ295" i="189" l="1"/>
  <c r="AP287" i="189" l="1"/>
  <c r="AL287" i="189"/>
  <c r="AQ287" i="189"/>
  <c r="AM287" i="189"/>
  <c r="AN287" i="189"/>
  <c r="AO287" i="189"/>
  <c r="AK287" i="189"/>
  <c r="AN288" i="189" l="1"/>
  <c r="AN289" i="189" s="1"/>
  <c r="AP288" i="189"/>
  <c r="AP289" i="189" s="1"/>
  <c r="AM288" i="189"/>
  <c r="AM289" i="189" s="1"/>
  <c r="AK288" i="189"/>
  <c r="AK289" i="189" s="1"/>
  <c r="AJ287" i="189"/>
  <c r="AQ288" i="189"/>
  <c r="AQ289" i="189" s="1"/>
  <c r="AL288" i="189"/>
  <c r="AL289" i="189" s="1"/>
  <c r="AO288" i="189"/>
  <c r="AO289" i="189" s="1"/>
  <c r="AJ288" i="189" l="1"/>
  <c r="AJ289" i="189" s="1"/>
  <c r="AO267" i="189" l="1"/>
  <c r="AN267" i="189"/>
  <c r="AO275" i="189"/>
  <c r="AO277" i="189" s="1"/>
  <c r="AL271" i="189"/>
  <c r="AP279" i="189"/>
  <c r="AL279" i="189"/>
  <c r="AO271" i="189"/>
  <c r="AJ275" i="189"/>
  <c r="AJ277" i="189" s="1"/>
  <c r="AO279" i="189"/>
  <c r="AL253" i="189"/>
  <c r="AN271" i="189"/>
  <c r="AK267" i="189"/>
  <c r="AP253" i="189"/>
  <c r="AK275" i="189"/>
  <c r="AK277" i="189" s="1"/>
  <c r="AJ253" i="189"/>
  <c r="AQ253" i="189"/>
  <c r="AQ271" i="189"/>
  <c r="AN279" i="189"/>
  <c r="AM271" i="189"/>
  <c r="AN275" i="189"/>
  <c r="AN277" i="189" s="1"/>
  <c r="AM275" i="189"/>
  <c r="AM277" i="189" s="1"/>
  <c r="AK253" i="189"/>
  <c r="AK279" i="189"/>
  <c r="AQ275" i="189"/>
  <c r="AQ277" i="189" s="1"/>
  <c r="AO253" i="189"/>
  <c r="AK271" i="189"/>
  <c r="AQ279" i="189"/>
  <c r="AP275" i="189"/>
  <c r="AP277" i="189" s="1"/>
  <c r="AP267" i="189"/>
  <c r="AQ267" i="189"/>
  <c r="AM279" i="189"/>
  <c r="AL275" i="189"/>
  <c r="AL277" i="189" s="1"/>
  <c r="AN253" i="189"/>
  <c r="AP271" i="189"/>
  <c r="AM267" i="189"/>
  <c r="AJ271" i="189"/>
  <c r="AJ279" i="189"/>
  <c r="AL267" i="189"/>
  <c r="AJ267" i="189"/>
  <c r="AM253" i="189"/>
  <c r="AM254" i="189" l="1"/>
  <c r="AM255" i="189" s="1"/>
  <c r="AN43" i="194"/>
  <c r="J58" i="23"/>
  <c r="AO254" i="189"/>
  <c r="AO255" i="189" s="1"/>
  <c r="AK254" i="189"/>
  <c r="AK255" i="189" s="1"/>
  <c r="AQ254" i="189"/>
  <c r="AQ255" i="189" s="1"/>
  <c r="F58" i="23"/>
  <c r="AJ43" i="194"/>
  <c r="AP43" i="194"/>
  <c r="L58" i="23"/>
  <c r="AL254" i="189"/>
  <c r="AL255" i="189" s="1"/>
  <c r="I58" i="23"/>
  <c r="AM43" i="194"/>
  <c r="AN254" i="189"/>
  <c r="AN255" i="189" s="1"/>
  <c r="K58" i="23"/>
  <c r="AO43" i="194"/>
  <c r="AK43" i="194"/>
  <c r="G58" i="23"/>
  <c r="AQ43" i="194"/>
  <c r="M58" i="23"/>
  <c r="AJ254" i="189"/>
  <c r="AJ255" i="189" s="1"/>
  <c r="AP254" i="189"/>
  <c r="AP255" i="189" s="1"/>
  <c r="H58" i="23"/>
  <c r="AL43" i="194"/>
  <c r="AN44" i="194" l="1"/>
  <c r="AN45" i="194"/>
  <c r="AP284" i="189"/>
  <c r="AP285" i="189" s="1"/>
  <c r="AL284" i="189"/>
  <c r="AL285" i="189" s="1"/>
  <c r="AN284" i="189"/>
  <c r="AN285" i="189" s="1"/>
  <c r="AM284" i="189"/>
  <c r="AM285" i="189" s="1"/>
  <c r="AL45" i="194"/>
  <c r="AL44" i="194"/>
  <c r="AQ44" i="194"/>
  <c r="AQ65" i="194" s="1"/>
  <c r="AQ45" i="194"/>
  <c r="AK45" i="194"/>
  <c r="AK44" i="194"/>
  <c r="AO44" i="194"/>
  <c r="AO45" i="194"/>
  <c r="AJ284" i="189"/>
  <c r="AJ285" i="189" s="1"/>
  <c r="AQ284" i="189"/>
  <c r="AQ285" i="189" s="1"/>
  <c r="AO284" i="189"/>
  <c r="AO285" i="189" s="1"/>
  <c r="AK284" i="189"/>
  <c r="AK285" i="189" s="1"/>
  <c r="AP44" i="194"/>
  <c r="AP45" i="194"/>
  <c r="AJ45" i="194"/>
  <c r="AJ44" i="194"/>
  <c r="AJ65" i="194" s="1"/>
  <c r="N58" i="23"/>
  <c r="O58" i="23"/>
  <c r="AM45" i="194"/>
  <c r="AM44" i="194"/>
  <c r="AP71" i="194" l="1"/>
  <c r="AP65" i="194"/>
  <c r="AP19" i="9" s="1"/>
  <c r="L50" i="23" s="1"/>
  <c r="L41" i="23" s="1"/>
  <c r="AK71" i="194"/>
  <c r="AK65" i="194"/>
  <c r="AK19" i="9" s="1"/>
  <c r="G50" i="23" s="1"/>
  <c r="G41" i="23" s="1"/>
  <c r="AL71" i="194"/>
  <c r="AL65" i="194"/>
  <c r="AL19" i="9" s="1"/>
  <c r="H50" i="23" s="1"/>
  <c r="H41" i="23" s="1"/>
  <c r="AM71" i="194"/>
  <c r="AM65" i="194"/>
  <c r="AM19" i="9" s="1"/>
  <c r="I50" i="23" s="1"/>
  <c r="I41" i="23" s="1"/>
  <c r="AJ71" i="194"/>
  <c r="AJ19" i="9"/>
  <c r="AO71" i="194"/>
  <c r="AO65" i="194"/>
  <c r="AO19" i="9" s="1"/>
  <c r="K50" i="23" s="1"/>
  <c r="K41" i="23" s="1"/>
  <c r="AQ71" i="194"/>
  <c r="AQ19" i="9"/>
  <c r="M50" i="23" s="1"/>
  <c r="M41" i="23" s="1"/>
  <c r="AN71" i="194"/>
  <c r="AN65" i="194"/>
  <c r="AN19" i="9" s="1"/>
  <c r="J50" i="23" s="1"/>
  <c r="J41" i="23" s="1"/>
  <c r="AO114" i="189"/>
  <c r="AP209" i="161"/>
  <c r="AP209" i="308"/>
  <c r="AL116" i="189"/>
  <c r="AJ117" i="189"/>
  <c r="AQ121" i="189"/>
  <c r="AM117" i="189"/>
  <c r="AQ114" i="189"/>
  <c r="AN114" i="189"/>
  <c r="AP114" i="189"/>
  <c r="AK209" i="308"/>
  <c r="AK209" i="161"/>
  <c r="AL209" i="161"/>
  <c r="AL209" i="308"/>
  <c r="AM114" i="189"/>
  <c r="AL114" i="189"/>
  <c r="AM209" i="308"/>
  <c r="AM209" i="161"/>
  <c r="AJ209" i="308"/>
  <c r="AJ209" i="161"/>
  <c r="AK114" i="189"/>
  <c r="AO209" i="308"/>
  <c r="AO209" i="161"/>
  <c r="AQ209" i="308"/>
  <c r="AQ209" i="161"/>
  <c r="AN209" i="308"/>
  <c r="AN209" i="161"/>
  <c r="AN115" i="189"/>
  <c r="AP116" i="189"/>
  <c r="AO121" i="189"/>
  <c r="AK115" i="189"/>
  <c r="AL163" i="161" l="1"/>
  <c r="AL205" i="161" s="1"/>
  <c r="AL163" i="308"/>
  <c r="AL205" i="308" s="1"/>
  <c r="AK163" i="308"/>
  <c r="AK205" i="308" s="1"/>
  <c r="AK163" i="161"/>
  <c r="AK205" i="161" s="1"/>
  <c r="AP163" i="308"/>
  <c r="AP205" i="308" s="1"/>
  <c r="AP163" i="161"/>
  <c r="AP205" i="161" s="1"/>
  <c r="AL117" i="189"/>
  <c r="AL115" i="189"/>
  <c r="AQ117" i="189"/>
  <c r="AO115" i="189"/>
  <c r="AJ121" i="189"/>
  <c r="AJ115" i="189"/>
  <c r="AK116" i="189"/>
  <c r="AN116" i="189"/>
  <c r="AM115" i="189"/>
  <c r="AN121" i="189"/>
  <c r="AQ116" i="189"/>
  <c r="AN163" i="308"/>
  <c r="AN205" i="308" s="1"/>
  <c r="AN163" i="161"/>
  <c r="AN205" i="161" s="1"/>
  <c r="AQ163" i="161"/>
  <c r="AQ205" i="161" s="1"/>
  <c r="AQ163" i="308"/>
  <c r="AQ205" i="308" s="1"/>
  <c r="AO163" i="308"/>
  <c r="AO205" i="308" s="1"/>
  <c r="AO163" i="161"/>
  <c r="AO205" i="161" s="1"/>
  <c r="AJ114" i="189"/>
  <c r="F50" i="23"/>
  <c r="AJ163" i="308"/>
  <c r="AJ205" i="308" s="1"/>
  <c r="AJ163" i="161"/>
  <c r="AJ205" i="161" s="1"/>
  <c r="AM163" i="308"/>
  <c r="AM205" i="308" s="1"/>
  <c r="AM163" i="161"/>
  <c r="AM205" i="161" s="1"/>
  <c r="AN117" i="189"/>
  <c r="AP117" i="189"/>
  <c r="AP121" i="189"/>
  <c r="AJ116" i="189"/>
  <c r="AQ115" i="189"/>
  <c r="AK117" i="189"/>
  <c r="AM121" i="189"/>
  <c r="AL121" i="189"/>
  <c r="AK121" i="189"/>
  <c r="AP115" i="189"/>
  <c r="AO116" i="189"/>
  <c r="AM116" i="189"/>
  <c r="AO117" i="189"/>
  <c r="F41" i="23" l="1"/>
  <c r="O50" i="23"/>
  <c r="N50" i="23"/>
  <c r="O41" i="23" l="1"/>
  <c r="N41" i="23"/>
  <c r="AN132" i="189" l="1"/>
  <c r="AM132" i="189"/>
  <c r="AM134" i="189"/>
  <c r="AJ132" i="189"/>
  <c r="AL132" i="189" l="1"/>
  <c r="AO132" i="189"/>
  <c r="AL134" i="189"/>
  <c r="AK134" i="189"/>
  <c r="AP132" i="189"/>
  <c r="AP134" i="189"/>
  <c r="AO134" i="189"/>
  <c r="AJ134" i="189"/>
  <c r="AK132" i="189" l="1"/>
  <c r="AN134" i="189"/>
  <c r="AQ132" i="189" l="1"/>
  <c r="AQ134" i="189" l="1"/>
  <c r="AN295" i="189" l="1"/>
  <c r="AK295" i="189"/>
  <c r="AO295" i="189" l="1"/>
  <c r="AP295" i="189"/>
  <c r="AL295" i="189"/>
  <c r="AM295" i="189"/>
  <c r="AJ295" i="189" l="1"/>
  <c r="AK100" i="189" l="1"/>
  <c r="AN100" i="189"/>
  <c r="AP100" i="189"/>
  <c r="AL100" i="189"/>
  <c r="AJ100" i="189"/>
  <c r="AO100" i="189"/>
  <c r="AM100" i="189" l="1"/>
  <c r="AO22" i="183"/>
  <c r="AJ22" i="183"/>
  <c r="AL22" i="183"/>
  <c r="AP22" i="183"/>
  <c r="AN22" i="183"/>
  <c r="AK22" i="183"/>
  <c r="AQ100" i="189" l="1"/>
  <c r="AM22" i="183"/>
  <c r="AQ22" i="183" l="1"/>
  <c r="AJ98" i="189" l="1"/>
  <c r="AJ20" i="183" l="1"/>
  <c r="AK20" i="183" l="1"/>
  <c r="AL20" i="183" l="1"/>
  <c r="AM20" i="183" l="1"/>
  <c r="AN20" i="183"/>
  <c r="AO20" i="183" l="1"/>
  <c r="AP20" i="183" l="1"/>
  <c r="AQ20" i="183" l="1"/>
  <c r="AL123" i="189" l="1"/>
  <c r="AN123" i="189"/>
  <c r="AJ123" i="189"/>
  <c r="AM123" i="189"/>
  <c r="AP123" i="189"/>
  <c r="AO123" i="189"/>
  <c r="AM126" i="189" l="1"/>
  <c r="AK126" i="189"/>
  <c r="AK123" i="189"/>
  <c r="AP126" i="189"/>
  <c r="AL126" i="189"/>
  <c r="AN126" i="189"/>
  <c r="AO126" i="189"/>
  <c r="AJ126" i="189"/>
  <c r="AQ126" i="189" l="1"/>
  <c r="AQ123" i="189"/>
  <c r="AO96" i="189" l="1"/>
  <c r="AQ96" i="189"/>
  <c r="AP96" i="189"/>
  <c r="AM96" i="189"/>
  <c r="AN96" i="189"/>
  <c r="AK96" i="189"/>
  <c r="AJ96" i="189"/>
  <c r="AL96" i="189"/>
  <c r="AJ18" i="183" l="1"/>
  <c r="AK18" i="183"/>
  <c r="AN18" i="183"/>
  <c r="AM18" i="183"/>
  <c r="AP18" i="183"/>
  <c r="AQ18" i="183"/>
  <c r="AO18" i="183"/>
  <c r="AL18" i="183"/>
  <c r="AP150" i="189" l="1"/>
  <c r="AN154" i="189"/>
  <c r="AP151" i="189"/>
  <c r="AN150" i="189"/>
  <c r="AM150" i="189"/>
  <c r="AL154" i="189"/>
  <c r="AM151" i="189"/>
  <c r="AJ150" i="189"/>
  <c r="AL150" i="189"/>
  <c r="AQ150" i="189"/>
  <c r="AO150" i="189"/>
  <c r="AO218" i="189" l="1"/>
  <c r="AO217" i="189"/>
  <c r="AO32" i="183" s="1"/>
  <c r="AO43" i="183" s="1"/>
  <c r="AO76" i="183" s="1"/>
  <c r="AO87" i="183" s="1"/>
  <c r="AO20" i="195" s="1"/>
  <c r="AO215" i="189"/>
  <c r="AO30" i="183" s="1"/>
  <c r="AJ218" i="189"/>
  <c r="AJ33" i="183" s="1"/>
  <c r="AJ44" i="183" s="1"/>
  <c r="AJ77" i="183" s="1"/>
  <c r="AJ88" i="183" s="1"/>
  <c r="AJ21" i="195" s="1"/>
  <c r="AJ217" i="189"/>
  <c r="AJ32" i="183" s="1"/>
  <c r="AJ43" i="183" s="1"/>
  <c r="AJ76" i="183" s="1"/>
  <c r="AJ87" i="183" s="1"/>
  <c r="AJ20" i="195" s="1"/>
  <c r="AJ215" i="189"/>
  <c r="AJ30" i="183" s="1"/>
  <c r="AM218" i="189"/>
  <c r="AM33" i="183" s="1"/>
  <c r="AM44" i="183" s="1"/>
  <c r="AM77" i="183" s="1"/>
  <c r="AM88" i="183" s="1"/>
  <c r="AM21" i="195" s="1"/>
  <c r="AM217" i="189"/>
  <c r="AM32" i="183" s="1"/>
  <c r="AM43" i="183" s="1"/>
  <c r="AM76" i="183" s="1"/>
  <c r="AM87" i="183" s="1"/>
  <c r="AM20" i="195" s="1"/>
  <c r="AM215" i="189"/>
  <c r="AM30" i="183" s="1"/>
  <c r="AN216" i="189"/>
  <c r="AN31" i="183" s="1"/>
  <c r="AN42" i="183" s="1"/>
  <c r="AN75" i="183" s="1"/>
  <c r="AN86" i="183" s="1"/>
  <c r="AN19" i="195" s="1"/>
  <c r="AN218" i="189"/>
  <c r="AN33" i="183" s="1"/>
  <c r="AN44" i="183" s="1"/>
  <c r="AN77" i="183" s="1"/>
  <c r="AN88" i="183" s="1"/>
  <c r="AN21" i="195" s="1"/>
  <c r="AN217" i="189"/>
  <c r="AN32" i="183" s="1"/>
  <c r="AN43" i="183" s="1"/>
  <c r="AN76" i="183" s="1"/>
  <c r="AN87" i="183" s="1"/>
  <c r="AN20" i="195" s="1"/>
  <c r="AN215" i="189"/>
  <c r="AN30" i="183" s="1"/>
  <c r="AP217" i="189"/>
  <c r="AP32" i="183" s="1"/>
  <c r="AP43" i="183" s="1"/>
  <c r="AP76" i="183" s="1"/>
  <c r="AP87" i="183" s="1"/>
  <c r="AP20" i="195" s="1"/>
  <c r="AP218" i="189"/>
  <c r="AP33" i="183" s="1"/>
  <c r="AP44" i="183" s="1"/>
  <c r="AP77" i="183" s="1"/>
  <c r="AP88" i="183" s="1"/>
  <c r="AP21" i="195" s="1"/>
  <c r="AP215" i="189"/>
  <c r="AP30" i="183" s="1"/>
  <c r="AQ215" i="189"/>
  <c r="AQ30" i="183" s="1"/>
  <c r="AQ217" i="189"/>
  <c r="AQ32" i="183" s="1"/>
  <c r="AQ43" i="183" s="1"/>
  <c r="AQ76" i="183" s="1"/>
  <c r="AQ87" i="183" s="1"/>
  <c r="AQ20" i="195" s="1"/>
  <c r="AQ218" i="189"/>
  <c r="AQ33" i="183" s="1"/>
  <c r="AQ44" i="183" s="1"/>
  <c r="AQ77" i="183" s="1"/>
  <c r="AQ88" i="183" s="1"/>
  <c r="AQ21" i="195" s="1"/>
  <c r="AL216" i="189"/>
  <c r="AL31" i="183" s="1"/>
  <c r="AL42" i="183" s="1"/>
  <c r="AL75" i="183" s="1"/>
  <c r="AL86" i="183" s="1"/>
  <c r="AL19" i="195" s="1"/>
  <c r="AL218" i="189"/>
  <c r="AL33" i="183" s="1"/>
  <c r="AL44" i="183" s="1"/>
  <c r="AL77" i="183" s="1"/>
  <c r="AL88" i="183" s="1"/>
  <c r="AL21" i="195" s="1"/>
  <c r="AL217" i="189"/>
  <c r="AL32" i="183" s="1"/>
  <c r="AL43" i="183" s="1"/>
  <c r="AL76" i="183" s="1"/>
  <c r="AL87" i="183" s="1"/>
  <c r="AL20" i="195" s="1"/>
  <c r="AL215" i="189"/>
  <c r="AL30" i="183" s="1"/>
  <c r="AO33" i="183"/>
  <c r="AO44" i="183" s="1"/>
  <c r="AO77" i="183" s="1"/>
  <c r="AO88" i="183" s="1"/>
  <c r="AO21" i="195" s="1"/>
  <c r="AJ154" i="189"/>
  <c r="AJ216" i="189" s="1"/>
  <c r="AJ31" i="183" s="1"/>
  <c r="AJ42" i="183" s="1"/>
  <c r="AJ75" i="183" s="1"/>
  <c r="AJ86" i="183" s="1"/>
  <c r="AJ19" i="195" s="1"/>
  <c r="AP157" i="189"/>
  <c r="AP219" i="189" s="1"/>
  <c r="AN152" i="189"/>
  <c r="AN214" i="189" s="1"/>
  <c r="AN151" i="189"/>
  <c r="AO154" i="189"/>
  <c r="AO216" i="189" s="1"/>
  <c r="AK151" i="189"/>
  <c r="AM154" i="189"/>
  <c r="AM216" i="189" s="1"/>
  <c r="AK154" i="189"/>
  <c r="AL157" i="189"/>
  <c r="AL219" i="189" s="1"/>
  <c r="AQ157" i="189"/>
  <c r="AK152" i="189"/>
  <c r="AL151" i="189"/>
  <c r="AK157" i="189"/>
  <c r="AJ157" i="189"/>
  <c r="AJ219" i="189" s="1"/>
  <c r="AK150" i="189"/>
  <c r="AJ152" i="189"/>
  <c r="AJ214" i="189" s="1"/>
  <c r="AO151" i="189"/>
  <c r="AQ151" i="189"/>
  <c r="AM157" i="189"/>
  <c r="AM219" i="189" s="1"/>
  <c r="AL152" i="189"/>
  <c r="AO152" i="189"/>
  <c r="AP154" i="189"/>
  <c r="AP216" i="189" s="1"/>
  <c r="AJ151" i="189"/>
  <c r="AN157" i="189"/>
  <c r="AN219" i="189" s="1"/>
  <c r="AM152" i="189"/>
  <c r="AO157" i="189"/>
  <c r="AQ154" i="189"/>
  <c r="AQ216" i="189" s="1"/>
  <c r="AP152" i="189"/>
  <c r="AQ152" i="189"/>
  <c r="AQ214" i="189" s="1"/>
  <c r="AM214" i="189" l="1"/>
  <c r="AM29" i="183" s="1"/>
  <c r="AM40" i="183" s="1"/>
  <c r="AM73" i="183" s="1"/>
  <c r="AM84" i="183" s="1"/>
  <c r="AM17" i="195" s="1"/>
  <c r="AO214" i="189"/>
  <c r="AO29" i="183" s="1"/>
  <c r="AO40" i="183" s="1"/>
  <c r="AO73" i="183" s="1"/>
  <c r="AO84" i="183" s="1"/>
  <c r="AO17" i="195" s="1"/>
  <c r="AK218" i="189"/>
  <c r="AK33" i="183" s="1"/>
  <c r="AK44" i="183" s="1"/>
  <c r="AK77" i="183" s="1"/>
  <c r="AK88" i="183" s="1"/>
  <c r="AK21" i="195" s="1"/>
  <c r="AK217" i="189"/>
  <c r="AK32" i="183" s="1"/>
  <c r="AK43" i="183" s="1"/>
  <c r="AK76" i="183" s="1"/>
  <c r="AK87" i="183" s="1"/>
  <c r="AK20" i="195" s="1"/>
  <c r="AK219" i="189"/>
  <c r="AK34" i="183" s="1"/>
  <c r="AK216" i="189"/>
  <c r="AK31" i="183" s="1"/>
  <c r="AK42" i="183" s="1"/>
  <c r="AK75" i="183" s="1"/>
  <c r="AK86" i="183" s="1"/>
  <c r="AK19" i="195" s="1"/>
  <c r="AK215" i="189"/>
  <c r="AK30" i="183" s="1"/>
  <c r="AK214" i="189"/>
  <c r="AK29" i="183" s="1"/>
  <c r="AK40" i="183" s="1"/>
  <c r="AK73" i="183" s="1"/>
  <c r="AK84" i="183" s="1"/>
  <c r="AK17" i="195" s="1"/>
  <c r="AL214" i="189"/>
  <c r="AL29" i="183" s="1"/>
  <c r="AL40" i="183" s="1"/>
  <c r="AL73" i="183" s="1"/>
  <c r="AL84" i="183" s="1"/>
  <c r="AL17" i="195" s="1"/>
  <c r="AQ219" i="189"/>
  <c r="AQ34" i="183" s="1"/>
  <c r="AP214" i="189"/>
  <c r="AP29" i="183" s="1"/>
  <c r="AP40" i="183" s="1"/>
  <c r="AP73" i="183" s="1"/>
  <c r="AP84" i="183" s="1"/>
  <c r="AP17" i="195" s="1"/>
  <c r="AO219" i="189"/>
  <c r="AO34" i="183" s="1"/>
  <c r="AQ29" i="183"/>
  <c r="AQ40" i="183" s="1"/>
  <c r="AQ73" i="183" s="1"/>
  <c r="AQ84" i="183" s="1"/>
  <c r="AQ17" i="195" s="1"/>
  <c r="AJ34" i="183"/>
  <c r="AN34" i="183"/>
  <c r="AM34" i="183"/>
  <c r="AJ29" i="183"/>
  <c r="AJ40" i="183" s="1"/>
  <c r="AJ73" i="183" s="1"/>
  <c r="AJ84" i="183" s="1"/>
  <c r="AJ17" i="195" s="1"/>
  <c r="AL34" i="183"/>
  <c r="AN29" i="183"/>
  <c r="AN40" i="183" s="1"/>
  <c r="AN73" i="183" s="1"/>
  <c r="AN84" i="183" s="1"/>
  <c r="AN17" i="195" s="1"/>
  <c r="AP34" i="183"/>
  <c r="AM31" i="183"/>
  <c r="AM42" i="183" s="1"/>
  <c r="AM75" i="183" s="1"/>
  <c r="AM86" i="183" s="1"/>
  <c r="AM19" i="195" s="1"/>
  <c r="AP31" i="183"/>
  <c r="AP42" i="183" s="1"/>
  <c r="AP75" i="183" s="1"/>
  <c r="AP86" i="183" s="1"/>
  <c r="AP19" i="195" s="1"/>
  <c r="AQ31" i="183"/>
  <c r="AQ42" i="183" s="1"/>
  <c r="AQ75" i="183" s="1"/>
  <c r="AQ86" i="183" s="1"/>
  <c r="AQ19" i="195" s="1"/>
  <c r="AO31" i="183"/>
  <c r="AO42" i="183" s="1"/>
  <c r="AO75" i="183" s="1"/>
  <c r="AO86" i="183" s="1"/>
  <c r="AO19" i="195" s="1"/>
  <c r="AN296" i="189" l="1"/>
  <c r="AN297" i="189" s="1"/>
  <c r="AP296" i="189"/>
  <c r="AP297" i="189" s="1"/>
  <c r="AL296" i="189"/>
  <c r="AL297" i="189" s="1"/>
  <c r="AM296" i="189"/>
  <c r="AM297" i="189" s="1"/>
  <c r="AQ296" i="189"/>
  <c r="AQ297" i="189" s="1"/>
  <c r="AO296" i="189"/>
  <c r="AO297" i="189" s="1"/>
  <c r="AK296" i="189"/>
  <c r="AK297" i="189" s="1"/>
  <c r="AJ296" i="189" l="1"/>
  <c r="AJ297" i="189" s="1"/>
  <c r="AK268" i="189" l="1"/>
  <c r="AK269" i="189" s="1"/>
  <c r="AM272" i="189"/>
  <c r="AM273" i="189" s="1"/>
  <c r="AP272" i="189"/>
  <c r="AP273" i="189" s="1"/>
  <c r="AK272" i="189"/>
  <c r="AK273" i="189" s="1"/>
  <c r="AP268" i="189"/>
  <c r="AP269" i="189" s="1"/>
  <c r="AQ272" i="189"/>
  <c r="AQ273" i="189" s="1"/>
  <c r="AM280" i="189"/>
  <c r="AM281" i="189" s="1"/>
  <c r="AO280" i="189"/>
  <c r="AO281" i="189" s="1"/>
  <c r="AJ280" i="189"/>
  <c r="AJ281" i="189" s="1"/>
  <c r="AJ272" i="189"/>
  <c r="AJ273" i="189" s="1"/>
  <c r="AK280" i="189"/>
  <c r="AK281" i="189" s="1"/>
  <c r="AN272" i="189"/>
  <c r="AN273" i="189" s="1"/>
  <c r="AN268" i="189"/>
  <c r="AN269" i="189" s="1"/>
  <c r="AM268" i="189"/>
  <c r="AM269" i="189" s="1"/>
  <c r="AO268" i="189"/>
  <c r="AO269" i="189" s="1"/>
  <c r="AP280" i="189"/>
  <c r="AP281" i="189" s="1"/>
  <c r="AL272" i="189"/>
  <c r="AL273" i="189" s="1"/>
  <c r="AQ280" i="189"/>
  <c r="AQ281" i="189" s="1"/>
  <c r="AJ268" i="189"/>
  <c r="AJ269" i="189" s="1"/>
  <c r="AO272" i="189"/>
  <c r="AO273" i="189" s="1"/>
  <c r="AN280" i="189"/>
  <c r="AN281" i="189" s="1"/>
  <c r="AL268" i="189"/>
  <c r="AL269" i="189" s="1"/>
  <c r="AL280" i="189"/>
  <c r="AL281" i="189" s="1"/>
  <c r="AQ268" i="189"/>
  <c r="AQ269" i="189" s="1"/>
  <c r="AP97" i="189" l="1"/>
  <c r="AM97" i="189"/>
  <c r="AM19" i="183" l="1"/>
  <c r="AM41" i="183" s="1"/>
  <c r="AP19" i="183"/>
  <c r="AP41" i="183" s="1"/>
  <c r="AN97" i="189" l="1"/>
  <c r="AO97" i="189"/>
  <c r="AQ97" i="189"/>
  <c r="AK97" i="189"/>
  <c r="AL97" i="189"/>
  <c r="AP74" i="183"/>
  <c r="AP85" i="183" s="1"/>
  <c r="AM74" i="183"/>
  <c r="AM85" i="183" s="1"/>
  <c r="AM18" i="195" l="1"/>
  <c r="AP18" i="195"/>
  <c r="AK19" i="183"/>
  <c r="AK41" i="183" s="1"/>
  <c r="AQ19" i="183"/>
  <c r="AQ41" i="183" s="1"/>
  <c r="AO19" i="183"/>
  <c r="AO41" i="183" s="1"/>
  <c r="AN19" i="183"/>
  <c r="AN41" i="183" s="1"/>
  <c r="AL19" i="183"/>
  <c r="AL41" i="183" s="1"/>
  <c r="AN74" i="183" l="1"/>
  <c r="AN85" i="183" s="1"/>
  <c r="AO74" i="183"/>
  <c r="AO85" i="183" s="1"/>
  <c r="AQ74" i="183"/>
  <c r="AQ85" i="183" s="1"/>
  <c r="AK74" i="183"/>
  <c r="AK85" i="183" s="1"/>
  <c r="AL74" i="183"/>
  <c r="AL85" i="183" s="1"/>
  <c r="AJ97" i="189"/>
  <c r="AJ19" i="183" l="1"/>
  <c r="AJ41" i="183" s="1"/>
  <c r="AL18" i="195"/>
  <c r="AQ18" i="195"/>
  <c r="AO18" i="195"/>
  <c r="AK18" i="195"/>
  <c r="AN18" i="195"/>
  <c r="AJ74" i="183" l="1"/>
  <c r="AJ85" i="183" s="1"/>
  <c r="AJ18" i="195" l="1"/>
  <c r="AJ101" i="189" l="1"/>
  <c r="AM101" i="189"/>
  <c r="AK101" i="189"/>
  <c r="AN263" i="189"/>
  <c r="AN264" i="189"/>
  <c r="AN259" i="189"/>
  <c r="AN260" i="189"/>
  <c r="AP263" i="189"/>
  <c r="AP264" i="189"/>
  <c r="AN261" i="189" l="1"/>
  <c r="AP265" i="189"/>
  <c r="AN265" i="189"/>
  <c r="AN101" i="189"/>
  <c r="AQ263" i="189"/>
  <c r="AQ264" i="189"/>
  <c r="AK23" i="183"/>
  <c r="AK45" i="183" s="1"/>
  <c r="AK78" i="183" s="1"/>
  <c r="AK89" i="183" s="1"/>
  <c r="AK22" i="195" s="1"/>
  <c r="AM23" i="183"/>
  <c r="AM45" i="183" s="1"/>
  <c r="AM78" i="183" s="1"/>
  <c r="AM89" i="183" s="1"/>
  <c r="AM22" i="195" s="1"/>
  <c r="AJ23" i="183"/>
  <c r="AJ45" i="183" s="1"/>
  <c r="AJ78" i="183" s="1"/>
  <c r="AJ89" i="183" s="1"/>
  <c r="AJ22" i="195" s="1"/>
  <c r="AK263" i="189"/>
  <c r="AK264" i="189"/>
  <c r="AJ263" i="189"/>
  <c r="AJ264" i="189"/>
  <c r="AM263" i="189"/>
  <c r="AM264" i="189"/>
  <c r="AL263" i="189"/>
  <c r="AL264" i="189"/>
  <c r="AN311" i="189" l="1"/>
  <c r="AN51" i="194" s="1"/>
  <c r="AM265" i="189"/>
  <c r="AK265" i="189"/>
  <c r="AL265" i="189"/>
  <c r="AJ265" i="189"/>
  <c r="AQ265" i="189"/>
  <c r="AP101" i="189"/>
  <c r="AQ95" i="189"/>
  <c r="AQ101" i="189"/>
  <c r="AM160" i="189"/>
  <c r="AQ259" i="189"/>
  <c r="AQ260" i="189"/>
  <c r="AP259" i="189"/>
  <c r="AP260" i="189"/>
  <c r="AO263" i="189"/>
  <c r="AO264" i="189"/>
  <c r="AL259" i="189"/>
  <c r="AL260" i="189"/>
  <c r="AN23" i="183"/>
  <c r="AN45" i="183" s="1"/>
  <c r="AN78" i="183" s="1"/>
  <c r="AN89" i="183" s="1"/>
  <c r="AN22" i="195" s="1"/>
  <c r="AJ259" i="189"/>
  <c r="AJ260" i="189"/>
  <c r="AK259" i="189"/>
  <c r="AK260" i="189"/>
  <c r="AM259" i="189"/>
  <c r="AM260" i="189"/>
  <c r="AM95" i="189"/>
  <c r="AM213" i="189" l="1"/>
  <c r="AN69" i="194"/>
  <c r="AO265" i="189"/>
  <c r="AP261" i="189"/>
  <c r="AP311" i="189" s="1"/>
  <c r="AQ261" i="189"/>
  <c r="AQ311" i="189" s="1"/>
  <c r="AM261" i="189"/>
  <c r="AM311" i="189" s="1"/>
  <c r="AK261" i="189"/>
  <c r="AK311" i="189" s="1"/>
  <c r="AJ261" i="189"/>
  <c r="AJ311" i="189" s="1"/>
  <c r="AL261" i="189"/>
  <c r="AL311" i="189" s="1"/>
  <c r="AM17" i="183"/>
  <c r="AJ95" i="189"/>
  <c r="AP23" i="183"/>
  <c r="AP45" i="183" s="1"/>
  <c r="AP78" i="183" s="1"/>
  <c r="AP89" i="183" s="1"/>
  <c r="AP22" i="195" s="1"/>
  <c r="AK95" i="189"/>
  <c r="AO259" i="189"/>
  <c r="AO260" i="189"/>
  <c r="AQ160" i="189"/>
  <c r="AL101" i="189"/>
  <c r="AN210" i="308"/>
  <c r="AN210" i="161"/>
  <c r="AN67" i="194"/>
  <c r="AN70" i="9" s="1"/>
  <c r="AQ23" i="183"/>
  <c r="AQ45" i="183" s="1"/>
  <c r="AQ78" i="183" s="1"/>
  <c r="AQ89" i="183" s="1"/>
  <c r="AQ22" i="195" s="1"/>
  <c r="AQ17" i="183"/>
  <c r="AK160" i="189"/>
  <c r="AK213" i="189" l="1"/>
  <c r="AQ213" i="189"/>
  <c r="AO261" i="189"/>
  <c r="AO311" i="189" s="1"/>
  <c r="AK51" i="194"/>
  <c r="AM51" i="194"/>
  <c r="AQ51" i="194"/>
  <c r="AP51" i="194"/>
  <c r="AL51" i="194"/>
  <c r="AL23" i="183"/>
  <c r="AL45" i="183" s="1"/>
  <c r="AL78" i="183" s="1"/>
  <c r="AL89" i="183" s="1"/>
  <c r="AL22" i="195" s="1"/>
  <c r="AK17" i="183"/>
  <c r="AJ17" i="183"/>
  <c r="AL95" i="189"/>
  <c r="AO101" i="189"/>
  <c r="AN24" i="308"/>
  <c r="AN24" i="161"/>
  <c r="AJ160" i="189"/>
  <c r="AJ213" i="189" s="1"/>
  <c r="AL160" i="189"/>
  <c r="AN95" i="189"/>
  <c r="AM28" i="183"/>
  <c r="AM39" i="183" s="1"/>
  <c r="AN160" i="189"/>
  <c r="AL213" i="189" l="1"/>
  <c r="AN213" i="189"/>
  <c r="AP69" i="194"/>
  <c r="AM69" i="194"/>
  <c r="AL69" i="194"/>
  <c r="AQ69" i="194"/>
  <c r="AK69" i="194"/>
  <c r="AO57" i="240"/>
  <c r="AJ59" i="240"/>
  <c r="AJ76" i="240" s="1"/>
  <c r="AJ51" i="194"/>
  <c r="AP210" i="308"/>
  <c r="AP67" i="194"/>
  <c r="AP70" i="9" s="1"/>
  <c r="AP210" i="161"/>
  <c r="AM210" i="161"/>
  <c r="AM67" i="194"/>
  <c r="AM70" i="9" s="1"/>
  <c r="AM210" i="308"/>
  <c r="AL210" i="161"/>
  <c r="AL67" i="194"/>
  <c r="AL70" i="9" s="1"/>
  <c r="AL210" i="308"/>
  <c r="AQ67" i="194"/>
  <c r="AQ70" i="9" s="1"/>
  <c r="AQ210" i="161"/>
  <c r="AQ210" i="308"/>
  <c r="AK67" i="194"/>
  <c r="AK70" i="9" s="1"/>
  <c r="AK210" i="161"/>
  <c r="AK210" i="308"/>
  <c r="AO51" i="194"/>
  <c r="AJ79" i="240"/>
  <c r="I73" i="204"/>
  <c r="I77" i="204"/>
  <c r="I77" i="189" s="1"/>
  <c r="I74" i="189"/>
  <c r="AK28" i="183"/>
  <c r="AK39" i="183" s="1"/>
  <c r="AO23" i="183"/>
  <c r="AO45" i="183" s="1"/>
  <c r="AO78" i="183" s="1"/>
  <c r="AO89" i="183" s="1"/>
  <c r="AO22" i="195" s="1"/>
  <c r="AQ28" i="183"/>
  <c r="AQ39" i="183" s="1"/>
  <c r="AP95" i="189"/>
  <c r="AM72" i="183"/>
  <c r="AM83" i="183" s="1"/>
  <c r="AM46" i="183"/>
  <c r="AM38" i="197" s="1"/>
  <c r="AM50" i="197" s="1"/>
  <c r="AN17" i="183"/>
  <c r="AL17" i="183"/>
  <c r="AO95" i="189"/>
  <c r="AP160" i="189"/>
  <c r="AO160" i="189"/>
  <c r="AO213" i="189" l="1"/>
  <c r="AP213" i="189"/>
  <c r="AK24" i="161"/>
  <c r="AQ24" i="308"/>
  <c r="AL24" i="308"/>
  <c r="AM24" i="308"/>
  <c r="AP24" i="161"/>
  <c r="AP24" i="308"/>
  <c r="AK24" i="308"/>
  <c r="AO69" i="194"/>
  <c r="AN59" i="240"/>
  <c r="AJ210" i="308"/>
  <c r="AJ69" i="194"/>
  <c r="AO59" i="240"/>
  <c r="AJ78" i="240"/>
  <c r="AJ80" i="240"/>
  <c r="AJ69" i="240"/>
  <c r="AJ72" i="240"/>
  <c r="AJ58" i="240"/>
  <c r="AJ75" i="240" s="1"/>
  <c r="AP58" i="240"/>
  <c r="AQ57" i="240"/>
  <c r="AQ59" i="240"/>
  <c r="AK58" i="240"/>
  <c r="AL57" i="240"/>
  <c r="AL59" i="240"/>
  <c r="AM58" i="240"/>
  <c r="AN57" i="240"/>
  <c r="AJ77" i="240"/>
  <c r="AO58" i="240"/>
  <c r="AJ68" i="240"/>
  <c r="AJ73" i="240"/>
  <c r="AJ57" i="240"/>
  <c r="AJ74" i="240" s="1"/>
  <c r="AK79" i="240"/>
  <c r="AP57" i="240"/>
  <c r="AP59" i="240"/>
  <c r="AQ58" i="240"/>
  <c r="AK57" i="240"/>
  <c r="AK59" i="240"/>
  <c r="AK76" i="240" s="1"/>
  <c r="AL58" i="240"/>
  <c r="AM57" i="240"/>
  <c r="AM59" i="240"/>
  <c r="AN58" i="240"/>
  <c r="AJ67" i="194"/>
  <c r="AJ210" i="161"/>
  <c r="AQ24" i="161"/>
  <c r="AL24" i="161"/>
  <c r="AM24" i="161"/>
  <c r="AO210" i="161"/>
  <c r="AO210" i="308"/>
  <c r="AO67" i="194"/>
  <c r="AO70" i="9" s="1"/>
  <c r="AO17" i="183"/>
  <c r="AM16" i="195"/>
  <c r="AM90" i="183"/>
  <c r="AP17" i="183"/>
  <c r="AQ72" i="183"/>
  <c r="AQ83" i="183" s="1"/>
  <c r="AQ46" i="183"/>
  <c r="AQ38" i="197" s="1"/>
  <c r="AQ50" i="197" s="1"/>
  <c r="AK72" i="183"/>
  <c r="AK83" i="183" s="1"/>
  <c r="AK46" i="183"/>
  <c r="AK38" i="197" s="1"/>
  <c r="AK50" i="197" s="1"/>
  <c r="AJ28" i="183"/>
  <c r="AJ39" i="183" s="1"/>
  <c r="AL28" i="183"/>
  <c r="AL39" i="183" s="1"/>
  <c r="AN28" i="183"/>
  <c r="AN39" i="183" s="1"/>
  <c r="I76" i="204"/>
  <c r="I76" i="189" s="1"/>
  <c r="I73" i="189"/>
  <c r="AO24" i="308" l="1"/>
  <c r="AK80" i="240"/>
  <c r="AK73" i="240"/>
  <c r="AK69" i="240"/>
  <c r="AK68" i="240"/>
  <c r="AL68" i="240" s="1"/>
  <c r="AJ70" i="240"/>
  <c r="AK70" i="240" s="1"/>
  <c r="AJ71" i="240"/>
  <c r="AJ67" i="240"/>
  <c r="AK77" i="240"/>
  <c r="I26" i="197"/>
  <c r="AJ70" i="9"/>
  <c r="AL76" i="240"/>
  <c r="AL79" i="240"/>
  <c r="AK72" i="240"/>
  <c r="AK75" i="240"/>
  <c r="AK74" i="240"/>
  <c r="AK78" i="240"/>
  <c r="AO24" i="161"/>
  <c r="AJ24" i="161"/>
  <c r="AJ24" i="308"/>
  <c r="I80" i="197"/>
  <c r="AM82" i="197" s="1"/>
  <c r="I27" i="197"/>
  <c r="I20" i="197"/>
  <c r="I24" i="197" s="1"/>
  <c r="AN72" i="183"/>
  <c r="AN83" i="183" s="1"/>
  <c r="AN46" i="183"/>
  <c r="AN38" i="197" s="1"/>
  <c r="AN50" i="197" s="1"/>
  <c r="AP28" i="183"/>
  <c r="AP39" i="183" s="1"/>
  <c r="AJ72" i="183"/>
  <c r="AJ83" i="183" s="1"/>
  <c r="AJ46" i="183"/>
  <c r="AJ38" i="197" s="1"/>
  <c r="AJ50" i="197" s="1"/>
  <c r="AM23" i="195"/>
  <c r="AO28" i="183"/>
  <c r="AO39" i="183" s="1"/>
  <c r="AL72" i="183"/>
  <c r="AL83" i="183" s="1"/>
  <c r="AL46" i="183"/>
  <c r="AL38" i="197" s="1"/>
  <c r="AL50" i="197" s="1"/>
  <c r="AK16" i="195"/>
  <c r="AK90" i="183"/>
  <c r="AQ16" i="195"/>
  <c r="AQ90" i="183"/>
  <c r="AM136" i="202"/>
  <c r="AM137" i="202" s="1"/>
  <c r="AM37" i="197"/>
  <c r="AM39" i="197" s="1"/>
  <c r="AM43" i="197" s="1"/>
  <c r="AM51" i="197" s="1"/>
  <c r="AM52" i="197" s="1"/>
  <c r="AM25" i="161"/>
  <c r="AM25" i="308"/>
  <c r="AM76" i="240" l="1"/>
  <c r="AL80" i="240"/>
  <c r="AM79" i="240"/>
  <c r="AL72" i="240"/>
  <c r="AL69" i="240"/>
  <c r="AL73" i="240"/>
  <c r="AL78" i="240"/>
  <c r="AL74" i="240"/>
  <c r="AM68" i="240"/>
  <c r="AL77" i="240"/>
  <c r="AK71" i="240"/>
  <c r="AK67" i="240"/>
  <c r="AL75" i="240"/>
  <c r="AL70" i="240"/>
  <c r="I28" i="197"/>
  <c r="I77" i="197" s="1"/>
  <c r="AO82" i="197"/>
  <c r="AK82" i="197"/>
  <c r="AL82" i="197"/>
  <c r="AQ82" i="197"/>
  <c r="AP82" i="197"/>
  <c r="AN82" i="197"/>
  <c r="AJ82" i="197"/>
  <c r="AL16" i="195"/>
  <c r="AL90" i="183"/>
  <c r="AJ16" i="195"/>
  <c r="AJ90" i="183"/>
  <c r="AN16" i="195"/>
  <c r="AN90" i="183"/>
  <c r="I26" i="23"/>
  <c r="AM63" i="197"/>
  <c r="AQ136" i="202"/>
  <c r="AQ137" i="202" s="1"/>
  <c r="AQ148" i="202" s="1"/>
  <c r="AQ37" i="197"/>
  <c r="AQ39" i="197" s="1"/>
  <c r="AQ43" i="197" s="1"/>
  <c r="AQ51" i="197" s="1"/>
  <c r="AQ52" i="197" s="1"/>
  <c r="AQ25" i="308"/>
  <c r="AQ25" i="161"/>
  <c r="AK25" i="308"/>
  <c r="AK136" i="202"/>
  <c r="AK137" i="202" s="1"/>
  <c r="AK37" i="197"/>
  <c r="AK39" i="197" s="1"/>
  <c r="AK43" i="197" s="1"/>
  <c r="AK51" i="197" s="1"/>
  <c r="AK52" i="197" s="1"/>
  <c r="AK25" i="161"/>
  <c r="AM144" i="202"/>
  <c r="AN144" i="202"/>
  <c r="AQ144" i="202"/>
  <c r="AO144" i="202"/>
  <c r="AP144" i="202"/>
  <c r="AQ23" i="195"/>
  <c r="AK23" i="195"/>
  <c r="AO72" i="183"/>
  <c r="AO83" i="183" s="1"/>
  <c r="AO46" i="183"/>
  <c r="AO38" i="197" s="1"/>
  <c r="AO50" i="197" s="1"/>
  <c r="AP72" i="183"/>
  <c r="AP83" i="183" s="1"/>
  <c r="AP46" i="183"/>
  <c r="AP38" i="197" s="1"/>
  <c r="AP50" i="197" s="1"/>
  <c r="AN76" i="240" l="1"/>
  <c r="AO76" i="240" s="1"/>
  <c r="AN79" i="240"/>
  <c r="AM80" i="240"/>
  <c r="AL71" i="240"/>
  <c r="AM77" i="240"/>
  <c r="AN68" i="240"/>
  <c r="AM74" i="240"/>
  <c r="AM78" i="240"/>
  <c r="AM73" i="240"/>
  <c r="AM69" i="240"/>
  <c r="AM72" i="240"/>
  <c r="AL67" i="240"/>
  <c r="AM75" i="240"/>
  <c r="AM70" i="240"/>
  <c r="AP84" i="197"/>
  <c r="AN84" i="197"/>
  <c r="AL84" i="197"/>
  <c r="AJ84" i="197"/>
  <c r="AQ84" i="197"/>
  <c r="AO84" i="197"/>
  <c r="AM84" i="197"/>
  <c r="AK84" i="197"/>
  <c r="G26" i="23"/>
  <c r="AK63" i="197"/>
  <c r="AN23" i="195"/>
  <c r="AJ23" i="195"/>
  <c r="AL23" i="195"/>
  <c r="AO16" i="195"/>
  <c r="AO90" i="183"/>
  <c r="AP16" i="195"/>
  <c r="AP90" i="183"/>
  <c r="AK142" i="202"/>
  <c r="AL142" i="202"/>
  <c r="AO142" i="202"/>
  <c r="AN142" i="202"/>
  <c r="AM142" i="202"/>
  <c r="AP142" i="202"/>
  <c r="AQ142" i="202"/>
  <c r="M26" i="23"/>
  <c r="AQ63" i="197"/>
  <c r="AM66" i="197"/>
  <c r="AM72" i="197" s="1"/>
  <c r="AN136" i="202"/>
  <c r="AN137" i="202" s="1"/>
  <c r="AN25" i="308"/>
  <c r="AN25" i="161"/>
  <c r="AN37" i="197"/>
  <c r="AN39" i="197" s="1"/>
  <c r="AN43" i="197" s="1"/>
  <c r="AN51" i="197" s="1"/>
  <c r="AN52" i="197" s="1"/>
  <c r="AJ136" i="202"/>
  <c r="AJ137" i="202" s="1"/>
  <c r="AJ25" i="308"/>
  <c r="AJ94" i="183"/>
  <c r="AJ37" i="197"/>
  <c r="AJ39" i="197" s="1"/>
  <c r="AJ43" i="197" s="1"/>
  <c r="AJ51" i="197" s="1"/>
  <c r="AJ52" i="197" s="1"/>
  <c r="AJ25" i="161"/>
  <c r="AL136" i="202"/>
  <c r="AL137" i="202" s="1"/>
  <c r="AL37" i="197"/>
  <c r="AL39" i="197" s="1"/>
  <c r="AL43" i="197" s="1"/>
  <c r="AL51" i="197" s="1"/>
  <c r="AL52" i="197" s="1"/>
  <c r="AL25" i="161"/>
  <c r="AL25" i="308"/>
  <c r="AO79" i="240" l="1"/>
  <c r="AN80" i="240"/>
  <c r="AN72" i="240"/>
  <c r="AN69" i="240"/>
  <c r="AN73" i="240"/>
  <c r="AN78" i="240"/>
  <c r="AN74" i="240"/>
  <c r="AO68" i="240"/>
  <c r="AN77" i="240"/>
  <c r="AM71" i="240"/>
  <c r="AM67" i="240"/>
  <c r="AN75" i="240"/>
  <c r="AP76" i="240"/>
  <c r="AN70" i="240"/>
  <c r="AM65" i="197"/>
  <c r="AM70" i="197" s="1"/>
  <c r="H26" i="23"/>
  <c r="AL63" i="197"/>
  <c r="F26" i="23"/>
  <c r="AJ63" i="197"/>
  <c r="AL141" i="202"/>
  <c r="AP141" i="202"/>
  <c r="AQ141" i="202"/>
  <c r="AJ141" i="202"/>
  <c r="AJ149" i="202" s="1"/>
  <c r="AO141" i="202"/>
  <c r="AK141" i="202"/>
  <c r="AK149" i="202" s="1"/>
  <c r="AM141" i="202"/>
  <c r="AN141" i="202"/>
  <c r="AP145" i="202"/>
  <c r="AN145" i="202"/>
  <c r="AQ145" i="202"/>
  <c r="AO145" i="202"/>
  <c r="AM117" i="202"/>
  <c r="AM15" i="283"/>
  <c r="AM18" i="283" s="1"/>
  <c r="I24" i="23"/>
  <c r="AP23" i="195"/>
  <c r="AP164" i="161"/>
  <c r="AP18" i="9"/>
  <c r="AP164" i="308"/>
  <c r="AQ164" i="161"/>
  <c r="AQ18" i="9"/>
  <c r="AQ164" i="308"/>
  <c r="AL164" i="161"/>
  <c r="AL18" i="9"/>
  <c r="AL164" i="308"/>
  <c r="AN164" i="161"/>
  <c r="AN18" i="9"/>
  <c r="AN164" i="308"/>
  <c r="AO23" i="195"/>
  <c r="AL143" i="202"/>
  <c r="AQ143" i="202"/>
  <c r="AN143" i="202"/>
  <c r="AP143" i="202"/>
  <c r="AM143" i="202"/>
  <c r="AO143" i="202"/>
  <c r="J26" i="23"/>
  <c r="AN63" i="197"/>
  <c r="AQ66" i="197"/>
  <c r="AQ72" i="197" s="1"/>
  <c r="AP136" i="202"/>
  <c r="AP137" i="202" s="1"/>
  <c r="AP25" i="308"/>
  <c r="AP37" i="197"/>
  <c r="AP39" i="197" s="1"/>
  <c r="AP43" i="197" s="1"/>
  <c r="AP51" i="197" s="1"/>
  <c r="AP52" i="197" s="1"/>
  <c r="AP25" i="161"/>
  <c r="AM164" i="161"/>
  <c r="AM164" i="308"/>
  <c r="AM18" i="9"/>
  <c r="AO164" i="161"/>
  <c r="AO164" i="308"/>
  <c r="AO18" i="9"/>
  <c r="AK164" i="161"/>
  <c r="AK164" i="308"/>
  <c r="AK18" i="9"/>
  <c r="AJ164" i="161"/>
  <c r="AJ164" i="308"/>
  <c r="AJ18" i="9"/>
  <c r="AO136" i="202"/>
  <c r="AO137" i="202" s="1"/>
  <c r="AO25" i="308"/>
  <c r="AO25" i="161"/>
  <c r="AO37" i="197"/>
  <c r="AO39" i="197" s="1"/>
  <c r="AO43" i="197" s="1"/>
  <c r="AO51" i="197" s="1"/>
  <c r="AO52" i="197" s="1"/>
  <c r="AK66" i="197"/>
  <c r="AK72" i="197" s="1"/>
  <c r="AM49" i="203" l="1"/>
  <c r="AM71" i="202"/>
  <c r="AO80" i="240"/>
  <c r="AP79" i="240"/>
  <c r="AN71" i="240"/>
  <c r="AO77" i="240"/>
  <c r="AP68" i="240"/>
  <c r="AO74" i="240"/>
  <c r="AO78" i="240"/>
  <c r="AO73" i="240"/>
  <c r="AO69" i="240"/>
  <c r="AO72" i="240"/>
  <c r="AN67" i="240"/>
  <c r="AQ76" i="240"/>
  <c r="AO75" i="240"/>
  <c r="AO70" i="240"/>
  <c r="I25" i="23"/>
  <c r="AM13" i="9"/>
  <c r="I44" i="23" s="1"/>
  <c r="I35" i="23" s="1"/>
  <c r="AQ65" i="197"/>
  <c r="AQ70" i="197" s="1"/>
  <c r="F49" i="23"/>
  <c r="G49" i="23"/>
  <c r="K49" i="23"/>
  <c r="AN66" i="197"/>
  <c r="AN72" i="197" s="1"/>
  <c r="J49" i="23"/>
  <c r="H49" i="23"/>
  <c r="AJ66" i="197"/>
  <c r="AJ72" i="197" s="1"/>
  <c r="AK65" i="197"/>
  <c r="AK70" i="197" s="1"/>
  <c r="AN149" i="202"/>
  <c r="AK117" i="202"/>
  <c r="G24" i="23"/>
  <c r="AK15" i="283"/>
  <c r="AK18" i="283" s="1"/>
  <c r="K26" i="23"/>
  <c r="AO63" i="197"/>
  <c r="AO146" i="202"/>
  <c r="AO149" i="202" s="1"/>
  <c r="AQ146" i="202"/>
  <c r="AP146" i="202"/>
  <c r="I49" i="23"/>
  <c r="L26" i="23"/>
  <c r="AP63" i="197"/>
  <c r="AQ147" i="202"/>
  <c r="AP147" i="202"/>
  <c r="AQ117" i="202"/>
  <c r="M24" i="23"/>
  <c r="AQ15" i="283"/>
  <c r="AQ18" i="283" s="1"/>
  <c r="M49" i="23"/>
  <c r="L49" i="23"/>
  <c r="I116" i="283"/>
  <c r="AM59" i="15"/>
  <c r="AM45" i="15" s="1"/>
  <c r="AL66" i="197"/>
  <c r="AL72" i="197" s="1"/>
  <c r="AM149" i="202"/>
  <c r="AL149" i="202"/>
  <c r="AQ49" i="203" l="1"/>
  <c r="AK49" i="203"/>
  <c r="AQ79" i="240"/>
  <c r="AP80" i="240"/>
  <c r="AP72" i="240"/>
  <c r="AP69" i="240"/>
  <c r="AP73" i="240"/>
  <c r="AP78" i="240"/>
  <c r="AP74" i="240"/>
  <c r="AQ68" i="240"/>
  <c r="AP77" i="240"/>
  <c r="AO71" i="240"/>
  <c r="AO67" i="240"/>
  <c r="AP75" i="240"/>
  <c r="AP70" i="240"/>
  <c r="M40" i="23"/>
  <c r="L40" i="23"/>
  <c r="I40" i="23"/>
  <c r="H40" i="23"/>
  <c r="J40" i="23"/>
  <c r="K40" i="23"/>
  <c r="G40" i="23"/>
  <c r="AQ71" i="202"/>
  <c r="N26" i="23"/>
  <c r="AM76" i="9"/>
  <c r="M25" i="23"/>
  <c r="AQ13" i="9"/>
  <c r="AQ76" i="9" s="1"/>
  <c r="AQ149" i="202"/>
  <c r="O26" i="23"/>
  <c r="AL65" i="197"/>
  <c r="AL70" i="197" s="1"/>
  <c r="AJ65" i="197"/>
  <c r="AJ70" i="197" s="1"/>
  <c r="AP149" i="202"/>
  <c r="I205" i="283"/>
  <c r="I253" i="283" s="1"/>
  <c r="I71" i="283"/>
  <c r="AN116" i="283"/>
  <c r="AO116" i="283" s="1"/>
  <c r="AP116" i="283" s="1"/>
  <c r="AQ116" i="283" s="1"/>
  <c r="AR116" i="283" s="1"/>
  <c r="AQ59" i="15"/>
  <c r="AQ45" i="15" s="1"/>
  <c r="I120" i="283"/>
  <c r="AP66" i="197"/>
  <c r="AP72" i="197" s="1"/>
  <c r="AJ71" i="202"/>
  <c r="AN117" i="202"/>
  <c r="AN15" i="283"/>
  <c r="AN18" i="283" s="1"/>
  <c r="J24" i="23"/>
  <c r="AL117" i="202"/>
  <c r="AL15" i="283"/>
  <c r="AL18" i="283" s="1"/>
  <c r="H24" i="23"/>
  <c r="AM31" i="202"/>
  <c r="I31" i="23"/>
  <c r="AO66" i="197"/>
  <c r="AO72" i="197" s="1"/>
  <c r="I114" i="283"/>
  <c r="AK59" i="15"/>
  <c r="AK45" i="15" s="1"/>
  <c r="AK71" i="202"/>
  <c r="G25" i="23"/>
  <c r="AK13" i="9"/>
  <c r="AJ117" i="202"/>
  <c r="F24" i="23"/>
  <c r="AJ15" i="283"/>
  <c r="AJ18" i="283" s="1"/>
  <c r="F40" i="23"/>
  <c r="O49" i="23"/>
  <c r="N49" i="23"/>
  <c r="AN65" i="197"/>
  <c r="AN70" i="197" s="1"/>
  <c r="AJ49" i="203" l="1"/>
  <c r="AL49" i="203"/>
  <c r="AN49" i="203"/>
  <c r="AL71" i="202"/>
  <c r="AQ80" i="240"/>
  <c r="AP71" i="240"/>
  <c r="AQ77" i="240"/>
  <c r="AQ74" i="240"/>
  <c r="AQ78" i="240"/>
  <c r="AQ73" i="240"/>
  <c r="AQ69" i="240"/>
  <c r="AQ72" i="240"/>
  <c r="AP67" i="240"/>
  <c r="AQ75" i="240"/>
  <c r="AQ70" i="240"/>
  <c r="M44" i="23"/>
  <c r="M35" i="23" s="1"/>
  <c r="AL13" i="9"/>
  <c r="H44" i="23" s="1"/>
  <c r="H35" i="23" s="1"/>
  <c r="AJ13" i="9"/>
  <c r="H25" i="23"/>
  <c r="F25" i="23"/>
  <c r="AP65" i="197"/>
  <c r="AP70" i="197" s="1"/>
  <c r="O40" i="23"/>
  <c r="N40" i="23"/>
  <c r="G44" i="23"/>
  <c r="G35" i="23" s="1"/>
  <c r="AK76" i="9"/>
  <c r="AL114" i="283"/>
  <c r="AM114" i="283" s="1"/>
  <c r="AN114" i="283" s="1"/>
  <c r="AO114" i="283" s="1"/>
  <c r="AP114" i="283" s="1"/>
  <c r="I203" i="283"/>
  <c r="I251" i="283" s="1"/>
  <c r="I69" i="283"/>
  <c r="AO117" i="202"/>
  <c r="K24" i="23"/>
  <c r="AO15" i="283"/>
  <c r="AO18" i="283" s="1"/>
  <c r="AN59" i="15"/>
  <c r="AN45" i="15" s="1"/>
  <c r="I117" i="283"/>
  <c r="I75" i="283"/>
  <c r="I209" i="283"/>
  <c r="I257" i="283" s="1"/>
  <c r="K257" i="283" s="1"/>
  <c r="AN71" i="202"/>
  <c r="J25" i="23"/>
  <c r="AN13" i="9"/>
  <c r="AJ59" i="15"/>
  <c r="I113" i="283"/>
  <c r="AK31" i="202"/>
  <c r="G31" i="23"/>
  <c r="I115" i="283"/>
  <c r="AL59" i="15"/>
  <c r="AL45" i="15" s="1"/>
  <c r="AP117" i="202"/>
  <c r="AP15" i="283"/>
  <c r="AP18" i="283" s="1"/>
  <c r="L24" i="23"/>
  <c r="AQ31" i="202"/>
  <c r="M31" i="23"/>
  <c r="AN71" i="283"/>
  <c r="AO71" i="283" s="1"/>
  <c r="AP71" i="283" s="1"/>
  <c r="AQ71" i="283" s="1"/>
  <c r="AO65" i="197"/>
  <c r="AO70" i="197" s="1"/>
  <c r="AP49" i="203" l="1"/>
  <c r="AO49" i="203"/>
  <c r="AQ71" i="240"/>
  <c r="AQ67" i="240"/>
  <c r="AL76" i="9"/>
  <c r="L25" i="23"/>
  <c r="AP13" i="9"/>
  <c r="AP76" i="9" s="1"/>
  <c r="AJ76" i="9"/>
  <c r="F44" i="23"/>
  <c r="F35" i="23" s="1"/>
  <c r="AP71" i="202"/>
  <c r="O24" i="23"/>
  <c r="I167" i="283"/>
  <c r="AR71" i="283"/>
  <c r="AQ114" i="283"/>
  <c r="AR114" i="283" s="1"/>
  <c r="AO71" i="202"/>
  <c r="AO13" i="9"/>
  <c r="K25" i="23"/>
  <c r="AL31" i="202"/>
  <c r="H31" i="23"/>
  <c r="AK113" i="283"/>
  <c r="AL113" i="283" s="1"/>
  <c r="AM113" i="283" s="1"/>
  <c r="AN113" i="283" s="1"/>
  <c r="AO113" i="283" s="1"/>
  <c r="I202" i="283"/>
  <c r="I250" i="283" s="1"/>
  <c r="I68" i="283"/>
  <c r="J44" i="23"/>
  <c r="J35" i="23" s="1"/>
  <c r="AN76" i="9"/>
  <c r="AN31" i="202"/>
  <c r="J31" i="23"/>
  <c r="AL69" i="283"/>
  <c r="AM69" i="283" s="1"/>
  <c r="N24" i="23"/>
  <c r="AP59" i="15"/>
  <c r="AP45" i="15" s="1"/>
  <c r="I119" i="283"/>
  <c r="AM115" i="283"/>
  <c r="AN115" i="283" s="1"/>
  <c r="AO115" i="283" s="1"/>
  <c r="I204" i="283"/>
  <c r="I252" i="283" s="1"/>
  <c r="I70" i="283"/>
  <c r="AJ45" i="15"/>
  <c r="I72" i="283"/>
  <c r="AO72" i="283" s="1"/>
  <c r="I206" i="283"/>
  <c r="I254" i="283" s="1"/>
  <c r="AO117" i="283"/>
  <c r="AP117" i="283" s="1"/>
  <c r="AO59" i="15"/>
  <c r="AO45" i="15" s="1"/>
  <c r="I118" i="283"/>
  <c r="AP113" i="283" l="1"/>
  <c r="AQ113" i="283" s="1"/>
  <c r="AR113" i="283" s="1"/>
  <c r="L44" i="23"/>
  <c r="L35" i="23" s="1"/>
  <c r="N25" i="23"/>
  <c r="AQ117" i="283"/>
  <c r="AR117" i="283" s="1"/>
  <c r="O25" i="23"/>
  <c r="AN69" i="283"/>
  <c r="AO69" i="283" s="1"/>
  <c r="AP118" i="283"/>
  <c r="AQ118" i="283" s="1"/>
  <c r="AR118" i="283" s="1"/>
  <c r="I73" i="283"/>
  <c r="I207" i="283"/>
  <c r="I255" i="283" s="1"/>
  <c r="AM70" i="283"/>
  <c r="AN70" i="283" s="1"/>
  <c r="AO70" i="283" s="1"/>
  <c r="AQ119" i="283"/>
  <c r="AR119" i="283" s="1"/>
  <c r="I208" i="283"/>
  <c r="I256" i="283" s="1"/>
  <c r="I74" i="283"/>
  <c r="AK68" i="283"/>
  <c r="AO76" i="9"/>
  <c r="K44" i="23"/>
  <c r="AR167" i="283"/>
  <c r="AR205" i="283" s="1"/>
  <c r="AP167" i="283"/>
  <c r="AP205" i="283" s="1"/>
  <c r="AN167" i="283"/>
  <c r="AN205" i="283" s="1"/>
  <c r="AQ167" i="283"/>
  <c r="AQ205" i="283" s="1"/>
  <c r="AO167" i="283"/>
  <c r="AO205" i="283" s="1"/>
  <c r="AO31" i="202"/>
  <c r="K31" i="23"/>
  <c r="AP72" i="283"/>
  <c r="AQ72" i="283" s="1"/>
  <c r="AR72" i="283" s="1"/>
  <c r="AJ31" i="202"/>
  <c r="F31" i="23"/>
  <c r="AP31" i="202"/>
  <c r="L31" i="23"/>
  <c r="AP115" i="283"/>
  <c r="AQ115" i="283" s="1"/>
  <c r="AR115" i="283" s="1"/>
  <c r="O44" i="23" l="1"/>
  <c r="AP69" i="283"/>
  <c r="AQ69" i="283" s="1"/>
  <c r="I165" i="283" s="1"/>
  <c r="AR165" i="283" s="1"/>
  <c r="I168" i="283"/>
  <c r="AQ168" i="283" s="1"/>
  <c r="AQ206" i="283" s="1"/>
  <c r="AP70" i="283"/>
  <c r="AQ70" i="283" s="1"/>
  <c r="I166" i="283" s="1"/>
  <c r="N31" i="23"/>
  <c r="O31" i="23"/>
  <c r="K35" i="23"/>
  <c r="N44" i="23"/>
  <c r="AQ74" i="283"/>
  <c r="I170" i="283" s="1"/>
  <c r="AP73" i="283"/>
  <c r="AL68" i="283"/>
  <c r="AM68" i="283" s="1"/>
  <c r="AN68" i="283" s="1"/>
  <c r="AO68" i="283" s="1"/>
  <c r="G253" i="283"/>
  <c r="K253" i="283" s="1"/>
  <c r="AP165" i="283" l="1"/>
  <c r="AP203" i="283" s="1"/>
  <c r="AL165" i="283"/>
  <c r="AL203" i="283" s="1"/>
  <c r="AN165" i="283"/>
  <c r="AN203" i="283" s="1"/>
  <c r="AO165" i="283"/>
  <c r="AO203" i="283" s="1"/>
  <c r="AQ165" i="283"/>
  <c r="AQ203" i="283" s="1"/>
  <c r="AM165" i="283"/>
  <c r="AM203" i="283" s="1"/>
  <c r="AR69" i="283"/>
  <c r="AR203" i="283" s="1"/>
  <c r="AO168" i="283"/>
  <c r="AO206" i="283" s="1"/>
  <c r="AP168" i="283"/>
  <c r="AP206" i="283" s="1"/>
  <c r="AR168" i="283"/>
  <c r="AR206" i="283" s="1"/>
  <c r="AR74" i="283"/>
  <c r="AR70" i="283"/>
  <c r="AP166" i="283"/>
  <c r="AP204" i="283" s="1"/>
  <c r="AQ166" i="283"/>
  <c r="AQ204" i="283" s="1"/>
  <c r="AN166" i="283"/>
  <c r="AN204" i="283" s="1"/>
  <c r="AO166" i="283"/>
  <c r="AO204" i="283" s="1"/>
  <c r="AM166" i="283"/>
  <c r="AM204" i="283" s="1"/>
  <c r="AR166" i="283"/>
  <c r="AQ170" i="283"/>
  <c r="AQ208" i="283" s="1"/>
  <c r="G256" i="283" s="1"/>
  <c r="K256" i="283" s="1"/>
  <c r="AR170" i="283"/>
  <c r="O35" i="23"/>
  <c r="N35" i="23"/>
  <c r="AP68" i="283"/>
  <c r="AQ73" i="283"/>
  <c r="AR73" i="283" s="1"/>
  <c r="AR208" i="283" l="1"/>
  <c r="AR204" i="283"/>
  <c r="G251" i="283"/>
  <c r="K251" i="283" s="1"/>
  <c r="G254" i="283"/>
  <c r="K254" i="283" s="1"/>
  <c r="G252" i="283"/>
  <c r="K252" i="283" s="1"/>
  <c r="AQ68" i="283"/>
  <c r="AR68" i="283" s="1"/>
  <c r="I169" i="283"/>
  <c r="I164" i="283" l="1"/>
  <c r="AM164" i="283" s="1"/>
  <c r="AM202" i="283" s="1"/>
  <c r="AP169" i="283"/>
  <c r="AP207" i="283" s="1"/>
  <c r="AR169" i="283"/>
  <c r="AR207" i="283" s="1"/>
  <c r="AQ169" i="283"/>
  <c r="AQ207" i="283" s="1"/>
  <c r="AQ164" i="283" l="1"/>
  <c r="AQ202" i="283" s="1"/>
  <c r="AN164" i="283"/>
  <c r="AN202" i="283" s="1"/>
  <c r="AP164" i="283"/>
  <c r="AP202" i="283" s="1"/>
  <c r="AO164" i="283"/>
  <c r="AO202" i="283" s="1"/>
  <c r="AL164" i="283"/>
  <c r="AL202" i="283" s="1"/>
  <c r="AR164" i="283"/>
  <c r="AR202" i="283" s="1"/>
  <c r="AK164" i="283"/>
  <c r="AK202" i="283" s="1"/>
  <c r="G255" i="283"/>
  <c r="K255" i="283" s="1"/>
  <c r="G250" i="283" l="1"/>
  <c r="K250" i="283" s="1"/>
  <c r="AP233" i="189" l="1"/>
  <c r="AO233" i="189"/>
  <c r="AQ233" i="189"/>
  <c r="AK233" i="189" l="1"/>
  <c r="AL233" i="189"/>
  <c r="AN233" i="189"/>
  <c r="AM233" i="189"/>
  <c r="AJ233" i="189"/>
  <c r="AQ235" i="217" l="1"/>
  <c r="AQ235" i="277"/>
  <c r="AQ235" i="278"/>
  <c r="AQ235" i="189" l="1"/>
  <c r="AQ14" i="9" l="1"/>
  <c r="AQ73" i="202"/>
  <c r="AQ104" i="202" s="1"/>
  <c r="AQ26" i="308"/>
  <c r="AQ65" i="195"/>
  <c r="AQ26" i="161"/>
  <c r="M45" i="23" l="1"/>
  <c r="M36" i="23" s="1"/>
  <c r="AO235" i="217" l="1"/>
  <c r="AP235" i="217"/>
  <c r="AM235" i="217"/>
  <c r="AK235" i="277"/>
  <c r="AK235" i="278"/>
  <c r="AN235" i="278"/>
  <c r="AN235" i="277"/>
  <c r="AL235" i="217"/>
  <c r="AJ235" i="217"/>
  <c r="AO235" i="277"/>
  <c r="AO235" i="278"/>
  <c r="AP235" i="278"/>
  <c r="AP235" i="277"/>
  <c r="AM235" i="277"/>
  <c r="AM235" i="278"/>
  <c r="AK235" i="217"/>
  <c r="AN235" i="217"/>
  <c r="AL235" i="278"/>
  <c r="AL235" i="277"/>
  <c r="AJ235" i="277"/>
  <c r="AJ235" i="278"/>
  <c r="AJ235" i="189" l="1"/>
  <c r="AL235" i="189"/>
  <c r="AM235" i="189"/>
  <c r="AP235" i="189"/>
  <c r="AO235" i="189"/>
  <c r="AN235" i="189"/>
  <c r="AK235" i="189"/>
  <c r="AK26" i="308" l="1"/>
  <c r="AK65" i="195"/>
  <c r="AK26" i="161"/>
  <c r="AK14" i="9"/>
  <c r="AK73" i="202"/>
  <c r="AK104" i="202" s="1"/>
  <c r="AN73" i="202"/>
  <c r="AN104" i="202" s="1"/>
  <c r="AN26" i="308"/>
  <c r="AN65" i="195"/>
  <c r="AN26" i="161"/>
  <c r="AN14" i="9"/>
  <c r="AO73" i="202"/>
  <c r="AO104" i="202" s="1"/>
  <c r="AO26" i="308"/>
  <c r="AO65" i="195"/>
  <c r="AO26" i="161"/>
  <c r="AO14" i="9"/>
  <c r="AP26" i="161"/>
  <c r="AP14" i="9"/>
  <c r="AP73" i="202"/>
  <c r="AP104" i="202" s="1"/>
  <c r="AP26" i="308"/>
  <c r="AP65" i="195"/>
  <c r="AM14" i="9"/>
  <c r="AM73" i="202"/>
  <c r="AM104" i="202" s="1"/>
  <c r="AM26" i="308"/>
  <c r="AM65" i="195"/>
  <c r="AM26" i="161"/>
  <c r="AL14" i="9"/>
  <c r="AL73" i="202"/>
  <c r="AL104" i="202" s="1"/>
  <c r="AL26" i="308"/>
  <c r="AL65" i="195"/>
  <c r="AL26" i="161"/>
  <c r="AJ26" i="161"/>
  <c r="AJ14" i="9"/>
  <c r="AJ73" i="202"/>
  <c r="AJ104" i="202" s="1"/>
  <c r="AJ26" i="308"/>
  <c r="AJ65" i="195"/>
  <c r="I45" i="23" l="1"/>
  <c r="K45" i="23"/>
  <c r="F45" i="23"/>
  <c r="H45" i="23"/>
  <c r="L45" i="23"/>
  <c r="J45" i="23"/>
  <c r="G45" i="23"/>
  <c r="K36" i="23" l="1"/>
  <c r="J36" i="23"/>
  <c r="H36" i="23"/>
  <c r="G36" i="23"/>
  <c r="L36" i="23"/>
  <c r="I36" i="23"/>
  <c r="F36" i="23"/>
  <c r="O45" i="23"/>
  <c r="N45" i="23"/>
  <c r="N36" i="23" l="1"/>
  <c r="O36" i="23"/>
  <c r="AQ400" i="189" l="1"/>
  <c r="AQ58" i="195" s="1"/>
  <c r="AQ61" i="195" s="1"/>
  <c r="AQ117" i="195" s="1"/>
  <c r="AO400" i="189"/>
  <c r="AO58" i="195" s="1"/>
  <c r="AO61" i="195" s="1"/>
  <c r="AO117" i="195" s="1"/>
  <c r="AM400" i="189"/>
  <c r="AM58" i="195" s="1"/>
  <c r="AM61" i="195" s="1"/>
  <c r="AM117" i="195" s="1"/>
  <c r="AK400" i="189"/>
  <c r="AK58" i="195" s="1"/>
  <c r="AK61" i="195" s="1"/>
  <c r="AK117" i="195" s="1"/>
  <c r="AJ400" i="189"/>
  <c r="AJ58" i="195" s="1"/>
  <c r="AJ61" i="195" s="1"/>
  <c r="AJ117" i="195" s="1"/>
  <c r="AP400" i="189"/>
  <c r="AP58" i="195" s="1"/>
  <c r="AP61" i="195" s="1"/>
  <c r="AP117" i="195" s="1"/>
  <c r="AN400" i="189"/>
  <c r="AN58" i="195" s="1"/>
  <c r="AN61" i="195" s="1"/>
  <c r="AN117" i="195" s="1"/>
  <c r="AL400" i="189"/>
  <c r="AL58" i="195" s="1"/>
  <c r="AL61" i="195" s="1"/>
  <c r="AL117" i="195" s="1"/>
  <c r="AQ410" i="189" l="1"/>
  <c r="AQ72" i="195" s="1"/>
  <c r="AQ75" i="195" s="1"/>
  <c r="AO410" i="189"/>
  <c r="AO72" i="195" s="1"/>
  <c r="AO75" i="195" s="1"/>
  <c r="AM410" i="189"/>
  <c r="AM72" i="195" s="1"/>
  <c r="AM75" i="195" s="1"/>
  <c r="AK410" i="189"/>
  <c r="AK72" i="195" s="1"/>
  <c r="AK75" i="195" s="1"/>
  <c r="AJ410" i="189"/>
  <c r="AJ72" i="195" s="1"/>
  <c r="AJ75" i="195" s="1"/>
  <c r="AP410" i="189"/>
  <c r="AP72" i="195" s="1"/>
  <c r="AP75" i="195" s="1"/>
  <c r="AN410" i="189"/>
  <c r="AN72" i="195" s="1"/>
  <c r="AN75" i="195" s="1"/>
  <c r="AL410" i="189"/>
  <c r="AL72" i="195" s="1"/>
  <c r="AL75" i="195" s="1"/>
  <c r="AQ420" i="189"/>
  <c r="AQ84" i="195" s="1"/>
  <c r="AQ87" i="195" s="1"/>
  <c r="AO420" i="189"/>
  <c r="AO84" i="195" s="1"/>
  <c r="AO87" i="195" s="1"/>
  <c r="AM420" i="189"/>
  <c r="AM84" i="195" s="1"/>
  <c r="AM87" i="195" s="1"/>
  <c r="AK420" i="189"/>
  <c r="AK84" i="195" s="1"/>
  <c r="AK87" i="195" s="1"/>
  <c r="AJ420" i="189"/>
  <c r="AJ84" i="195" s="1"/>
  <c r="AJ87" i="195" s="1"/>
  <c r="AP420" i="189"/>
  <c r="AP84" i="195" s="1"/>
  <c r="AP87" i="195" s="1"/>
  <c r="AN420" i="189"/>
  <c r="AN84" i="195" s="1"/>
  <c r="AN87" i="195" s="1"/>
  <c r="AL420" i="189"/>
  <c r="AL84" i="195" s="1"/>
  <c r="AL87" i="195" s="1"/>
  <c r="AQ390" i="189"/>
  <c r="AQ46" i="195" s="1"/>
  <c r="AQ49" i="195" s="1"/>
  <c r="AQ107" i="195" s="1"/>
  <c r="AO390" i="189"/>
  <c r="AO46" i="195" s="1"/>
  <c r="AO49" i="195" s="1"/>
  <c r="AO107" i="195" s="1"/>
  <c r="AM390" i="189"/>
  <c r="AM46" i="195" s="1"/>
  <c r="AM49" i="195" s="1"/>
  <c r="AM107" i="195" s="1"/>
  <c r="AK390" i="189"/>
  <c r="AK46" i="195" s="1"/>
  <c r="AK49" i="195" s="1"/>
  <c r="AK107" i="195" s="1"/>
  <c r="AJ390" i="189"/>
  <c r="AJ46" i="195" s="1"/>
  <c r="AJ49" i="195" s="1"/>
  <c r="AJ107" i="195" s="1"/>
  <c r="AP390" i="189"/>
  <c r="AP46" i="195" s="1"/>
  <c r="AP49" i="195" s="1"/>
  <c r="AP107" i="195" s="1"/>
  <c r="AN390" i="189"/>
  <c r="AN46" i="195" s="1"/>
  <c r="AN49" i="195" s="1"/>
  <c r="AN107" i="195" s="1"/>
  <c r="AL390" i="189"/>
  <c r="AL46" i="195" s="1"/>
  <c r="AL49" i="195" s="1"/>
  <c r="AL107" i="195" s="1"/>
  <c r="AP431" i="278"/>
  <c r="AN431" i="278"/>
  <c r="AL431" i="278"/>
  <c r="AJ431" i="278"/>
  <c r="AQ431" i="278"/>
  <c r="AO431" i="278"/>
  <c r="AM431" i="278"/>
  <c r="AK431" i="278"/>
  <c r="AL380" i="189" l="1"/>
  <c r="AM380" i="189"/>
  <c r="AQ380" i="189"/>
  <c r="AL167" i="161"/>
  <c r="AL213" i="161" s="1"/>
  <c r="AL167" i="308"/>
  <c r="AL213" i="308" s="1"/>
  <c r="AP167" i="308"/>
  <c r="AP213" i="308" s="1"/>
  <c r="AP167" i="161"/>
  <c r="AP213" i="161" s="1"/>
  <c r="AJ167" i="308"/>
  <c r="AJ167" i="161"/>
  <c r="AK167" i="308"/>
  <c r="AK213" i="308" s="1"/>
  <c r="AK167" i="161"/>
  <c r="AK213" i="161" s="1"/>
  <c r="AO167" i="308"/>
  <c r="AO213" i="308" s="1"/>
  <c r="AO167" i="161"/>
  <c r="AO213" i="161" s="1"/>
  <c r="AP380" i="189"/>
  <c r="AN380" i="189"/>
  <c r="AJ380" i="189"/>
  <c r="AK380" i="189"/>
  <c r="AO380" i="189"/>
  <c r="AN167" i="161"/>
  <c r="AN213" i="161" s="1"/>
  <c r="AN167" i="308"/>
  <c r="AN213" i="308" s="1"/>
  <c r="AM167" i="308"/>
  <c r="AM213" i="308" s="1"/>
  <c r="AM167" i="161"/>
  <c r="AM213" i="161" s="1"/>
  <c r="AQ167" i="308"/>
  <c r="AQ213" i="308" s="1"/>
  <c r="AQ167" i="161"/>
  <c r="AQ213" i="161" s="1"/>
  <c r="AO34" i="195" l="1"/>
  <c r="AO37" i="195" s="1"/>
  <c r="AO97" i="195" s="1"/>
  <c r="AO431" i="189"/>
  <c r="AP431" i="189"/>
  <c r="AP34" i="195"/>
  <c r="AP37" i="195" s="1"/>
  <c r="AP97" i="195" s="1"/>
  <c r="AJ213" i="308"/>
  <c r="AQ431" i="189"/>
  <c r="AQ34" i="195"/>
  <c r="AQ37" i="195" s="1"/>
  <c r="AQ97" i="195" s="1"/>
  <c r="AM431" i="189"/>
  <c r="AM34" i="195"/>
  <c r="AM37" i="195" s="1"/>
  <c r="AM97" i="195" s="1"/>
  <c r="AL431" i="189"/>
  <c r="AL34" i="195"/>
  <c r="AL37" i="195" s="1"/>
  <c r="AL97" i="195" s="1"/>
  <c r="AK34" i="195"/>
  <c r="AK37" i="195" s="1"/>
  <c r="AK97" i="195" s="1"/>
  <c r="AK431" i="189"/>
  <c r="AJ431" i="189"/>
  <c r="AJ34" i="195"/>
  <c r="AJ37" i="195" s="1"/>
  <c r="AJ97" i="195" s="1"/>
  <c r="AN34" i="195"/>
  <c r="AN37" i="195" s="1"/>
  <c r="AN97" i="195" s="1"/>
  <c r="AN431" i="189"/>
  <c r="AJ213" i="161"/>
  <c r="G4" i="161" l="1"/>
  <c r="AH364" i="189" l="1"/>
  <c r="AI364" i="189"/>
  <c r="AN119" i="195" l="1"/>
  <c r="AN126" i="195" s="1"/>
  <c r="AO119" i="195"/>
  <c r="AO126" i="195" s="1"/>
  <c r="AP119" i="195"/>
  <c r="AP126" i="195" s="1"/>
  <c r="AK119" i="195"/>
  <c r="AK126" i="195" s="1"/>
  <c r="AL119" i="195"/>
  <c r="AL126" i="195" s="1"/>
  <c r="AQ119" i="195"/>
  <c r="AQ126" i="195" s="1"/>
  <c r="AM119" i="195"/>
  <c r="AM126" i="195" s="1"/>
  <c r="AJ119" i="195"/>
  <c r="AJ126" i="195" s="1"/>
  <c r="AH360" i="189" l="1"/>
  <c r="AI360" i="189" l="1"/>
  <c r="AJ116" i="195" s="1"/>
  <c r="AJ118" i="195" s="1"/>
  <c r="AJ120" i="195" s="1"/>
  <c r="AK116" i="195" s="1"/>
  <c r="AK118" i="195" s="1"/>
  <c r="AK120" i="195" s="1"/>
  <c r="AL116" i="195" s="1"/>
  <c r="AL118" i="195" s="1"/>
  <c r="AL120" i="195" s="1"/>
  <c r="AM116" i="195" s="1"/>
  <c r="AM118" i="195" s="1"/>
  <c r="AM120" i="195" s="1"/>
  <c r="AN116" i="195" s="1"/>
  <c r="AN118" i="195" s="1"/>
  <c r="AN120" i="195" s="1"/>
  <c r="AO116" i="195" s="1"/>
  <c r="AO118" i="195" s="1"/>
  <c r="AO120" i="195" s="1"/>
  <c r="AP116" i="195" s="1"/>
  <c r="AP118" i="195" s="1"/>
  <c r="AP120" i="195" s="1"/>
  <c r="AQ116" i="195" s="1"/>
  <c r="AQ118" i="195" s="1"/>
  <c r="AQ120" i="195" s="1"/>
  <c r="AH352" i="189" l="1"/>
  <c r="AI352" i="189" l="1"/>
  <c r="AJ96" i="195" s="1"/>
  <c r="AJ98" i="195" s="1"/>
  <c r="AJ99" i="195" l="1"/>
  <c r="AJ125" i="195" s="1"/>
  <c r="AJ100" i="195" l="1"/>
  <c r="AK96" i="195" s="1"/>
  <c r="AK98" i="195" s="1"/>
  <c r="AK99" i="195" s="1"/>
  <c r="AK125" i="195" s="1"/>
  <c r="AK100" i="195" l="1"/>
  <c r="AL96" i="195" s="1"/>
  <c r="AL98" i="195" s="1"/>
  <c r="AL99" i="195" s="1"/>
  <c r="AL125" i="195" s="1"/>
  <c r="AL100" i="195" l="1"/>
  <c r="AM96" i="195" s="1"/>
  <c r="AM98" i="195" s="1"/>
  <c r="AM99" i="195" l="1"/>
  <c r="AM125" i="195" s="1"/>
  <c r="AM100" i="195" l="1"/>
  <c r="AN96" i="195" s="1"/>
  <c r="AN98" i="195" s="1"/>
  <c r="AN99" i="195" l="1"/>
  <c r="AN125" i="195" s="1"/>
  <c r="AN100" i="195" l="1"/>
  <c r="AO96" i="195" s="1"/>
  <c r="AO98" i="195" s="1"/>
  <c r="AO99" i="195" l="1"/>
  <c r="AO125" i="195" s="1"/>
  <c r="AO100" i="195" l="1"/>
  <c r="AP96" i="195" s="1"/>
  <c r="AP98" i="195" s="1"/>
  <c r="AP99" i="195" l="1"/>
  <c r="AP125" i="195" s="1"/>
  <c r="AP100" i="195" l="1"/>
  <c r="AQ96" i="195" s="1"/>
  <c r="AQ98" i="195" s="1"/>
  <c r="AQ99" i="195" l="1"/>
  <c r="AQ125" i="195" s="1"/>
  <c r="AH356" i="189"/>
  <c r="AQ100" i="195" l="1"/>
  <c r="AI356" i="189"/>
  <c r="AJ106" i="195" s="1"/>
  <c r="AJ108" i="195" s="1"/>
  <c r="AJ109" i="195" l="1"/>
  <c r="AJ124" i="195" s="1"/>
  <c r="AJ127" i="195" s="1"/>
  <c r="AJ110" i="195" l="1"/>
  <c r="AK106" i="195" s="1"/>
  <c r="AK108" i="195" s="1"/>
  <c r="AK109" i="195" s="1"/>
  <c r="AK124" i="195" s="1"/>
  <c r="AK127" i="195" s="1"/>
  <c r="AJ168" i="161"/>
  <c r="AJ214" i="161" s="1"/>
  <c r="AJ168" i="308"/>
  <c r="AJ214" i="308" s="1"/>
  <c r="AK110" i="195" l="1"/>
  <c r="AL106" i="195" s="1"/>
  <c r="AL108" i="195" s="1"/>
  <c r="AK168" i="308"/>
  <c r="AK214" i="308" s="1"/>
  <c r="AK168" i="161"/>
  <c r="AK214" i="161" s="1"/>
  <c r="AL109" i="195" l="1"/>
  <c r="AL124" i="195" s="1"/>
  <c r="AL127" i="195" s="1"/>
  <c r="AL110" i="195" l="1"/>
  <c r="AM106" i="195" s="1"/>
  <c r="AM108" i="195" s="1"/>
  <c r="AM109" i="195" s="1"/>
  <c r="AM124" i="195" s="1"/>
  <c r="AM127" i="195" s="1"/>
  <c r="AL168" i="308"/>
  <c r="AL214" i="308" s="1"/>
  <c r="AL168" i="161"/>
  <c r="AL214" i="161" s="1"/>
  <c r="AM110" i="195" l="1"/>
  <c r="AN106" i="195" s="1"/>
  <c r="AN108" i="195" s="1"/>
  <c r="AM168" i="161"/>
  <c r="AM214" i="161" s="1"/>
  <c r="AM168" i="308"/>
  <c r="AM214" i="308" s="1"/>
  <c r="AN109" i="195" l="1"/>
  <c r="AN124" i="195" s="1"/>
  <c r="AN127" i="195" s="1"/>
  <c r="AN110" i="195" l="1"/>
  <c r="AO106" i="195" s="1"/>
  <c r="AO108" i="195" s="1"/>
  <c r="AO109" i="195" s="1"/>
  <c r="AO124" i="195" s="1"/>
  <c r="AO127" i="195" s="1"/>
  <c r="AN168" i="161"/>
  <c r="AN214" i="161" s="1"/>
  <c r="AN168" i="308"/>
  <c r="AN214" i="308" s="1"/>
  <c r="AO110" i="195" l="1"/>
  <c r="AP106" i="195" s="1"/>
  <c r="AP108" i="195" s="1"/>
  <c r="AP109" i="195" s="1"/>
  <c r="AP124" i="195" s="1"/>
  <c r="AP127" i="195" s="1"/>
  <c r="AO168" i="308"/>
  <c r="AO214" i="308" s="1"/>
  <c r="AO168" i="161"/>
  <c r="AO214" i="161" s="1"/>
  <c r="AP168" i="161" l="1"/>
  <c r="AP214" i="161" s="1"/>
  <c r="AP168" i="308"/>
  <c r="AP214" i="308" s="1"/>
  <c r="AP110" i="195"/>
  <c r="AQ106" i="195" s="1"/>
  <c r="AQ108" i="195" s="1"/>
  <c r="AQ109" i="195" l="1"/>
  <c r="AQ124" i="195" s="1"/>
  <c r="AQ127" i="195" s="1"/>
  <c r="AQ110" i="195" l="1"/>
  <c r="AQ168" i="308"/>
  <c r="AQ214" i="308" s="1"/>
  <c r="AQ168" i="161"/>
  <c r="AQ214" i="161" s="1"/>
  <c r="AG329" i="189" l="1"/>
  <c r="AG17" i="283" s="1"/>
  <c r="AG18" i="283" s="1"/>
  <c r="I110" i="283" s="1"/>
  <c r="I199" i="283" l="1"/>
  <c r="I247" i="283" s="1"/>
  <c r="AH110" i="283"/>
  <c r="AI110" i="283" s="1"/>
  <c r="AJ110" i="283" s="1"/>
  <c r="I65" i="283"/>
  <c r="AF329" i="189"/>
  <c r="AF17" i="283" s="1"/>
  <c r="AF18" i="283" s="1"/>
  <c r="I109" i="283" s="1"/>
  <c r="AK110" i="283" l="1"/>
  <c r="AL110" i="283" s="1"/>
  <c r="AM110" i="283" s="1"/>
  <c r="I198" i="283"/>
  <c r="I246" i="283" s="1"/>
  <c r="I64" i="283"/>
  <c r="AG109" i="283"/>
  <c r="AH109" i="283" s="1"/>
  <c r="AH65" i="283"/>
  <c r="AI65" i="283" s="1"/>
  <c r="AJ65" i="283" s="1"/>
  <c r="AK65" i="283" s="1"/>
  <c r="AL65" i="283" l="1"/>
  <c r="AM65" i="283" s="1"/>
  <c r="AI109" i="283"/>
  <c r="AG64" i="283"/>
  <c r="AH64" i="283" s="1"/>
  <c r="AI64" i="283" s="1"/>
  <c r="AJ64" i="283" s="1"/>
  <c r="AN110" i="283"/>
  <c r="AO110" i="283" s="1"/>
  <c r="AP110" i="283" s="1"/>
  <c r="AI329" i="189"/>
  <c r="AI17" i="283" s="1"/>
  <c r="AI18" i="283" s="1"/>
  <c r="I112" i="283" s="1"/>
  <c r="AE329" i="189"/>
  <c r="AE17" i="283" s="1"/>
  <c r="AE18" i="283" s="1"/>
  <c r="AH329" i="189"/>
  <c r="AH17" i="283" s="1"/>
  <c r="AH18" i="283" s="1"/>
  <c r="I111" i="283" s="1"/>
  <c r="AK64" i="283" l="1"/>
  <c r="AL64" i="283" s="1"/>
  <c r="AM64" i="283" s="1"/>
  <c r="AN65" i="283"/>
  <c r="AO65" i="283" s="1"/>
  <c r="I66" i="283"/>
  <c r="AI111" i="283"/>
  <c r="I200" i="283"/>
  <c r="I248" i="283" s="1"/>
  <c r="AJ112" i="283"/>
  <c r="AK112" i="283" s="1"/>
  <c r="I67" i="283"/>
  <c r="I201" i="283"/>
  <c r="I249" i="283" s="1"/>
  <c r="I108" i="283"/>
  <c r="AI216" i="283"/>
  <c r="AJ219" i="283" s="1"/>
  <c r="AJ56" i="15" s="1"/>
  <c r="AQ110" i="283"/>
  <c r="AR110" i="283" s="1"/>
  <c r="AJ109" i="283"/>
  <c r="AP65" i="283" l="1"/>
  <c r="AQ65" i="283" s="1"/>
  <c r="AK109" i="283"/>
  <c r="AL109" i="283" s="1"/>
  <c r="AL112" i="283"/>
  <c r="AJ111" i="283"/>
  <c r="AJ58" i="15"/>
  <c r="AJ60" i="15" s="1"/>
  <c r="AN64" i="283"/>
  <c r="AO64" i="283" s="1"/>
  <c r="AF108" i="283"/>
  <c r="AG108" i="283" s="1"/>
  <c r="AH108" i="283" s="1"/>
  <c r="I197" i="283"/>
  <c r="I245" i="283" s="1"/>
  <c r="I63" i="283"/>
  <c r="AJ67" i="283"/>
  <c r="AI66" i="283"/>
  <c r="AJ66" i="283" s="1"/>
  <c r="I161" i="283" l="1"/>
  <c r="AR161" i="283" s="1"/>
  <c r="AR65" i="283"/>
  <c r="AK66" i="283"/>
  <c r="AL66" i="283" s="1"/>
  <c r="AI108" i="283"/>
  <c r="AJ108" i="283" s="1"/>
  <c r="AK108" i="283" s="1"/>
  <c r="AM109" i="283"/>
  <c r="AN109" i="283" s="1"/>
  <c r="AO109" i="283" s="1"/>
  <c r="AM112" i="283"/>
  <c r="AN112" i="283" s="1"/>
  <c r="AK67" i="283"/>
  <c r="AL67" i="283" s="1"/>
  <c r="AM67" i="283" s="1"/>
  <c r="AN67" i="283" s="1"/>
  <c r="AF63" i="283"/>
  <c r="AG63" i="283" s="1"/>
  <c r="AH63" i="283" s="1"/>
  <c r="AK56" i="15"/>
  <c r="AK58" i="15" s="1"/>
  <c r="AK60" i="15" s="1"/>
  <c r="AL56" i="15" s="1"/>
  <c r="AL58" i="15" s="1"/>
  <c r="AL60" i="15" s="1"/>
  <c r="AP64" i="283"/>
  <c r="AQ64" i="283" s="1"/>
  <c r="AR64" i="283" s="1"/>
  <c r="AK111" i="283"/>
  <c r="AL111" i="283" s="1"/>
  <c r="AM111" i="283" s="1"/>
  <c r="AR199" i="283" l="1"/>
  <c r="AH161" i="283"/>
  <c r="AH199" i="283" s="1"/>
  <c r="AQ161" i="283"/>
  <c r="AQ199" i="283" s="1"/>
  <c r="AN161" i="283"/>
  <c r="AN199" i="283" s="1"/>
  <c r="AI161" i="283"/>
  <c r="AI199" i="283" s="1"/>
  <c r="AJ161" i="283"/>
  <c r="AJ199" i="283" s="1"/>
  <c r="AM161" i="283"/>
  <c r="AM199" i="283" s="1"/>
  <c r="AL161" i="283"/>
  <c r="AL199" i="283" s="1"/>
  <c r="AO161" i="283"/>
  <c r="AO199" i="283" s="1"/>
  <c r="AK161" i="283"/>
  <c r="AK199" i="283" s="1"/>
  <c r="AP161" i="283"/>
  <c r="AP199" i="283" s="1"/>
  <c r="AL108" i="283"/>
  <c r="AM108" i="283" s="1"/>
  <c r="AN108" i="283" s="1"/>
  <c r="AO108" i="283" s="1"/>
  <c r="AM66" i="283"/>
  <c r="AN66" i="283" s="1"/>
  <c r="AP109" i="283"/>
  <c r="AQ109" i="283" s="1"/>
  <c r="AN111" i="283"/>
  <c r="AO111" i="283" s="1"/>
  <c r="AP111" i="283" s="1"/>
  <c r="AM56" i="15"/>
  <c r="AM58" i="15" s="1"/>
  <c r="AM60" i="15" s="1"/>
  <c r="AO112" i="283"/>
  <c r="AP112" i="283" s="1"/>
  <c r="AQ112" i="283" s="1"/>
  <c r="AI63" i="283"/>
  <c r="AJ63" i="283" s="1"/>
  <c r="AO67" i="283"/>
  <c r="AP67" i="283" s="1"/>
  <c r="I160" i="283" l="1"/>
  <c r="AO160" i="283" s="1"/>
  <c r="AO198" i="283" s="1"/>
  <c r="G247" i="283"/>
  <c r="K247" i="283" s="1"/>
  <c r="AQ111" i="283"/>
  <c r="AR111" i="283" s="1"/>
  <c r="AO66" i="283"/>
  <c r="AP66" i="283" s="1"/>
  <c r="AR109" i="283"/>
  <c r="AR112" i="283"/>
  <c r="AK63" i="283"/>
  <c r="AL63" i="283" s="1"/>
  <c r="AN56" i="15"/>
  <c r="AN58" i="15" s="1"/>
  <c r="AN60" i="15" s="1"/>
  <c r="AQ67" i="283"/>
  <c r="AP108" i="283"/>
  <c r="AQ108" i="283" s="1"/>
  <c r="AI160" i="283" l="1"/>
  <c r="AI198" i="283" s="1"/>
  <c r="AN160" i="283"/>
  <c r="AN198" i="283" s="1"/>
  <c r="AP160" i="283"/>
  <c r="AP198" i="283" s="1"/>
  <c r="AR160" i="283"/>
  <c r="AL160" i="283"/>
  <c r="AL198" i="283" s="1"/>
  <c r="AG160" i="283"/>
  <c r="AG198" i="283" s="1"/>
  <c r="AJ160" i="283"/>
  <c r="AJ198" i="283" s="1"/>
  <c r="AH160" i="283"/>
  <c r="AH198" i="283" s="1"/>
  <c r="AK160" i="283"/>
  <c r="AK198" i="283" s="1"/>
  <c r="AQ160" i="283"/>
  <c r="AQ198" i="283" s="1"/>
  <c r="AM160" i="283"/>
  <c r="AM198" i="283" s="1"/>
  <c r="AR198" i="283"/>
  <c r="AQ66" i="283"/>
  <c r="I162" i="283" s="1"/>
  <c r="AR108" i="283"/>
  <c r="AM63" i="283"/>
  <c r="AN63" i="283" s="1"/>
  <c r="I163" i="283"/>
  <c r="AR67" i="283"/>
  <c r="AO56" i="15"/>
  <c r="AO58" i="15" s="1"/>
  <c r="AO60" i="15" s="1"/>
  <c r="G246" i="283" l="1"/>
  <c r="K246" i="283" s="1"/>
  <c r="AR66" i="283"/>
  <c r="AO162" i="283"/>
  <c r="AO200" i="283" s="1"/>
  <c r="AM162" i="283"/>
  <c r="AM200" i="283" s="1"/>
  <c r="AN162" i="283"/>
  <c r="AN200" i="283" s="1"/>
  <c r="AL162" i="283"/>
  <c r="AL200" i="283" s="1"/>
  <c r="AR162" i="283"/>
  <c r="AP162" i="283"/>
  <c r="AP200" i="283" s="1"/>
  <c r="AK162" i="283"/>
  <c r="AK200" i="283" s="1"/>
  <c r="AQ162" i="283"/>
  <c r="AQ200" i="283" s="1"/>
  <c r="AJ162" i="283"/>
  <c r="AJ200" i="283" s="1"/>
  <c r="AI162" i="283"/>
  <c r="AI200" i="283" s="1"/>
  <c r="AO63" i="283"/>
  <c r="AP63" i="283" s="1"/>
  <c r="AQ63" i="283" s="1"/>
  <c r="I159" i="283" s="1"/>
  <c r="AN163" i="283"/>
  <c r="AN201" i="283" s="1"/>
  <c r="AM163" i="283"/>
  <c r="AM201" i="283" s="1"/>
  <c r="AP163" i="283"/>
  <c r="AP201" i="283" s="1"/>
  <c r="AQ163" i="283"/>
  <c r="AQ201" i="283" s="1"/>
  <c r="AL163" i="283"/>
  <c r="AL201" i="283" s="1"/>
  <c r="AR163" i="283"/>
  <c r="AR201" i="283" s="1"/>
  <c r="AK163" i="283"/>
  <c r="AK201" i="283" s="1"/>
  <c r="AJ163" i="283"/>
  <c r="AJ201" i="283" s="1"/>
  <c r="AO163" i="283"/>
  <c r="AO201" i="283" s="1"/>
  <c r="AP56" i="15"/>
  <c r="AP58" i="15" s="1"/>
  <c r="AP60" i="15" s="1"/>
  <c r="AR200" i="283" l="1"/>
  <c r="G248" i="283"/>
  <c r="K248" i="283" s="1"/>
  <c r="AQ56" i="15"/>
  <c r="AQ58" i="15" s="1"/>
  <c r="AQ60" i="15" s="1"/>
  <c r="G249" i="283"/>
  <c r="K249" i="283" s="1"/>
  <c r="AR63" i="283"/>
  <c r="AN159" i="283"/>
  <c r="AN197" i="283" s="1"/>
  <c r="AN210" i="283" s="1"/>
  <c r="AN67" i="15" s="1"/>
  <c r="AN46" i="15" s="1"/>
  <c r="AK159" i="283"/>
  <c r="AK197" i="283" s="1"/>
  <c r="AH159" i="283"/>
  <c r="AH197" i="283" s="1"/>
  <c r="AH210" i="283" s="1"/>
  <c r="AJ159" i="283"/>
  <c r="AJ197" i="283" s="1"/>
  <c r="AJ210" i="283" s="1"/>
  <c r="AJ67" i="15" s="1"/>
  <c r="AJ46" i="15" s="1"/>
  <c r="AG159" i="283"/>
  <c r="AG197" i="283" s="1"/>
  <c r="AG210" i="283" s="1"/>
  <c r="AQ159" i="283"/>
  <c r="AQ197" i="283" s="1"/>
  <c r="AQ210" i="283" s="1"/>
  <c r="AQ67" i="15" s="1"/>
  <c r="AQ46" i="15" s="1"/>
  <c r="AR159" i="283"/>
  <c r="AO159" i="283"/>
  <c r="AO197" i="283" s="1"/>
  <c r="AO210" i="283" s="1"/>
  <c r="AO67" i="15" s="1"/>
  <c r="AO46" i="15" s="1"/>
  <c r="AL159" i="283"/>
  <c r="AL197" i="283" s="1"/>
  <c r="AL210" i="283" s="1"/>
  <c r="AL67" i="15" s="1"/>
  <c r="AL46" i="15" s="1"/>
  <c r="AI159" i="283"/>
  <c r="AI197" i="283" s="1"/>
  <c r="AI210" i="283" s="1"/>
  <c r="AF159" i="283"/>
  <c r="AF197" i="283" s="1"/>
  <c r="AF210" i="283" s="1"/>
  <c r="AP159" i="283"/>
  <c r="AP197" i="283" s="1"/>
  <c r="AP210" i="283" s="1"/>
  <c r="AP67" i="15" s="1"/>
  <c r="AP46" i="15" s="1"/>
  <c r="AM159" i="283"/>
  <c r="AM197" i="283" s="1"/>
  <c r="AM210" i="283" s="1"/>
  <c r="AM67" i="15" s="1"/>
  <c r="AM46" i="15" s="1"/>
  <c r="AR197" i="283" l="1"/>
  <c r="AI217" i="283"/>
  <c r="AJ220" i="283" s="1"/>
  <c r="AJ64" i="15" s="1"/>
  <c r="AJ42" i="15" s="1"/>
  <c r="G245" i="283"/>
  <c r="K245" i="283" s="1"/>
  <c r="G222" i="283" s="1"/>
  <c r="AK210" i="283"/>
  <c r="AK67" i="15" s="1"/>
  <c r="AK46" i="15" s="1"/>
  <c r="I32" i="23"/>
  <c r="AM52" i="202"/>
  <c r="AM32" i="202"/>
  <c r="AM15" i="9"/>
  <c r="AM15" i="203"/>
  <c r="AL52" i="202"/>
  <c r="AL15" i="9"/>
  <c r="H32" i="23"/>
  <c r="AL32" i="202"/>
  <c r="AL15" i="203"/>
  <c r="AN32" i="202"/>
  <c r="AN52" i="202"/>
  <c r="AN15" i="203"/>
  <c r="AN15" i="9"/>
  <c r="J32" i="23"/>
  <c r="M32" i="23"/>
  <c r="AQ15" i="9"/>
  <c r="AQ15" i="203"/>
  <c r="AQ32" i="202"/>
  <c r="AQ52" i="202"/>
  <c r="AP52" i="202"/>
  <c r="AP15" i="203"/>
  <c r="AP32" i="202"/>
  <c r="L32" i="23"/>
  <c r="AP15" i="9"/>
  <c r="AO15" i="203"/>
  <c r="K32" i="23"/>
  <c r="AO52" i="202"/>
  <c r="AO15" i="9"/>
  <c r="AO32" i="202"/>
  <c r="AJ15" i="9"/>
  <c r="AJ52" i="202"/>
  <c r="AJ32" i="202"/>
  <c r="AJ15" i="203"/>
  <c r="F32" i="23"/>
  <c r="AJ66" i="15" l="1"/>
  <c r="AJ68" i="15" s="1"/>
  <c r="AK64" i="15" s="1"/>
  <c r="AK66" i="15" s="1"/>
  <c r="AK68" i="15" s="1"/>
  <c r="AO151" i="202"/>
  <c r="AO79" i="202" s="1"/>
  <c r="AO51" i="202" s="1"/>
  <c r="K46" i="23"/>
  <c r="K37" i="23" s="1"/>
  <c r="F46" i="23"/>
  <c r="AJ151" i="202"/>
  <c r="AJ79" i="202" s="1"/>
  <c r="AJ51" i="202" s="1"/>
  <c r="AM151" i="202"/>
  <c r="AM79" i="202" s="1"/>
  <c r="AM51" i="202" s="1"/>
  <c r="I46" i="23"/>
  <c r="I37" i="23" s="1"/>
  <c r="AK32" i="202"/>
  <c r="AK15" i="9"/>
  <c r="AK52" i="202"/>
  <c r="AK15" i="203"/>
  <c r="G32" i="23"/>
  <c r="N32" i="23" s="1"/>
  <c r="AL151" i="202"/>
  <c r="AL79" i="202" s="1"/>
  <c r="AL51" i="202" s="1"/>
  <c r="H46" i="23"/>
  <c r="H37" i="23" s="1"/>
  <c r="AP151" i="202"/>
  <c r="AP79" i="202" s="1"/>
  <c r="AP51" i="202" s="1"/>
  <c r="L46" i="23"/>
  <c r="L37" i="23" s="1"/>
  <c r="AN151" i="202"/>
  <c r="AN79" i="202" s="1"/>
  <c r="AN51" i="202" s="1"/>
  <c r="J46" i="23"/>
  <c r="J37" i="23" s="1"/>
  <c r="F28" i="23"/>
  <c r="AJ28" i="202"/>
  <c r="AJ30" i="202" s="1"/>
  <c r="AJ33" i="202" s="1"/>
  <c r="AJ44" i="15"/>
  <c r="AQ151" i="202"/>
  <c r="AQ79" i="202" s="1"/>
  <c r="AQ51" i="202" s="1"/>
  <c r="M46" i="23"/>
  <c r="M37" i="23" s="1"/>
  <c r="AJ72" i="15" l="1"/>
  <c r="AK72" i="15"/>
  <c r="AL64" i="15"/>
  <c r="AL66" i="15" s="1"/>
  <c r="AL68" i="15" s="1"/>
  <c r="AK26" i="202"/>
  <c r="F37" i="23"/>
  <c r="F30" i="23"/>
  <c r="AJ50" i="161"/>
  <c r="AJ50" i="308"/>
  <c r="AJ25" i="15"/>
  <c r="AJ47" i="15"/>
  <c r="O32" i="23"/>
  <c r="AK151" i="202"/>
  <c r="AK79" i="202" s="1"/>
  <c r="AK51" i="202" s="1"/>
  <c r="G46" i="23"/>
  <c r="G37" i="23" s="1"/>
  <c r="O46" i="23" l="1"/>
  <c r="AJ51" i="308"/>
  <c r="AJ22" i="308"/>
  <c r="AJ51" i="161"/>
  <c r="AJ22" i="161"/>
  <c r="AM64" i="15"/>
  <c r="AM66" i="15" s="1"/>
  <c r="AM68" i="15" s="1"/>
  <c r="AL72" i="15"/>
  <c r="N46" i="23"/>
  <c r="O37" i="23"/>
  <c r="N37" i="23"/>
  <c r="AJ151" i="308"/>
  <c r="AJ155" i="308" s="1"/>
  <c r="AJ27" i="308" s="1"/>
  <c r="AJ19" i="15"/>
  <c r="AJ21" i="15" s="1"/>
  <c r="AJ26" i="15" s="1"/>
  <c r="AJ28" i="15" s="1"/>
  <c r="AJ234" i="161"/>
  <c r="AJ42" i="203"/>
  <c r="AJ16" i="202"/>
  <c r="AJ34" i="202" s="1"/>
  <c r="AJ151" i="161"/>
  <c r="AJ155" i="161" s="1"/>
  <c r="AK42" i="15"/>
  <c r="F33" i="23"/>
  <c r="F86" i="23" l="1"/>
  <c r="AJ32" i="15"/>
  <c r="AJ35" i="15" s="1"/>
  <c r="AJ16" i="9" s="1"/>
  <c r="AK44" i="15"/>
  <c r="AK28" i="202"/>
  <c r="G28" i="23"/>
  <c r="AJ41" i="161"/>
  <c r="AJ86" i="161" s="1"/>
  <c r="AJ105" i="161"/>
  <c r="AJ57" i="202"/>
  <c r="AJ40" i="202" s="1"/>
  <c r="AJ27" i="161"/>
  <c r="AJ95" i="202"/>
  <c r="AJ64" i="161"/>
  <c r="AJ66" i="161" s="1"/>
  <c r="AJ139" i="161" s="1"/>
  <c r="AJ141" i="161" s="1"/>
  <c r="AJ87" i="161"/>
  <c r="AJ105" i="308"/>
  <c r="AJ41" i="308"/>
  <c r="AJ86" i="308" s="1"/>
  <c r="F82" i="23"/>
  <c r="AN64" i="15"/>
  <c r="AN66" i="15" s="1"/>
  <c r="AN68" i="15" s="1"/>
  <c r="AM72" i="15"/>
  <c r="AJ64" i="308"/>
  <c r="AJ66" i="308" s="1"/>
  <c r="AJ139" i="308" s="1"/>
  <c r="AJ141" i="308" s="1"/>
  <c r="AJ145" i="308" s="1"/>
  <c r="AJ30" i="308" s="1"/>
  <c r="AJ87" i="308"/>
  <c r="AJ89" i="161" l="1"/>
  <c r="AJ89" i="308"/>
  <c r="F47" i="23"/>
  <c r="F85" i="23"/>
  <c r="F84" i="23"/>
  <c r="AJ145" i="161"/>
  <c r="AJ124" i="202"/>
  <c r="AJ125" i="202" s="1"/>
  <c r="AK30" i="202"/>
  <c r="AK33" i="202" s="1"/>
  <c r="AL26" i="202" s="1"/>
  <c r="AK27" i="202"/>
  <c r="AK39" i="202" s="1"/>
  <c r="AO64" i="15"/>
  <c r="AO66" i="15" s="1"/>
  <c r="AO68" i="15" s="1"/>
  <c r="AN72" i="15"/>
  <c r="AJ43" i="202"/>
  <c r="AJ112" i="202"/>
  <c r="AJ68" i="203" s="1"/>
  <c r="G30" i="23"/>
  <c r="AK50" i="308"/>
  <c r="AK51" i="308" s="1"/>
  <c r="AK25" i="15"/>
  <c r="AK50" i="161"/>
  <c r="AK51" i="161" s="1"/>
  <c r="AK47" i="15"/>
  <c r="AK19" i="15" l="1"/>
  <c r="AK21" i="15" s="1"/>
  <c r="AK26" i="15" s="1"/>
  <c r="AK28" i="15" s="1"/>
  <c r="AL42" i="15"/>
  <c r="AK151" i="308"/>
  <c r="AK155" i="308" s="1"/>
  <c r="AK27" i="308" s="1"/>
  <c r="AK151" i="161"/>
  <c r="AK155" i="161" s="1"/>
  <c r="AK42" i="203"/>
  <c r="AK16" i="202"/>
  <c r="AK34" i="202" s="1"/>
  <c r="AK234" i="161"/>
  <c r="G33" i="23"/>
  <c r="AJ17" i="9"/>
  <c r="AJ30" i="161"/>
  <c r="AK87" i="161"/>
  <c r="AK71" i="161"/>
  <c r="AK71" i="308"/>
  <c r="AK87" i="308"/>
  <c r="AP64" i="15"/>
  <c r="AP66" i="15" s="1"/>
  <c r="AP68" i="15" s="1"/>
  <c r="AO72" i="15"/>
  <c r="F38" i="23"/>
  <c r="AQ64" i="15" l="1"/>
  <c r="AQ66" i="15" s="1"/>
  <c r="AQ68" i="15" s="1"/>
  <c r="AQ72" i="15" s="1"/>
  <c r="AP72" i="15"/>
  <c r="G82" i="23"/>
  <c r="AK27" i="161"/>
  <c r="AK95" i="202"/>
  <c r="AJ45" i="202"/>
  <c r="AJ60" i="202"/>
  <c r="AJ162" i="308"/>
  <c r="AJ284" i="308"/>
  <c r="F48" i="23"/>
  <c r="AJ20" i="9"/>
  <c r="AL44" i="15"/>
  <c r="H28" i="23"/>
  <c r="AL28" i="202"/>
  <c r="AK32" i="15"/>
  <c r="AK35" i="15" s="1"/>
  <c r="AK16" i="9" s="1"/>
  <c r="G47" i="23" s="1"/>
  <c r="G86" i="23"/>
  <c r="AL25" i="15" l="1"/>
  <c r="AL50" i="161"/>
  <c r="AL51" i="161" s="1"/>
  <c r="AL50" i="308"/>
  <c r="AL51" i="308" s="1"/>
  <c r="AL47" i="15"/>
  <c r="H30" i="23"/>
  <c r="AK112" i="202"/>
  <c r="AK68" i="203" s="1"/>
  <c r="AK43" i="202"/>
  <c r="AJ162" i="161"/>
  <c r="AJ23" i="308"/>
  <c r="AJ31" i="308" s="1"/>
  <c r="AJ106" i="308" s="1"/>
  <c r="AJ108" i="308" s="1"/>
  <c r="AJ112" i="308" s="1"/>
  <c r="AJ115" i="308" s="1"/>
  <c r="AJ128" i="308" s="1"/>
  <c r="AJ23" i="161"/>
  <c r="AJ31" i="161" s="1"/>
  <c r="AL27" i="202"/>
  <c r="AL39" i="202" s="1"/>
  <c r="AL30" i="202"/>
  <c r="AL33" i="202" s="1"/>
  <c r="AM26" i="202" s="1"/>
  <c r="F39" i="23"/>
  <c r="G85" i="23"/>
  <c r="G84" i="23"/>
  <c r="G38" i="23"/>
  <c r="AJ204" i="308"/>
  <c r="AJ106" i="161" l="1"/>
  <c r="AJ108" i="161" s="1"/>
  <c r="AJ112" i="161" s="1"/>
  <c r="AJ115" i="161" s="1"/>
  <c r="AJ128" i="161" s="1"/>
  <c r="AL87" i="161"/>
  <c r="AL71" i="161"/>
  <c r="AJ133" i="308"/>
  <c r="AJ131" i="308"/>
  <c r="AL87" i="308"/>
  <c r="AL71" i="308"/>
  <c r="H33" i="23"/>
  <c r="AJ160" i="161"/>
  <c r="AJ204" i="161"/>
  <c r="AL151" i="161"/>
  <c r="AL155" i="161" s="1"/>
  <c r="AL19" i="15"/>
  <c r="AL21" i="15" s="1"/>
  <c r="AL26" i="15" s="1"/>
  <c r="AL28" i="15" s="1"/>
  <c r="AM42" i="15"/>
  <c r="AL234" i="161"/>
  <c r="AL151" i="308"/>
  <c r="AL155" i="308" s="1"/>
  <c r="AL27" i="308" s="1"/>
  <c r="AL42" i="203"/>
  <c r="AL16" i="202"/>
  <c r="AL34" i="202" s="1"/>
  <c r="I28" i="23" l="1"/>
  <c r="AM28" i="202"/>
  <c r="AM44" i="15"/>
  <c r="AJ165" i="308"/>
  <c r="AJ32" i="308"/>
  <c r="H82" i="23"/>
  <c r="AL32" i="15"/>
  <c r="AL35" i="15" s="1"/>
  <c r="AL16" i="9" s="1"/>
  <c r="H86" i="23"/>
  <c r="AL27" i="161"/>
  <c r="AL95" i="202"/>
  <c r="AJ33" i="308"/>
  <c r="AJ166" i="308"/>
  <c r="AJ212" i="308" s="1"/>
  <c r="AJ131" i="161"/>
  <c r="AJ133" i="161"/>
  <c r="AJ165" i="161" l="1"/>
  <c r="AJ32" i="161"/>
  <c r="AJ211" i="308"/>
  <c r="AJ169" i="308"/>
  <c r="AJ166" i="161"/>
  <c r="AJ33" i="161"/>
  <c r="AJ61" i="202" s="1"/>
  <c r="AL43" i="202"/>
  <c r="AL112" i="202"/>
  <c r="AL68" i="203" s="1"/>
  <c r="H85" i="23"/>
  <c r="H84" i="23"/>
  <c r="AM50" i="161"/>
  <c r="AM51" i="161" s="1"/>
  <c r="AM50" i="308"/>
  <c r="AM51" i="308" s="1"/>
  <c r="AM47" i="15"/>
  <c r="AM25" i="15"/>
  <c r="I30" i="23"/>
  <c r="AM27" i="202"/>
  <c r="AM39" i="202" s="1"/>
  <c r="AM30" i="202"/>
  <c r="AM33" i="202" s="1"/>
  <c r="AN26" i="202" s="1"/>
  <c r="H47" i="23"/>
  <c r="AM87" i="161" l="1"/>
  <c r="AM71" i="161"/>
  <c r="AJ85" i="202"/>
  <c r="AJ17" i="203" s="1"/>
  <c r="AJ33" i="203" s="1"/>
  <c r="AJ212" i="161"/>
  <c r="H38" i="23"/>
  <c r="AM42" i="203"/>
  <c r="AM19" i="15"/>
  <c r="AM21" i="15" s="1"/>
  <c r="AM26" i="15" s="1"/>
  <c r="AM28" i="15" s="1"/>
  <c r="AM151" i="308"/>
  <c r="AM155" i="308" s="1"/>
  <c r="AM27" i="308" s="1"/>
  <c r="AM151" i="161"/>
  <c r="AM155" i="161" s="1"/>
  <c r="AM16" i="202"/>
  <c r="AM34" i="202" s="1"/>
  <c r="AM234" i="161"/>
  <c r="AN42" i="15"/>
  <c r="AM87" i="308"/>
  <c r="AM71" i="308"/>
  <c r="I33" i="23"/>
  <c r="AJ176" i="308"/>
  <c r="AJ233" i="161"/>
  <c r="AJ84" i="202"/>
  <c r="AJ211" i="161"/>
  <c r="AJ169" i="161"/>
  <c r="AM95" i="202" l="1"/>
  <c r="AM27" i="161"/>
  <c r="J28" i="23"/>
  <c r="AN44" i="15"/>
  <c r="AN28" i="202"/>
  <c r="AJ48" i="187"/>
  <c r="AJ51" i="187" s="1"/>
  <c r="AJ53" i="187" s="1"/>
  <c r="AJ56" i="187" s="1"/>
  <c r="AJ86" i="187" s="1"/>
  <c r="AJ58" i="187" s="1"/>
  <c r="AJ59" i="187" s="1"/>
  <c r="AJ67" i="187" s="1"/>
  <c r="AJ176" i="161"/>
  <c r="I82" i="23"/>
  <c r="AM32" i="15"/>
  <c r="AM35" i="15" s="1"/>
  <c r="AM16" i="9" s="1"/>
  <c r="I86" i="23"/>
  <c r="AJ106" i="202"/>
  <c r="AJ16" i="203"/>
  <c r="I47" i="23" l="1"/>
  <c r="AN50" i="308"/>
  <c r="AN51" i="308" s="1"/>
  <c r="AN47" i="15"/>
  <c r="AN25" i="15"/>
  <c r="J30" i="23"/>
  <c r="AN50" i="161"/>
  <c r="AN51" i="161" s="1"/>
  <c r="I85" i="23"/>
  <c r="I84" i="23"/>
  <c r="AN27" i="202"/>
  <c r="AN39" i="202" s="1"/>
  <c r="AN30" i="202"/>
  <c r="AN33" i="202" s="1"/>
  <c r="AO26" i="202" s="1"/>
  <c r="AM112" i="202"/>
  <c r="AM68" i="203" s="1"/>
  <c r="AM43" i="202"/>
  <c r="J33" i="23" l="1"/>
  <c r="I38" i="23"/>
  <c r="AN151" i="308"/>
  <c r="AN155" i="308" s="1"/>
  <c r="AN27" i="308" s="1"/>
  <c r="AN234" i="161"/>
  <c r="AN19" i="15"/>
  <c r="AN21" i="15" s="1"/>
  <c r="AN26" i="15" s="1"/>
  <c r="AN28" i="15" s="1"/>
  <c r="AN42" i="203"/>
  <c r="AN16" i="202"/>
  <c r="AN34" i="202" s="1"/>
  <c r="AN151" i="161"/>
  <c r="AN155" i="161" s="1"/>
  <c r="AO42" i="15"/>
  <c r="AN87" i="161"/>
  <c r="AN71" i="161"/>
  <c r="AN71" i="308"/>
  <c r="AN87" i="308"/>
  <c r="AN32" i="15" l="1"/>
  <c r="AN35" i="15" s="1"/>
  <c r="AN16" i="9" s="1"/>
  <c r="J86" i="23"/>
  <c r="AN27" i="161"/>
  <c r="AN95" i="202"/>
  <c r="J82" i="23"/>
  <c r="AO28" i="202"/>
  <c r="K28" i="23"/>
  <c r="AO44" i="15"/>
  <c r="J84" i="23" l="1"/>
  <c r="J85" i="23"/>
  <c r="AO25" i="15"/>
  <c r="K30" i="23"/>
  <c r="K33" i="23" s="1"/>
  <c r="K82" i="23" s="1"/>
  <c r="AO50" i="161"/>
  <c r="AO51" i="161" s="1"/>
  <c r="AO50" i="308"/>
  <c r="AO51" i="308" s="1"/>
  <c r="AO47" i="15"/>
  <c r="AN43" i="202"/>
  <c r="AN112" i="202"/>
  <c r="AN68" i="203" s="1"/>
  <c r="AO30" i="202"/>
  <c r="AO33" i="202" s="1"/>
  <c r="AP26" i="202" s="1"/>
  <c r="AO27" i="202"/>
  <c r="AO39" i="202" s="1"/>
  <c r="J47" i="23"/>
  <c r="K85" i="23" l="1"/>
  <c r="K84" i="23"/>
  <c r="AO87" i="161"/>
  <c r="AO71" i="161"/>
  <c r="J38" i="23"/>
  <c r="AO19" i="15"/>
  <c r="AO21" i="15" s="1"/>
  <c r="AO26" i="15" s="1"/>
  <c r="AO28" i="15" s="1"/>
  <c r="AO234" i="161"/>
  <c r="AO42" i="203"/>
  <c r="AO151" i="308"/>
  <c r="AO155" i="308" s="1"/>
  <c r="AO27" i="308" s="1"/>
  <c r="AO16" i="202"/>
  <c r="AO34" i="202" s="1"/>
  <c r="AO151" i="161"/>
  <c r="AO155" i="161" s="1"/>
  <c r="AP42" i="15"/>
  <c r="AO71" i="308"/>
  <c r="AO87" i="308"/>
  <c r="AO32" i="15" l="1"/>
  <c r="AO35" i="15" s="1"/>
  <c r="AO16" i="9" s="1"/>
  <c r="K86" i="23"/>
  <c r="AP28" i="202"/>
  <c r="AP44" i="15"/>
  <c r="L28" i="23"/>
  <c r="AO27" i="161"/>
  <c r="AO95" i="202"/>
  <c r="AO43" i="202" l="1"/>
  <c r="AO112" i="202"/>
  <c r="AO68" i="203" s="1"/>
  <c r="AP27" i="202"/>
  <c r="AP39" i="202" s="1"/>
  <c r="AP30" i="202"/>
  <c r="AP33" i="202" s="1"/>
  <c r="AQ26" i="202" s="1"/>
  <c r="K47" i="23"/>
  <c r="K38" i="23" s="1"/>
  <c r="AP50" i="161"/>
  <c r="AP51" i="161" s="1"/>
  <c r="L30" i="23"/>
  <c r="L33" i="23" s="1"/>
  <c r="L82" i="23" s="1"/>
  <c r="AP47" i="15"/>
  <c r="AP50" i="308"/>
  <c r="AP51" i="308" s="1"/>
  <c r="AP25" i="15"/>
  <c r="AP71" i="161" l="1"/>
  <c r="AP87" i="161"/>
  <c r="AP151" i="308"/>
  <c r="AP155" i="308" s="1"/>
  <c r="AP27" i="308" s="1"/>
  <c r="AQ42" i="15"/>
  <c r="AP42" i="203"/>
  <c r="AP16" i="202"/>
  <c r="AP34" i="202" s="1"/>
  <c r="AP151" i="161"/>
  <c r="AP155" i="161" s="1"/>
  <c r="AP19" i="15"/>
  <c r="AP21" i="15" s="1"/>
  <c r="AP26" i="15" s="1"/>
  <c r="AP28" i="15" s="1"/>
  <c r="AP234" i="161"/>
  <c r="L84" i="23"/>
  <c r="L85" i="23"/>
  <c r="AP71" i="308"/>
  <c r="AP87" i="308"/>
  <c r="AP32" i="15" l="1"/>
  <c r="AP35" i="15" s="1"/>
  <c r="AP16" i="9" s="1"/>
  <c r="L86" i="23"/>
  <c r="M28" i="23"/>
  <c r="AQ44" i="15"/>
  <c r="AQ28" i="202"/>
  <c r="AP27" i="161"/>
  <c r="AP95" i="202"/>
  <c r="AP112" i="202" l="1"/>
  <c r="AP68" i="203" s="1"/>
  <c r="AP43" i="202"/>
  <c r="O28" i="23"/>
  <c r="AQ30" i="202"/>
  <c r="AQ33" i="202" s="1"/>
  <c r="AQ27" i="202"/>
  <c r="AQ39" i="202" s="1"/>
  <c r="L47" i="23"/>
  <c r="L38" i="23" s="1"/>
  <c r="AQ50" i="161"/>
  <c r="AQ51" i="161" s="1"/>
  <c r="AQ50" i="308"/>
  <c r="AQ51" i="308" s="1"/>
  <c r="M30" i="23"/>
  <c r="AQ47" i="15"/>
  <c r="AQ25" i="15"/>
  <c r="AQ42" i="203" l="1"/>
  <c r="AQ151" i="308"/>
  <c r="AQ155" i="308" s="1"/>
  <c r="AQ27" i="308" s="1"/>
  <c r="AQ19" i="15"/>
  <c r="AQ21" i="15" s="1"/>
  <c r="AQ26" i="15" s="1"/>
  <c r="AQ28" i="15" s="1"/>
  <c r="AQ151" i="161"/>
  <c r="AQ155" i="161" s="1"/>
  <c r="AQ234" i="161"/>
  <c r="AQ16" i="202"/>
  <c r="AQ34" i="202" s="1"/>
  <c r="AQ71" i="161"/>
  <c r="AQ87" i="161"/>
  <c r="M33" i="23"/>
  <c r="O30" i="23"/>
  <c r="AQ71" i="308"/>
  <c r="AQ87" i="308"/>
  <c r="O33" i="23" l="1"/>
  <c r="M82" i="23"/>
  <c r="AQ32" i="15"/>
  <c r="AQ35" i="15" s="1"/>
  <c r="AQ16" i="9" s="1"/>
  <c r="M86" i="23"/>
  <c r="O86" i="23" s="1"/>
  <c r="AQ27" i="161"/>
  <c r="AQ95" i="202"/>
  <c r="AQ112" i="202" l="1"/>
  <c r="AQ68" i="203" s="1"/>
  <c r="AQ43" i="202"/>
  <c r="M47" i="23"/>
  <c r="M84" i="23"/>
  <c r="M85" i="23"/>
  <c r="O82" i="23"/>
  <c r="N82" i="23"/>
  <c r="N85" i="23" l="1"/>
  <c r="O85" i="23"/>
  <c r="N47" i="23"/>
  <c r="M38" i="23"/>
  <c r="O47" i="23"/>
  <c r="O84" i="23"/>
  <c r="N84" i="23"/>
  <c r="N83" i="23" s="1"/>
  <c r="N38" i="23" l="1"/>
  <c r="O38" i="23"/>
  <c r="AH367" i="189" l="1"/>
  <c r="AJ175" i="308" l="1"/>
  <c r="AJ175" i="161"/>
  <c r="AJ219" i="161" l="1"/>
  <c r="AJ178" i="161"/>
  <c r="AJ196" i="161" s="1"/>
  <c r="AJ219" i="308"/>
  <c r="AJ178" i="308"/>
  <c r="AJ196" i="308" s="1"/>
  <c r="AJ179" i="161" l="1"/>
  <c r="AJ185" i="161" s="1"/>
  <c r="AJ187" i="161" s="1"/>
  <c r="AJ191" i="161" s="1"/>
  <c r="AJ195" i="161" s="1"/>
  <c r="AJ197" i="161" s="1"/>
  <c r="AJ179" i="308"/>
  <c r="AJ180" i="161" l="1"/>
  <c r="AK175" i="161" s="1"/>
  <c r="AJ185" i="308"/>
  <c r="AJ187" i="308" s="1"/>
  <c r="AJ191" i="308" s="1"/>
  <c r="AJ195" i="308" s="1"/>
  <c r="AJ197" i="308" s="1"/>
  <c r="AJ180" i="308"/>
  <c r="AK175" i="308" s="1"/>
  <c r="AJ206" i="161"/>
  <c r="AJ215" i="161" s="1"/>
  <c r="AJ34" i="161"/>
  <c r="AJ21" i="9"/>
  <c r="AJ221" i="161" l="1"/>
  <c r="AJ227" i="161" s="1"/>
  <c r="AJ229" i="161" s="1"/>
  <c r="AJ35" i="161" s="1"/>
  <c r="AJ90" i="202" s="1"/>
  <c r="AJ107" i="202" s="1"/>
  <c r="AJ220" i="161"/>
  <c r="F51" i="23"/>
  <c r="AJ22" i="9"/>
  <c r="AJ283" i="308"/>
  <c r="AJ34" i="308"/>
  <c r="AJ206" i="308"/>
  <c r="AJ215" i="308" s="1"/>
  <c r="AJ36" i="161" l="1"/>
  <c r="AJ17" i="202" s="1"/>
  <c r="AJ18" i="202" s="1"/>
  <c r="AJ281" i="308"/>
  <c r="AJ52" i="9"/>
  <c r="AJ54" i="9" s="1"/>
  <c r="F55" i="23" s="1"/>
  <c r="F61" i="23"/>
  <c r="AJ222" i="161"/>
  <c r="AK219" i="161" s="1"/>
  <c r="AJ220" i="308"/>
  <c r="AJ221" i="308"/>
  <c r="AJ227" i="308" s="1"/>
  <c r="AJ229" i="308" s="1"/>
  <c r="AJ35" i="308" s="1"/>
  <c r="AJ36" i="308" s="1"/>
  <c r="AK19" i="308" s="1"/>
  <c r="AK40" i="308" s="1"/>
  <c r="AK48" i="308" s="1"/>
  <c r="AK53" i="308" s="1"/>
  <c r="AK73" i="308" s="1"/>
  <c r="AK75" i="308" s="1"/>
  <c r="AK78" i="308" s="1"/>
  <c r="AK80" i="308" s="1"/>
  <c r="F42" i="23"/>
  <c r="AJ58" i="202" l="1"/>
  <c r="AJ59" i="202" s="1"/>
  <c r="AJ62" i="202" s="1"/>
  <c r="AK19" i="161"/>
  <c r="AK40" i="161" s="1"/>
  <c r="AK48" i="161" s="1"/>
  <c r="AK53" i="161" s="1"/>
  <c r="AK73" i="161" s="1"/>
  <c r="AK75" i="161" s="1"/>
  <c r="AK78" i="161" s="1"/>
  <c r="AK80" i="161" s="1"/>
  <c r="AJ34" i="203"/>
  <c r="AJ41" i="203" s="1"/>
  <c r="AJ44" i="203" s="1"/>
  <c r="AK140" i="308"/>
  <c r="AK141" i="308" s="1"/>
  <c r="AK145" i="308" s="1"/>
  <c r="AK30" i="308" s="1"/>
  <c r="AK20" i="308"/>
  <c r="AK21" i="308" s="1"/>
  <c r="F59" i="23"/>
  <c r="AJ222" i="308"/>
  <c r="AK219" i="308" s="1"/>
  <c r="AJ285" i="308"/>
  <c r="F64" i="23"/>
  <c r="AJ58" i="203" l="1"/>
  <c r="F53" i="23"/>
  <c r="AK140" i="161"/>
  <c r="AK141" i="161" s="1"/>
  <c r="AK20" i="161"/>
  <c r="AK22" i="308"/>
  <c r="AK105" i="308" s="1"/>
  <c r="AK41" i="308"/>
  <c r="AK86" i="308" s="1"/>
  <c r="AK89" i="308" s="1"/>
  <c r="AJ292" i="308"/>
  <c r="AJ293" i="308" s="1"/>
  <c r="AK291" i="308" l="1"/>
  <c r="AJ295" i="308"/>
  <c r="AJ287" i="308" s="1"/>
  <c r="AK21" i="161"/>
  <c r="AK145" i="161"/>
  <c r="AK124" i="202"/>
  <c r="AK125" i="202" s="1"/>
  <c r="AJ67" i="9"/>
  <c r="AK41" i="161" l="1"/>
  <c r="AK86" i="161" s="1"/>
  <c r="AK89" i="161" s="1"/>
  <c r="AK22" i="161"/>
  <c r="AK30" i="161"/>
  <c r="AK17" i="9"/>
  <c r="AJ273" i="308"/>
  <c r="AJ274" i="308" s="1"/>
  <c r="AJ288" i="308"/>
  <c r="AJ11" i="267"/>
  <c r="AJ69" i="9"/>
  <c r="AJ13" i="267" l="1"/>
  <c r="AJ71" i="9"/>
  <c r="AJ70" i="202" s="1"/>
  <c r="AK20" i="9"/>
  <c r="AK162" i="308"/>
  <c r="G48" i="23"/>
  <c r="AK284" i="308"/>
  <c r="AK60" i="202"/>
  <c r="AK45" i="202"/>
  <c r="AK57" i="202"/>
  <c r="AK105" i="161"/>
  <c r="AK204" i="308" l="1"/>
  <c r="AK162" i="161"/>
  <c r="AK23" i="161"/>
  <c r="AK31" i="161" s="1"/>
  <c r="AK23" i="308"/>
  <c r="AK31" i="308" s="1"/>
  <c r="AK106" i="308" s="1"/>
  <c r="AK108" i="308" s="1"/>
  <c r="AK112" i="308" s="1"/>
  <c r="AK115" i="308" s="1"/>
  <c r="AK128" i="308" s="1"/>
  <c r="AJ103" i="202"/>
  <c r="AJ105" i="202" s="1"/>
  <c r="AJ108" i="202" s="1"/>
  <c r="AJ75" i="202"/>
  <c r="G39" i="23"/>
  <c r="AJ80" i="202" l="1"/>
  <c r="AJ86" i="202" s="1"/>
  <c r="AJ91" i="202" s="1"/>
  <c r="AJ59" i="203"/>
  <c r="AJ62" i="203" s="1"/>
  <c r="AK106" i="161"/>
  <c r="AK108" i="161" s="1"/>
  <c r="AK112" i="161" s="1"/>
  <c r="AK115" i="161" s="1"/>
  <c r="AK128" i="161" s="1"/>
  <c r="AJ14" i="203"/>
  <c r="AJ113" i="202"/>
  <c r="AK204" i="161"/>
  <c r="AK133" i="308"/>
  <c r="AK131" i="308"/>
  <c r="AK133" i="161" l="1"/>
  <c r="AK131" i="161"/>
  <c r="AK165" i="308"/>
  <c r="AK32" i="308"/>
  <c r="AJ32" i="203"/>
  <c r="AJ120" i="202"/>
  <c r="AK166" i="308"/>
  <c r="AK212" i="308" s="1"/>
  <c r="AK33" i="308"/>
  <c r="AJ21" i="203"/>
  <c r="AJ31" i="203"/>
  <c r="AJ36" i="203" s="1"/>
  <c r="AJ19" i="203"/>
  <c r="AJ20" i="203"/>
  <c r="AJ60" i="203"/>
  <c r="AJ96" i="202"/>
  <c r="AJ50" i="202"/>
  <c r="AJ53" i="202" s="1"/>
  <c r="AJ42" i="202" s="1"/>
  <c r="AJ44" i="202" s="1"/>
  <c r="AJ46" i="202" s="1"/>
  <c r="AJ20" i="202" l="1"/>
  <c r="AJ21" i="202" s="1"/>
  <c r="AK38" i="202"/>
  <c r="AK40" i="202" s="1"/>
  <c r="AK211" i="308"/>
  <c r="AK169" i="308"/>
  <c r="AJ126" i="202"/>
  <c r="AJ128" i="202" s="1"/>
  <c r="AJ63" i="202"/>
  <c r="AK32" i="161"/>
  <c r="AK165" i="161"/>
  <c r="AJ67" i="203"/>
  <c r="AJ70" i="203" s="1"/>
  <c r="AJ63" i="203"/>
  <c r="AJ48" i="203"/>
  <c r="AJ51" i="203" s="1"/>
  <c r="AJ37" i="203"/>
  <c r="AK166" i="161"/>
  <c r="AK33" i="161"/>
  <c r="AK61" i="202" s="1"/>
  <c r="AK84" i="202" l="1"/>
  <c r="AK211" i="161"/>
  <c r="AK233" i="161"/>
  <c r="AK169" i="161"/>
  <c r="AK176" i="308"/>
  <c r="AK178" i="308" s="1"/>
  <c r="AK196" i="308" s="1"/>
  <c r="AK85" i="202"/>
  <c r="AK17" i="203" s="1"/>
  <c r="AK33" i="203" s="1"/>
  <c r="AK212" i="161"/>
  <c r="AK48" i="187" l="1"/>
  <c r="AK51" i="187" s="1"/>
  <c r="AK53" i="187" s="1"/>
  <c r="AK56" i="187" s="1"/>
  <c r="AK86" i="187" s="1"/>
  <c r="AK58" i="187" s="1"/>
  <c r="AK59" i="187" s="1"/>
  <c r="AK67" i="187" s="1"/>
  <c r="AK176" i="161"/>
  <c r="AK178" i="161" s="1"/>
  <c r="AK196" i="161" s="1"/>
  <c r="AK179" i="308"/>
  <c r="AK185" i="308" s="1"/>
  <c r="AK187" i="308" s="1"/>
  <c r="AK191" i="308" s="1"/>
  <c r="AK195" i="308" s="1"/>
  <c r="AK197" i="308" s="1"/>
  <c r="AK16" i="203"/>
  <c r="AK106" i="202"/>
  <c r="AK179" i="161" l="1"/>
  <c r="AK185" i="161" s="1"/>
  <c r="AK187" i="161" s="1"/>
  <c r="AK191" i="161" s="1"/>
  <c r="AK195" i="161" s="1"/>
  <c r="AK197" i="161" s="1"/>
  <c r="AK180" i="308"/>
  <c r="AL175" i="308" s="1"/>
  <c r="AK34" i="308"/>
  <c r="AK206" i="308"/>
  <c r="AK215" i="308" s="1"/>
  <c r="AK180" i="161" l="1"/>
  <c r="AL175" i="161" s="1"/>
  <c r="AK220" i="308"/>
  <c r="AK221" i="308"/>
  <c r="AK227" i="308" s="1"/>
  <c r="AK229" i="308" s="1"/>
  <c r="AK35" i="308" s="1"/>
  <c r="AK36" i="308" s="1"/>
  <c r="AL19" i="308" s="1"/>
  <c r="AL40" i="308" s="1"/>
  <c r="AL48" i="308" s="1"/>
  <c r="AL53" i="308" s="1"/>
  <c r="AL73" i="308" s="1"/>
  <c r="AL75" i="308" s="1"/>
  <c r="AL78" i="308" s="1"/>
  <c r="AL80" i="308" s="1"/>
  <c r="AK34" i="161"/>
  <c r="AK206" i="161"/>
  <c r="AK215" i="161" s="1"/>
  <c r="AK21" i="9"/>
  <c r="AL20" i="308" l="1"/>
  <c r="AL21" i="308" s="1"/>
  <c r="AL140" i="308"/>
  <c r="AL141" i="308" s="1"/>
  <c r="AL145" i="308" s="1"/>
  <c r="AL30" i="308" s="1"/>
  <c r="G51" i="23"/>
  <c r="AK22" i="9"/>
  <c r="AK283" i="308"/>
  <c r="AK222" i="308"/>
  <c r="AL219" i="308" s="1"/>
  <c r="AK221" i="161"/>
  <c r="AK227" i="161" s="1"/>
  <c r="AK229" i="161" s="1"/>
  <c r="AK35" i="161" s="1"/>
  <c r="AK90" i="202" s="1"/>
  <c r="AK107" i="202" s="1"/>
  <c r="AK220" i="161"/>
  <c r="AK222" i="161" l="1"/>
  <c r="AL219" i="161" s="1"/>
  <c r="AK36" i="161"/>
  <c r="AK17" i="202" s="1"/>
  <c r="AK18" i="202" s="1"/>
  <c r="AK281" i="308"/>
  <c r="G61" i="23"/>
  <c r="G42" i="23"/>
  <c r="AL41" i="308"/>
  <c r="AL86" i="308" s="1"/>
  <c r="AL89" i="308" s="1"/>
  <c r="AL22" i="308"/>
  <c r="AL105" i="308" s="1"/>
  <c r="AK34" i="203" l="1"/>
  <c r="AK41" i="203" s="1"/>
  <c r="AK44" i="203" s="1"/>
  <c r="AK58" i="202"/>
  <c r="AK59" i="202" s="1"/>
  <c r="AK62" i="202" s="1"/>
  <c r="AL19" i="161"/>
  <c r="AL40" i="161" s="1"/>
  <c r="AL48" i="161" s="1"/>
  <c r="AL53" i="161" s="1"/>
  <c r="AL73" i="161" s="1"/>
  <c r="AL75" i="161" s="1"/>
  <c r="AL78" i="161" s="1"/>
  <c r="AL80" i="161" s="1"/>
  <c r="G64" i="23"/>
  <c r="AK285" i="308"/>
  <c r="AK58" i="203" l="1"/>
  <c r="AL140" i="161"/>
  <c r="AL141" i="161" s="1"/>
  <c r="AL20" i="161"/>
  <c r="AK292" i="308"/>
  <c r="AK293" i="308" s="1"/>
  <c r="G53" i="23"/>
  <c r="AL291" i="308" l="1"/>
  <c r="AK295" i="308"/>
  <c r="AK287" i="308" s="1"/>
  <c r="G55" i="23"/>
  <c r="AK67" i="9"/>
  <c r="AL21" i="161"/>
  <c r="AL145" i="161"/>
  <c r="AL124" i="202"/>
  <c r="AL125" i="202" s="1"/>
  <c r="AL22" i="161" l="1"/>
  <c r="AL41" i="161"/>
  <c r="AL86" i="161" s="1"/>
  <c r="AL89" i="161" s="1"/>
  <c r="AK11" i="267"/>
  <c r="AK69" i="9"/>
  <c r="G59" i="23"/>
  <c r="AK273" i="308"/>
  <c r="AK274" i="308" s="1"/>
  <c r="AK288" i="308"/>
  <c r="AK289" i="308" s="1"/>
  <c r="AL17" i="9"/>
  <c r="AL30" i="161"/>
  <c r="AK71" i="9" l="1"/>
  <c r="AK70" i="202" s="1"/>
  <c r="AK13" i="267"/>
  <c r="AL60" i="202"/>
  <c r="AL45" i="202"/>
  <c r="AL20" i="9"/>
  <c r="AL162" i="308"/>
  <c r="H48" i="23"/>
  <c r="AL284" i="308"/>
  <c r="AL105" i="161"/>
  <c r="AL57" i="202"/>
  <c r="AL204" i="308" l="1"/>
  <c r="AL162" i="161"/>
  <c r="AL23" i="308"/>
  <c r="AL31" i="308" s="1"/>
  <c r="AL106" i="308" s="1"/>
  <c r="AL108" i="308" s="1"/>
  <c r="AL112" i="308" s="1"/>
  <c r="AL115" i="308" s="1"/>
  <c r="AL128" i="308" s="1"/>
  <c r="AL23" i="161"/>
  <c r="AL31" i="161" s="1"/>
  <c r="AK103" i="202"/>
  <c r="AK105" i="202" s="1"/>
  <c r="AK108" i="202" s="1"/>
  <c r="AK75" i="202"/>
  <c r="H39" i="23"/>
  <c r="AK59" i="203" l="1"/>
  <c r="AK62" i="203" s="1"/>
  <c r="AK80" i="202"/>
  <c r="AK86" i="202" s="1"/>
  <c r="AK91" i="202" s="1"/>
  <c r="AL131" i="308"/>
  <c r="AL133" i="308"/>
  <c r="AK14" i="203"/>
  <c r="AK113" i="202"/>
  <c r="AL204" i="161"/>
  <c r="AL106" i="161"/>
  <c r="AL108" i="161" s="1"/>
  <c r="AL112" i="161" s="1"/>
  <c r="AL115" i="161" s="1"/>
  <c r="AL128" i="161" s="1"/>
  <c r="AL33" i="308" l="1"/>
  <c r="AL166" i="308"/>
  <c r="AL212" i="308" s="1"/>
  <c r="AL131" i="161"/>
  <c r="AL133" i="161"/>
  <c r="AL32" i="308"/>
  <c r="AL165" i="308"/>
  <c r="AK32" i="203"/>
  <c r="AK120" i="202"/>
  <c r="AK60" i="203"/>
  <c r="AK96" i="202"/>
  <c r="AK50" i="202"/>
  <c r="AK53" i="202" s="1"/>
  <c r="AK42" i="202" s="1"/>
  <c r="AK44" i="202" s="1"/>
  <c r="AK46" i="202" s="1"/>
  <c r="AK21" i="203"/>
  <c r="AK20" i="203"/>
  <c r="AK19" i="203"/>
  <c r="AK31" i="203"/>
  <c r="AK36" i="203" s="1"/>
  <c r="AK126" i="202" l="1"/>
  <c r="AK128" i="202" s="1"/>
  <c r="AK63" i="202"/>
  <c r="AL33" i="161"/>
  <c r="AL61" i="202" s="1"/>
  <c r="AL166" i="161"/>
  <c r="AK20" i="202"/>
  <c r="AK21" i="202" s="1"/>
  <c r="AL38" i="202"/>
  <c r="AL40" i="202" s="1"/>
  <c r="AK48" i="203"/>
  <c r="AK51" i="203" s="1"/>
  <c r="AK37" i="203"/>
  <c r="AL32" i="161"/>
  <c r="AL165" i="161"/>
  <c r="AL211" i="308"/>
  <c r="AL169" i="308"/>
  <c r="AK67" i="203"/>
  <c r="AK70" i="203" s="1"/>
  <c r="AK63" i="203"/>
  <c r="AL176" i="308" l="1"/>
  <c r="AL178" i="308" s="1"/>
  <c r="AL196" i="308" s="1"/>
  <c r="AL212" i="161"/>
  <c r="AL85" i="202"/>
  <c r="AL17" i="203" s="1"/>
  <c r="AL33" i="203" s="1"/>
  <c r="AL233" i="161"/>
  <c r="AL84" i="202"/>
  <c r="AL211" i="161"/>
  <c r="AL169" i="161"/>
  <c r="AL16" i="203" l="1"/>
  <c r="AL106" i="202"/>
  <c r="AL179" i="308"/>
  <c r="AL185" i="308" s="1"/>
  <c r="AL187" i="308" s="1"/>
  <c r="AL191" i="308" s="1"/>
  <c r="AL195" i="308" s="1"/>
  <c r="AL197" i="308" s="1"/>
  <c r="AL48" i="187"/>
  <c r="AL51" i="187" s="1"/>
  <c r="AL53" i="187" s="1"/>
  <c r="AL56" i="187" s="1"/>
  <c r="AL86" i="187" s="1"/>
  <c r="AL58" i="187" s="1"/>
  <c r="AL59" i="187" s="1"/>
  <c r="AL67" i="187" s="1"/>
  <c r="AL176" i="161"/>
  <c r="AL178" i="161" s="1"/>
  <c r="AL196" i="161" l="1"/>
  <c r="AL179" i="161"/>
  <c r="AL185" i="161" s="1"/>
  <c r="AL187" i="161" s="1"/>
  <c r="AL191" i="161" s="1"/>
  <c r="AL195" i="161" s="1"/>
  <c r="AL180" i="308"/>
  <c r="AM175" i="308" s="1"/>
  <c r="AL34" i="308"/>
  <c r="AL206" i="308"/>
  <c r="AL215" i="308" s="1"/>
  <c r="AL180" i="161" l="1"/>
  <c r="AM175" i="161" s="1"/>
  <c r="AL197" i="161"/>
  <c r="AL220" i="308"/>
  <c r="AL221" i="308"/>
  <c r="AL227" i="308" s="1"/>
  <c r="AL229" i="308" s="1"/>
  <c r="AL35" i="308" s="1"/>
  <c r="AL36" i="308" s="1"/>
  <c r="AM19" i="308" s="1"/>
  <c r="AM40" i="308" s="1"/>
  <c r="AM48" i="308" s="1"/>
  <c r="AM53" i="308" s="1"/>
  <c r="AM73" i="308" s="1"/>
  <c r="AM75" i="308" s="1"/>
  <c r="AM78" i="308" s="1"/>
  <c r="AM80" i="308" s="1"/>
  <c r="AL34" i="161" l="1"/>
  <c r="AL206" i="161"/>
  <c r="AL215" i="161" s="1"/>
  <c r="AL21" i="9"/>
  <c r="AM140" i="308"/>
  <c r="AM141" i="308" s="1"/>
  <c r="AM145" i="308" s="1"/>
  <c r="AM30" i="308" s="1"/>
  <c r="AM20" i="308"/>
  <c r="AM21" i="308" s="1"/>
  <c r="AL222" i="308"/>
  <c r="AM219" i="308" s="1"/>
  <c r="AL283" i="308" l="1"/>
  <c r="H51" i="23"/>
  <c r="H42" i="23" s="1"/>
  <c r="AL22" i="9"/>
  <c r="AL220" i="161"/>
  <c r="AL221" i="161"/>
  <c r="AL227" i="161" s="1"/>
  <c r="AL229" i="161" s="1"/>
  <c r="AL35" i="161" s="1"/>
  <c r="AL90" i="202" s="1"/>
  <c r="AL107" i="202" s="1"/>
  <c r="AM41" i="308"/>
  <c r="AM86" i="308" s="1"/>
  <c r="AM89" i="308" s="1"/>
  <c r="AM22" i="308"/>
  <c r="AM105" i="308" s="1"/>
  <c r="AL222" i="161" l="1"/>
  <c r="AM219" i="161" s="1"/>
  <c r="AL36" i="161"/>
  <c r="H61" i="23"/>
  <c r="H64" i="23" s="1"/>
  <c r="H53" i="23" s="1"/>
  <c r="AL281" i="308"/>
  <c r="AL285" i="308" s="1"/>
  <c r="AL292" i="308" s="1"/>
  <c r="AL293" i="308" s="1"/>
  <c r="AM19" i="161" l="1"/>
  <c r="AM40" i="161" s="1"/>
  <c r="AM48" i="161" s="1"/>
  <c r="AM53" i="161" s="1"/>
  <c r="AM73" i="161" s="1"/>
  <c r="AM75" i="161" s="1"/>
  <c r="AM78" i="161" s="1"/>
  <c r="AM80" i="161" s="1"/>
  <c r="AM20" i="161" s="1"/>
  <c r="AL17" i="202"/>
  <c r="AL18" i="202" s="1"/>
  <c r="AL34" i="203"/>
  <c r="AL41" i="203" s="1"/>
  <c r="AL58" i="202"/>
  <c r="AL59" i="202" s="1"/>
  <c r="AL62" i="202" s="1"/>
  <c r="AL67" i="9"/>
  <c r="H55" i="23"/>
  <c r="AM291" i="308"/>
  <c r="AL295" i="308"/>
  <c r="AL287" i="308" s="1"/>
  <c r="AL44" i="203" l="1"/>
  <c r="AL58" i="203"/>
  <c r="AM140" i="161"/>
  <c r="AM141" i="161" s="1"/>
  <c r="AM145" i="161" s="1"/>
  <c r="AL273" i="308"/>
  <c r="AL274" i="308" s="1"/>
  <c r="AL288" i="308"/>
  <c r="AL289" i="308" s="1"/>
  <c r="H59" i="23"/>
  <c r="AM21" i="161"/>
  <c r="AL69" i="9"/>
  <c r="AL11" i="267"/>
  <c r="AM124" i="202" l="1"/>
  <c r="AM125" i="202" s="1"/>
  <c r="AL71" i="9"/>
  <c r="AL70" i="202" s="1"/>
  <c r="AL13" i="267"/>
  <c r="AM30" i="161"/>
  <c r="AM17" i="9"/>
  <c r="AM22" i="161"/>
  <c r="AM41" i="161"/>
  <c r="AM86" i="161" s="1"/>
  <c r="AM89" i="161" s="1"/>
  <c r="AM105" i="161" l="1"/>
  <c r="AM57" i="202"/>
  <c r="I48" i="23"/>
  <c r="AM20" i="9"/>
  <c r="AM162" i="308"/>
  <c r="AM284" i="308"/>
  <c r="AM60" i="202"/>
  <c r="AM45" i="202"/>
  <c r="AL103" i="202"/>
  <c r="AL105" i="202" s="1"/>
  <c r="AL108" i="202" s="1"/>
  <c r="AL75" i="202"/>
  <c r="AM162" i="161" l="1"/>
  <c r="AM23" i="161"/>
  <c r="AM31" i="161" s="1"/>
  <c r="AM23" i="308"/>
  <c r="AM31" i="308" s="1"/>
  <c r="AM106" i="308" s="1"/>
  <c r="AM108" i="308" s="1"/>
  <c r="AM112" i="308" s="1"/>
  <c r="AM115" i="308" s="1"/>
  <c r="AM128" i="308" s="1"/>
  <c r="I39" i="23"/>
  <c r="AL59" i="203"/>
  <c r="AL62" i="203" s="1"/>
  <c r="AL80" i="202"/>
  <c r="AL86" i="202" s="1"/>
  <c r="AL91" i="202" s="1"/>
  <c r="AL113" i="202"/>
  <c r="AL14" i="203"/>
  <c r="AM204" i="308"/>
  <c r="AL20" i="203" l="1"/>
  <c r="AL19" i="203"/>
  <c r="AL21" i="203"/>
  <c r="AL31" i="203"/>
  <c r="AL36" i="203" s="1"/>
  <c r="AM133" i="308"/>
  <c r="AM131" i="308"/>
  <c r="AL32" i="203"/>
  <c r="AL120" i="202"/>
  <c r="AM106" i="161"/>
  <c r="AM108" i="161" s="1"/>
  <c r="AM112" i="161" s="1"/>
  <c r="AM115" i="161" s="1"/>
  <c r="AM128" i="161" s="1"/>
  <c r="AL96" i="202"/>
  <c r="AL50" i="202"/>
  <c r="AL53" i="202" s="1"/>
  <c r="AL42" i="202" s="1"/>
  <c r="AL44" i="202" s="1"/>
  <c r="AL46" i="202" s="1"/>
  <c r="AL60" i="203"/>
  <c r="AM204" i="161"/>
  <c r="AL20" i="202" l="1"/>
  <c r="AL21" i="202" s="1"/>
  <c r="AM38" i="202"/>
  <c r="AM40" i="202" s="1"/>
  <c r="AL126" i="202"/>
  <c r="AL128" i="202" s="1"/>
  <c r="AL63" i="202"/>
  <c r="AL37" i="203"/>
  <c r="AL48" i="203"/>
  <c r="AL51" i="203" s="1"/>
  <c r="AM165" i="308"/>
  <c r="AM32" i="308"/>
  <c r="AL67" i="203"/>
  <c r="AL70" i="203" s="1"/>
  <c r="AL63" i="203"/>
  <c r="AM133" i="161"/>
  <c r="AM131" i="161"/>
  <c r="AM33" i="308"/>
  <c r="AM166" i="308"/>
  <c r="AM212" i="308" s="1"/>
  <c r="AM165" i="161" l="1"/>
  <c r="AM32" i="161"/>
  <c r="AM33" i="161"/>
  <c r="AM61" i="202" s="1"/>
  <c r="AM166" i="161"/>
  <c r="AM211" i="308"/>
  <c r="AM169" i="308"/>
  <c r="AM85" i="202" l="1"/>
  <c r="AM17" i="203" s="1"/>
  <c r="AM33" i="203" s="1"/>
  <c r="AM212" i="161"/>
  <c r="AM233" i="161"/>
  <c r="AM211" i="161"/>
  <c r="AM84" i="202"/>
  <c r="AM169" i="161"/>
  <c r="AM176" i="308"/>
  <c r="AM178" i="308" s="1"/>
  <c r="AM196" i="308" s="1"/>
  <c r="AM176" i="161" l="1"/>
  <c r="AM178" i="161" s="1"/>
  <c r="AM196" i="161" s="1"/>
  <c r="AM48" i="187"/>
  <c r="AM51" i="187" s="1"/>
  <c r="AM53" i="187" s="1"/>
  <c r="AM56" i="187" s="1"/>
  <c r="AM86" i="187" s="1"/>
  <c r="AM58" i="187" s="1"/>
  <c r="AM59" i="187" s="1"/>
  <c r="AM67" i="187" s="1"/>
  <c r="AM179" i="308"/>
  <c r="AM185" i="308" s="1"/>
  <c r="AM187" i="308" s="1"/>
  <c r="AM191" i="308" s="1"/>
  <c r="AM195" i="308" s="1"/>
  <c r="AM197" i="308" s="1"/>
  <c r="AM16" i="203"/>
  <c r="AM106" i="202"/>
  <c r="AM34" i="308" l="1"/>
  <c r="AM206" i="308"/>
  <c r="AM215" i="308" s="1"/>
  <c r="AM180" i="308"/>
  <c r="AN175" i="308" s="1"/>
  <c r="AM179" i="161"/>
  <c r="AM185" i="161" s="1"/>
  <c r="AM187" i="161" s="1"/>
  <c r="AM191" i="161" s="1"/>
  <c r="AM195" i="161" s="1"/>
  <c r="AM197" i="161" s="1"/>
  <c r="AM220" i="308" l="1"/>
  <c r="AM221" i="308"/>
  <c r="AM227" i="308" s="1"/>
  <c r="AM229" i="308" s="1"/>
  <c r="AM35" i="308" s="1"/>
  <c r="AM36" i="308" s="1"/>
  <c r="AN19" i="308" s="1"/>
  <c r="AN40" i="308" s="1"/>
  <c r="AN48" i="308" s="1"/>
  <c r="AN53" i="308" s="1"/>
  <c r="AN73" i="308" s="1"/>
  <c r="AN75" i="308" s="1"/>
  <c r="AN78" i="308" s="1"/>
  <c r="AN80" i="308" s="1"/>
  <c r="AM34" i="161"/>
  <c r="AM21" i="9"/>
  <c r="AM206" i="161"/>
  <c r="AM215" i="161" s="1"/>
  <c r="AM180" i="161"/>
  <c r="AN175" i="161" s="1"/>
  <c r="AN20" i="308" l="1"/>
  <c r="AN21" i="308" s="1"/>
  <c r="AN140" i="308"/>
  <c r="AN141" i="308" s="1"/>
  <c r="AN145" i="308" s="1"/>
  <c r="AN30" i="308" s="1"/>
  <c r="AM220" i="161"/>
  <c r="AM221" i="161"/>
  <c r="AM227" i="161" s="1"/>
  <c r="AM229" i="161" s="1"/>
  <c r="AM35" i="161" s="1"/>
  <c r="AM90" i="202" s="1"/>
  <c r="AM107" i="202" s="1"/>
  <c r="AM222" i="308"/>
  <c r="AN219" i="308" s="1"/>
  <c r="I51" i="23"/>
  <c r="AM22" i="9"/>
  <c r="AM283" i="308"/>
  <c r="AM222" i="161" l="1"/>
  <c r="AN219" i="161" s="1"/>
  <c r="I42" i="23"/>
  <c r="AN41" i="308"/>
  <c r="AN86" i="308" s="1"/>
  <c r="AN89" i="308" s="1"/>
  <c r="AN22" i="308"/>
  <c r="AN105" i="308" s="1"/>
  <c r="AM281" i="308"/>
  <c r="I61" i="23"/>
  <c r="AM36" i="161"/>
  <c r="AM285" i="308" l="1"/>
  <c r="AM58" i="202"/>
  <c r="AM59" i="202" s="1"/>
  <c r="AM62" i="202" s="1"/>
  <c r="AM17" i="202"/>
  <c r="AM18" i="202" s="1"/>
  <c r="AN19" i="161"/>
  <c r="AM34" i="203"/>
  <c r="AM41" i="203" s="1"/>
  <c r="I64" i="23"/>
  <c r="I53" i="23" l="1"/>
  <c r="AM58" i="203"/>
  <c r="AM44" i="203"/>
  <c r="AN40" i="161"/>
  <c r="AN48" i="161" s="1"/>
  <c r="AN53" i="161" s="1"/>
  <c r="AN73" i="161" s="1"/>
  <c r="AN75" i="161" s="1"/>
  <c r="AN78" i="161" s="1"/>
  <c r="AN80" i="161" s="1"/>
  <c r="AM292" i="308"/>
  <c r="AM293" i="308" s="1"/>
  <c r="AN140" i="161" l="1"/>
  <c r="AN141" i="161" s="1"/>
  <c r="AN20" i="161"/>
  <c r="AN291" i="308"/>
  <c r="AM295" i="308"/>
  <c r="AM287" i="308" s="1"/>
  <c r="I55" i="23"/>
  <c r="AM67" i="9"/>
  <c r="AM273" i="308" l="1"/>
  <c r="AM274" i="308" s="1"/>
  <c r="AM288" i="308"/>
  <c r="AM289" i="308" s="1"/>
  <c r="AM11" i="267"/>
  <c r="AM69" i="9"/>
  <c r="I59" i="23"/>
  <c r="AN21" i="161"/>
  <c r="AN124" i="202"/>
  <c r="AN125" i="202" s="1"/>
  <c r="AN145" i="161"/>
  <c r="AN17" i="9" l="1"/>
  <c r="AN30" i="161"/>
  <c r="AM71" i="9"/>
  <c r="AM70" i="202" s="1"/>
  <c r="AM13" i="267"/>
  <c r="AN22" i="161"/>
  <c r="AN41" i="161"/>
  <c r="AN86" i="161" s="1"/>
  <c r="AN89" i="161" s="1"/>
  <c r="AM75" i="202" l="1"/>
  <c r="AM103" i="202"/>
  <c r="AM105" i="202" s="1"/>
  <c r="AM108" i="202" s="1"/>
  <c r="AN60" i="202"/>
  <c r="AN45" i="202"/>
  <c r="AN105" i="161"/>
  <c r="AN57" i="202"/>
  <c r="J48" i="23"/>
  <c r="AN20" i="9"/>
  <c r="AN162" i="308"/>
  <c r="AN284" i="308"/>
  <c r="AN162" i="161" l="1"/>
  <c r="AN23" i="161"/>
  <c r="AN31" i="161" s="1"/>
  <c r="AN23" i="308"/>
  <c r="AN31" i="308" s="1"/>
  <c r="AN106" i="308" s="1"/>
  <c r="AN108" i="308" s="1"/>
  <c r="AN112" i="308" s="1"/>
  <c r="AN115" i="308" s="1"/>
  <c r="AN128" i="308" s="1"/>
  <c r="J39" i="23"/>
  <c r="AM113" i="202"/>
  <c r="AM14" i="203"/>
  <c r="AN204" i="308"/>
  <c r="AM59" i="203"/>
  <c r="AM62" i="203" s="1"/>
  <c r="AM80" i="202"/>
  <c r="AM86" i="202" s="1"/>
  <c r="AM91" i="202" s="1"/>
  <c r="AM32" i="203" l="1"/>
  <c r="AM120" i="202"/>
  <c r="AN131" i="308"/>
  <c r="AN133" i="308"/>
  <c r="AN106" i="161"/>
  <c r="AN108" i="161" s="1"/>
  <c r="AN112" i="161" s="1"/>
  <c r="AN115" i="161" s="1"/>
  <c r="AN128" i="161" s="1"/>
  <c r="AM96" i="202"/>
  <c r="AM50" i="202"/>
  <c r="AM53" i="202" s="1"/>
  <c r="AM42" i="202" s="1"/>
  <c r="AM44" i="202" s="1"/>
  <c r="AM46" i="202" s="1"/>
  <c r="AM60" i="203"/>
  <c r="AM21" i="203"/>
  <c r="AM31" i="203"/>
  <c r="AM36" i="203" s="1"/>
  <c r="AM19" i="203"/>
  <c r="AM20" i="203"/>
  <c r="AN204" i="161"/>
  <c r="AN38" i="202" l="1"/>
  <c r="AN40" i="202" s="1"/>
  <c r="AM20" i="202"/>
  <c r="AM21" i="202" s="1"/>
  <c r="AN33" i="308"/>
  <c r="AN166" i="308"/>
  <c r="AN212" i="308" s="1"/>
  <c r="AN32" i="308"/>
  <c r="AN165" i="308"/>
  <c r="AM126" i="202"/>
  <c r="AM128" i="202" s="1"/>
  <c r="AM63" i="202"/>
  <c r="AM67" i="203"/>
  <c r="AM70" i="203" s="1"/>
  <c r="AM63" i="203"/>
  <c r="AN133" i="161"/>
  <c r="AN131" i="161"/>
  <c r="AM37" i="203"/>
  <c r="AM48" i="203"/>
  <c r="AM51" i="203" s="1"/>
  <c r="AN165" i="161" l="1"/>
  <c r="AN32" i="161"/>
  <c r="AN166" i="161"/>
  <c r="AN33" i="161"/>
  <c r="AN61" i="202" s="1"/>
  <c r="AN211" i="308"/>
  <c r="AN169" i="308"/>
  <c r="AN85" i="202" l="1"/>
  <c r="AN17" i="203" s="1"/>
  <c r="AN33" i="203" s="1"/>
  <c r="AN212" i="161"/>
  <c r="AN176" i="308"/>
  <c r="AN178" i="308" s="1"/>
  <c r="AN196" i="308" s="1"/>
  <c r="AN211" i="161"/>
  <c r="AN84" i="202"/>
  <c r="AN233" i="161"/>
  <c r="AN169" i="161"/>
  <c r="AN106" i="202" l="1"/>
  <c r="AN16" i="203"/>
  <c r="AN48" i="187"/>
  <c r="AN51" i="187" s="1"/>
  <c r="AN53" i="187" s="1"/>
  <c r="AN56" i="187" s="1"/>
  <c r="AN86" i="187" s="1"/>
  <c r="AN58" i="187" s="1"/>
  <c r="AN59" i="187" s="1"/>
  <c r="AN67" i="187" s="1"/>
  <c r="AN176" i="161"/>
  <c r="AN178" i="161" s="1"/>
  <c r="AN196" i="161" s="1"/>
  <c r="AN179" i="308"/>
  <c r="AN185" i="308" s="1"/>
  <c r="AN187" i="308" s="1"/>
  <c r="AN191" i="308" s="1"/>
  <c r="AN195" i="308" s="1"/>
  <c r="AN197" i="308" s="1"/>
  <c r="AN206" i="308" l="1"/>
  <c r="AN215" i="308" s="1"/>
  <c r="AN34" i="308"/>
  <c r="AN179" i="161"/>
  <c r="AN185" i="161" s="1"/>
  <c r="AN187" i="161" s="1"/>
  <c r="AN191" i="161" s="1"/>
  <c r="AN195" i="161" s="1"/>
  <c r="AN197" i="161" s="1"/>
  <c r="AN180" i="308"/>
  <c r="AO175" i="308" s="1"/>
  <c r="AN21" i="9" l="1"/>
  <c r="AN34" i="161"/>
  <c r="AN206" i="161"/>
  <c r="AN215" i="161" s="1"/>
  <c r="AN180" i="161"/>
  <c r="AO175" i="161" s="1"/>
  <c r="AN221" i="308"/>
  <c r="AN227" i="308" s="1"/>
  <c r="AN229" i="308" s="1"/>
  <c r="AN35" i="308" s="1"/>
  <c r="AN36" i="308" s="1"/>
  <c r="AO19" i="308" s="1"/>
  <c r="AO40" i="308" s="1"/>
  <c r="AO48" i="308" s="1"/>
  <c r="AO53" i="308" s="1"/>
  <c r="AO73" i="308" s="1"/>
  <c r="AO75" i="308" s="1"/>
  <c r="AO78" i="308" s="1"/>
  <c r="AO80" i="308" s="1"/>
  <c r="AN220" i="308"/>
  <c r="AN222" i="308" l="1"/>
  <c r="AO219" i="308" s="1"/>
  <c r="AN221" i="161"/>
  <c r="AN227" i="161" s="1"/>
  <c r="AN229" i="161" s="1"/>
  <c r="AN35" i="161" s="1"/>
  <c r="AN90" i="202" s="1"/>
  <c r="AN107" i="202" s="1"/>
  <c r="AN220" i="161"/>
  <c r="AO140" i="308"/>
  <c r="AO141" i="308" s="1"/>
  <c r="AO145" i="308" s="1"/>
  <c r="AO30" i="308" s="1"/>
  <c r="AO20" i="308"/>
  <c r="AO21" i="308" s="1"/>
  <c r="J51" i="23"/>
  <c r="AN22" i="9"/>
  <c r="AN283" i="308"/>
  <c r="AN36" i="161" l="1"/>
  <c r="AN34" i="203" s="1"/>
  <c r="AN41" i="203" s="1"/>
  <c r="AN222" i="161"/>
  <c r="AO219" i="161" s="1"/>
  <c r="J42" i="23"/>
  <c r="AO22" i="308"/>
  <c r="AO105" i="308" s="1"/>
  <c r="AO41" i="308"/>
  <c r="AO86" i="308" s="1"/>
  <c r="AO89" i="308" s="1"/>
  <c r="J61" i="23"/>
  <c r="AN281" i="308"/>
  <c r="AN58" i="202" l="1"/>
  <c r="AN59" i="202" s="1"/>
  <c r="AN62" i="202" s="1"/>
  <c r="AO19" i="161"/>
  <c r="AO40" i="161" s="1"/>
  <c r="AO48" i="161" s="1"/>
  <c r="AO53" i="161" s="1"/>
  <c r="AO73" i="161" s="1"/>
  <c r="AO75" i="161" s="1"/>
  <c r="AO78" i="161" s="1"/>
  <c r="AO80" i="161" s="1"/>
  <c r="AN17" i="202"/>
  <c r="AN18" i="202" s="1"/>
  <c r="AN285" i="308"/>
  <c r="J64" i="23"/>
  <c r="AN58" i="203"/>
  <c r="AN44" i="203"/>
  <c r="J53" i="23" l="1"/>
  <c r="AO20" i="161"/>
  <c r="AO140" i="161"/>
  <c r="AO141" i="161" s="1"/>
  <c r="AN292" i="308"/>
  <c r="AN293" i="308" s="1"/>
  <c r="AO21" i="161" l="1"/>
  <c r="AO291" i="308"/>
  <c r="AN295" i="308"/>
  <c r="AN287" i="308" s="1"/>
  <c r="AO124" i="202"/>
  <c r="AO125" i="202" s="1"/>
  <c r="AO145" i="161"/>
  <c r="AN67" i="9"/>
  <c r="J55" i="23"/>
  <c r="J59" i="23" l="1"/>
  <c r="AN273" i="308"/>
  <c r="AN274" i="308" s="1"/>
  <c r="AN288" i="308"/>
  <c r="AN289" i="308" s="1"/>
  <c r="AN69" i="9"/>
  <c r="AN11" i="267"/>
  <c r="AO30" i="161"/>
  <c r="AO17" i="9"/>
  <c r="AO22" i="161"/>
  <c r="AO41" i="161"/>
  <c r="AO86" i="161" s="1"/>
  <c r="AO89" i="161" s="1"/>
  <c r="AO105" i="161" l="1"/>
  <c r="AO57" i="202"/>
  <c r="K48" i="23"/>
  <c r="AO162" i="308"/>
  <c r="AO20" i="9"/>
  <c r="AO284" i="308"/>
  <c r="AN71" i="9"/>
  <c r="AN70" i="202" s="1"/>
  <c r="AN13" i="267"/>
  <c r="AO60" i="202"/>
  <c r="AO45" i="202"/>
  <c r="AO162" i="161" l="1"/>
  <c r="AO23" i="308"/>
  <c r="AO31" i="308" s="1"/>
  <c r="AO106" i="308" s="1"/>
  <c r="AO108" i="308" s="1"/>
  <c r="AO112" i="308" s="1"/>
  <c r="AO115" i="308" s="1"/>
  <c r="AO128" i="308" s="1"/>
  <c r="AO23" i="161"/>
  <c r="AO31" i="161" s="1"/>
  <c r="AO204" i="308"/>
  <c r="AN103" i="202"/>
  <c r="AN105" i="202" s="1"/>
  <c r="AN108" i="202" s="1"/>
  <c r="AN75" i="202"/>
  <c r="K39" i="23"/>
  <c r="AN59" i="203" l="1"/>
  <c r="AN62" i="203" s="1"/>
  <c r="AN80" i="202"/>
  <c r="AN86" i="202" s="1"/>
  <c r="AN91" i="202" s="1"/>
  <c r="AN14" i="203"/>
  <c r="AN113" i="202"/>
  <c r="AO106" i="161"/>
  <c r="AO108" i="161" s="1"/>
  <c r="AO112" i="161" s="1"/>
  <c r="AO115" i="161" s="1"/>
  <c r="AO128" i="161" s="1"/>
  <c r="AO131" i="308"/>
  <c r="AO133" i="308"/>
  <c r="AO204" i="161"/>
  <c r="AO33" i="308" l="1"/>
  <c r="AO166" i="308"/>
  <c r="AO212" i="308" s="1"/>
  <c r="AN120" i="202"/>
  <c r="AN32" i="203"/>
  <c r="AO165" i="308"/>
  <c r="AO32" i="308"/>
  <c r="AN31" i="203"/>
  <c r="AN36" i="203" s="1"/>
  <c r="AN19" i="203"/>
  <c r="AN21" i="203"/>
  <c r="AN20" i="203"/>
  <c r="AN50" i="202"/>
  <c r="AN53" i="202" s="1"/>
  <c r="AN42" i="202" s="1"/>
  <c r="AN44" i="202" s="1"/>
  <c r="AN46" i="202" s="1"/>
  <c r="AN60" i="203"/>
  <c r="AN96" i="202"/>
  <c r="AO131" i="161"/>
  <c r="AO133" i="161"/>
  <c r="AN67" i="203" l="1"/>
  <c r="AN70" i="203" s="1"/>
  <c r="AN63" i="203"/>
  <c r="AN48" i="203"/>
  <c r="AN51" i="203" s="1"/>
  <c r="AN37" i="203"/>
  <c r="AO33" i="161"/>
  <c r="AO61" i="202" s="1"/>
  <c r="AO166" i="161"/>
  <c r="AN20" i="202"/>
  <c r="AN21" i="202" s="1"/>
  <c r="AO38" i="202"/>
  <c r="AO40" i="202" s="1"/>
  <c r="AN126" i="202"/>
  <c r="AN128" i="202" s="1"/>
  <c r="AN63" i="202"/>
  <c r="AO165" i="161"/>
  <c r="AO32" i="161"/>
  <c r="AO211" i="308"/>
  <c r="AO169" i="308"/>
  <c r="AO84" i="202" l="1"/>
  <c r="AO233" i="161"/>
  <c r="AO211" i="161"/>
  <c r="AO169" i="161"/>
  <c r="AO176" i="308"/>
  <c r="AO178" i="308" s="1"/>
  <c r="AO196" i="308" s="1"/>
  <c r="AO212" i="161"/>
  <c r="AO85" i="202"/>
  <c r="AO17" i="203" s="1"/>
  <c r="AO33" i="203" s="1"/>
  <c r="AO179" i="308" l="1"/>
  <c r="AO185" i="308" s="1"/>
  <c r="AO187" i="308" s="1"/>
  <c r="AO191" i="308" s="1"/>
  <c r="AO195" i="308" s="1"/>
  <c r="AO197" i="308" s="1"/>
  <c r="AO106" i="202"/>
  <c r="AO16" i="203"/>
  <c r="AO48" i="187"/>
  <c r="AO51" i="187" s="1"/>
  <c r="AO53" i="187" s="1"/>
  <c r="AO56" i="187" s="1"/>
  <c r="AO86" i="187" s="1"/>
  <c r="AO58" i="187" s="1"/>
  <c r="AO59" i="187" s="1"/>
  <c r="AO67" i="187" s="1"/>
  <c r="AO176" i="161"/>
  <c r="AO178" i="161" s="1"/>
  <c r="AO196" i="161" s="1"/>
  <c r="AO179" i="161" l="1"/>
  <c r="AO185" i="161" s="1"/>
  <c r="AO187" i="161" s="1"/>
  <c r="AO191" i="161" s="1"/>
  <c r="AO195" i="161" s="1"/>
  <c r="AO197" i="161" s="1"/>
  <c r="AO180" i="308"/>
  <c r="AP175" i="308" s="1"/>
  <c r="AO34" i="308"/>
  <c r="AO206" i="308"/>
  <c r="AO215" i="308" s="1"/>
  <c r="AO180" i="161" l="1"/>
  <c r="AP175" i="161" s="1"/>
  <c r="AO220" i="308"/>
  <c r="AO221" i="308"/>
  <c r="AO227" i="308" s="1"/>
  <c r="AO229" i="308" s="1"/>
  <c r="AO35" i="308" s="1"/>
  <c r="AO36" i="308" s="1"/>
  <c r="AP19" i="308" s="1"/>
  <c r="AP40" i="308" s="1"/>
  <c r="AP48" i="308" s="1"/>
  <c r="AP53" i="308" s="1"/>
  <c r="AP73" i="308" s="1"/>
  <c r="AP75" i="308" s="1"/>
  <c r="AP78" i="308" s="1"/>
  <c r="AP80" i="308" s="1"/>
  <c r="AO21" i="9"/>
  <c r="AO34" i="161"/>
  <c r="AO206" i="161"/>
  <c r="AO215" i="161" s="1"/>
  <c r="AO222" i="308" l="1"/>
  <c r="AP219" i="308" s="1"/>
  <c r="AP140" i="308"/>
  <c r="AP141" i="308" s="1"/>
  <c r="AP145" i="308" s="1"/>
  <c r="AP30" i="308" s="1"/>
  <c r="AP20" i="308"/>
  <c r="AP21" i="308" s="1"/>
  <c r="AO220" i="161"/>
  <c r="AO221" i="161"/>
  <c r="AO227" i="161" s="1"/>
  <c r="AO229" i="161" s="1"/>
  <c r="AO35" i="161" s="1"/>
  <c r="AO90" i="202" s="1"/>
  <c r="AO107" i="202" s="1"/>
  <c r="K51" i="23"/>
  <c r="K42" i="23" s="1"/>
  <c r="AO22" i="9"/>
  <c r="AO283" i="308"/>
  <c r="AO36" i="161" l="1"/>
  <c r="AO17" i="202" s="1"/>
  <c r="AO18" i="202" s="1"/>
  <c r="AO222" i="161"/>
  <c r="AP219" i="161" s="1"/>
  <c r="AP41" i="308"/>
  <c r="AP86" i="308" s="1"/>
  <c r="AP89" i="308" s="1"/>
  <c r="AP22" i="308"/>
  <c r="AP105" i="308" s="1"/>
  <c r="K61" i="23"/>
  <c r="K64" i="23" s="1"/>
  <c r="K53" i="23" s="1"/>
  <c r="AO281" i="308"/>
  <c r="AO285" i="308" s="1"/>
  <c r="AO58" i="202" l="1"/>
  <c r="AO59" i="202" s="1"/>
  <c r="AO62" i="202" s="1"/>
  <c r="AO34" i="203"/>
  <c r="AO41" i="203" s="1"/>
  <c r="AO44" i="203" s="1"/>
  <c r="AP19" i="161"/>
  <c r="AP40" i="161" s="1"/>
  <c r="AP48" i="161" s="1"/>
  <c r="AP53" i="161" s="1"/>
  <c r="AP73" i="161" s="1"/>
  <c r="AP75" i="161" s="1"/>
  <c r="AP78" i="161" s="1"/>
  <c r="AP80" i="161" s="1"/>
  <c r="AO292" i="308"/>
  <c r="AO293" i="308" s="1"/>
  <c r="AO67" i="9"/>
  <c r="K55" i="23"/>
  <c r="K59" i="23" s="1"/>
  <c r="AO58" i="203" l="1"/>
  <c r="AP291" i="308"/>
  <c r="AO295" i="308"/>
  <c r="AO287" i="308" s="1"/>
  <c r="AO11" i="267"/>
  <c r="AO69" i="9"/>
  <c r="AP140" i="161"/>
  <c r="AP141" i="161" s="1"/>
  <c r="AP20" i="161"/>
  <c r="AP21" i="161" l="1"/>
  <c r="AP124" i="202"/>
  <c r="AP125" i="202" s="1"/>
  <c r="AP145" i="161"/>
  <c r="AO273" i="308"/>
  <c r="AO274" i="308" s="1"/>
  <c r="AO288" i="308"/>
  <c r="AO289" i="308" s="1"/>
  <c r="AO13" i="267"/>
  <c r="AO71" i="9"/>
  <c r="AO70" i="202" s="1"/>
  <c r="AO103" i="202" l="1"/>
  <c r="AO105" i="202" s="1"/>
  <c r="AO108" i="202" s="1"/>
  <c r="AO75" i="202"/>
  <c r="AP30" i="161"/>
  <c r="AP17" i="9"/>
  <c r="AP22" i="161"/>
  <c r="AP41" i="161"/>
  <c r="AP86" i="161" s="1"/>
  <c r="AP89" i="161" s="1"/>
  <c r="AP162" i="308" l="1"/>
  <c r="L48" i="23"/>
  <c r="L39" i="23" s="1"/>
  <c r="AP20" i="9"/>
  <c r="AP284" i="308"/>
  <c r="AO59" i="203"/>
  <c r="AO62" i="203" s="1"/>
  <c r="AO80" i="202"/>
  <c r="AO86" i="202" s="1"/>
  <c r="AO91" i="202" s="1"/>
  <c r="AP60" i="202"/>
  <c r="AP45" i="202"/>
  <c r="AP105" i="161"/>
  <c r="AP57" i="202"/>
  <c r="AO113" i="202"/>
  <c r="AO14" i="203"/>
  <c r="AO19" i="203" l="1"/>
  <c r="AO31" i="203"/>
  <c r="AO36" i="203" s="1"/>
  <c r="AO20" i="203"/>
  <c r="AO21" i="203"/>
  <c r="AO32" i="203"/>
  <c r="AO120" i="202"/>
  <c r="AP162" i="161"/>
  <c r="AP23" i="308"/>
  <c r="AP31" i="308" s="1"/>
  <c r="AP106" i="308" s="1"/>
  <c r="AP108" i="308" s="1"/>
  <c r="AP112" i="308" s="1"/>
  <c r="AP115" i="308" s="1"/>
  <c r="AP128" i="308" s="1"/>
  <c r="AP23" i="161"/>
  <c r="AP31" i="161" s="1"/>
  <c r="AO96" i="202"/>
  <c r="AO50" i="202"/>
  <c r="AO53" i="202" s="1"/>
  <c r="AO42" i="202" s="1"/>
  <c r="AO44" i="202" s="1"/>
  <c r="AO46" i="202" s="1"/>
  <c r="AO60" i="203"/>
  <c r="AP204" i="308"/>
  <c r="AP38" i="202" l="1"/>
  <c r="AP40" i="202" s="1"/>
  <c r="AO20" i="202"/>
  <c r="AO21" i="202" s="1"/>
  <c r="AP131" i="308"/>
  <c r="AP133" i="308"/>
  <c r="AP204" i="161"/>
  <c r="AO126" i="202"/>
  <c r="AO128" i="202" s="1"/>
  <c r="AO63" i="202"/>
  <c r="AO67" i="203"/>
  <c r="AO70" i="203" s="1"/>
  <c r="AO63" i="203"/>
  <c r="AP106" i="161"/>
  <c r="AP108" i="161" s="1"/>
  <c r="AP112" i="161" s="1"/>
  <c r="AP115" i="161" s="1"/>
  <c r="AP128" i="161" s="1"/>
  <c r="AO48" i="203"/>
  <c r="AO51" i="203" s="1"/>
  <c r="AO37" i="203"/>
  <c r="AP166" i="308" l="1"/>
  <c r="AP212" i="308" s="1"/>
  <c r="AP33" i="308"/>
  <c r="AP131" i="161"/>
  <c r="AP133" i="161"/>
  <c r="AP32" i="308"/>
  <c r="AP165" i="308"/>
  <c r="AP33" i="161" l="1"/>
  <c r="AP61" i="202" s="1"/>
  <c r="AP166" i="161"/>
  <c r="AP165" i="161"/>
  <c r="AP32" i="161"/>
  <c r="AP211" i="308"/>
  <c r="AP169" i="308"/>
  <c r="AP211" i="161" l="1"/>
  <c r="AP233" i="161"/>
  <c r="AP84" i="202"/>
  <c r="AP169" i="161"/>
  <c r="AP176" i="308"/>
  <c r="AP178" i="308" s="1"/>
  <c r="AP85" i="202"/>
  <c r="AP17" i="203" s="1"/>
  <c r="AP33" i="203" s="1"/>
  <c r="AP212" i="161"/>
  <c r="AP196" i="308" l="1"/>
  <c r="AP179" i="308"/>
  <c r="AP185" i="308" s="1"/>
  <c r="AP187" i="308" s="1"/>
  <c r="AP191" i="308" s="1"/>
  <c r="AP195" i="308" s="1"/>
  <c r="AP16" i="203"/>
  <c r="AP106" i="202"/>
  <c r="AP176" i="161"/>
  <c r="AP178" i="161" s="1"/>
  <c r="AP48" i="187"/>
  <c r="AP51" i="187" s="1"/>
  <c r="AP53" i="187" s="1"/>
  <c r="AP56" i="187" s="1"/>
  <c r="AP86" i="187" s="1"/>
  <c r="AP58" i="187" s="1"/>
  <c r="AP59" i="187" s="1"/>
  <c r="AP67" i="187" s="1"/>
  <c r="AP197" i="308" l="1"/>
  <c r="AP34" i="308" s="1"/>
  <c r="AP180" i="308"/>
  <c r="AQ175" i="308" s="1"/>
  <c r="AP196" i="161"/>
  <c r="AP179" i="161"/>
  <c r="AP185" i="161" s="1"/>
  <c r="AP187" i="161" s="1"/>
  <c r="AP191" i="161" s="1"/>
  <c r="AP195" i="161" s="1"/>
  <c r="AP206" i="308" l="1"/>
  <c r="AP215" i="308" s="1"/>
  <c r="AP221" i="308" s="1"/>
  <c r="AP227" i="308" s="1"/>
  <c r="AP229" i="308" s="1"/>
  <c r="AP35" i="308" s="1"/>
  <c r="AP36" i="308" s="1"/>
  <c r="AQ19" i="308" s="1"/>
  <c r="AQ40" i="308" s="1"/>
  <c r="AQ48" i="308" s="1"/>
  <c r="AQ53" i="308" s="1"/>
  <c r="AQ73" i="308" s="1"/>
  <c r="AQ75" i="308" s="1"/>
  <c r="AQ78" i="308" s="1"/>
  <c r="AQ80" i="308" s="1"/>
  <c r="AP197" i="161"/>
  <c r="AP34" i="161" s="1"/>
  <c r="AP180" i="161"/>
  <c r="AQ175" i="161" s="1"/>
  <c r="AP206" i="161" l="1"/>
  <c r="AP215" i="161" s="1"/>
  <c r="AP220" i="161" s="1"/>
  <c r="AP220" i="308"/>
  <c r="AP222" i="308" s="1"/>
  <c r="AQ219" i="308" s="1"/>
  <c r="AP21" i="9"/>
  <c r="AP22" i="9" s="1"/>
  <c r="AQ140" i="308"/>
  <c r="AQ141" i="308" s="1"/>
  <c r="AQ145" i="308" s="1"/>
  <c r="AQ30" i="308" s="1"/>
  <c r="AQ20" i="308"/>
  <c r="AQ21" i="308" s="1"/>
  <c r="AP221" i="161" l="1"/>
  <c r="AP227" i="161" s="1"/>
  <c r="AP229" i="161" s="1"/>
  <c r="AP35" i="161" s="1"/>
  <c r="AP90" i="202" s="1"/>
  <c r="AP107" i="202" s="1"/>
  <c r="L51" i="23"/>
  <c r="L42" i="23" s="1"/>
  <c r="AP283" i="308"/>
  <c r="AP281" i="308"/>
  <c r="L61" i="23"/>
  <c r="L64" i="23" s="1"/>
  <c r="L53" i="23" s="1"/>
  <c r="AQ22" i="308"/>
  <c r="AQ105" i="308" s="1"/>
  <c r="AQ41" i="308"/>
  <c r="AQ86" i="308" s="1"/>
  <c r="AQ89" i="308" s="1"/>
  <c r="AP222" i="161" l="1"/>
  <c r="AQ219" i="161" s="1"/>
  <c r="AP36" i="161"/>
  <c r="AQ19" i="161" s="1"/>
  <c r="AQ40" i="161" s="1"/>
  <c r="AQ48" i="161" s="1"/>
  <c r="AQ53" i="161" s="1"/>
  <c r="AQ73" i="161" s="1"/>
  <c r="AQ75" i="161" s="1"/>
  <c r="AQ78" i="161" s="1"/>
  <c r="AQ80" i="161" s="1"/>
  <c r="AP285" i="308"/>
  <c r="AP292" i="308" s="1"/>
  <c r="AP293" i="308" s="1"/>
  <c r="L55" i="23"/>
  <c r="L59" i="23" s="1"/>
  <c r="AP67" i="9"/>
  <c r="AP58" i="202" l="1"/>
  <c r="AP59" i="202" s="1"/>
  <c r="AP62" i="202" s="1"/>
  <c r="AP34" i="203"/>
  <c r="AP41" i="203" s="1"/>
  <c r="AP44" i="203" s="1"/>
  <c r="AP17" i="202"/>
  <c r="AP18" i="202" s="1"/>
  <c r="AQ291" i="308"/>
  <c r="AP295" i="308"/>
  <c r="AP287" i="308" s="1"/>
  <c r="AP11" i="267"/>
  <c r="AP69" i="9"/>
  <c r="AQ140" i="161"/>
  <c r="AQ141" i="161" s="1"/>
  <c r="AQ20" i="161"/>
  <c r="AP58" i="203" l="1"/>
  <c r="AP13" i="267"/>
  <c r="AP71" i="9"/>
  <c r="AP70" i="202" s="1"/>
  <c r="AQ21" i="161"/>
  <c r="AP273" i="308"/>
  <c r="AP274" i="308" s="1"/>
  <c r="AP288" i="308"/>
  <c r="AP289" i="308" s="1"/>
  <c r="AQ145" i="161"/>
  <c r="AQ124" i="202"/>
  <c r="AQ125" i="202" s="1"/>
  <c r="AQ41" i="161" l="1"/>
  <c r="AQ86" i="161" s="1"/>
  <c r="AQ89" i="161" s="1"/>
  <c r="AQ22" i="161"/>
  <c r="AQ17" i="9"/>
  <c r="AQ30" i="161"/>
  <c r="AP75" i="202"/>
  <c r="AP103" i="202"/>
  <c r="AP105" i="202" s="1"/>
  <c r="AP108" i="202" s="1"/>
  <c r="AQ60" i="202" l="1"/>
  <c r="AQ45" i="202"/>
  <c r="AQ162" i="308"/>
  <c r="AQ20" i="9"/>
  <c r="M48" i="23"/>
  <c r="AQ284" i="308"/>
  <c r="AP113" i="202"/>
  <c r="AP14" i="203"/>
  <c r="AQ57" i="202"/>
  <c r="AQ105" i="161"/>
  <c r="AP59" i="203"/>
  <c r="AP62" i="203" s="1"/>
  <c r="AP80" i="202"/>
  <c r="AP86" i="202" s="1"/>
  <c r="AP91" i="202" s="1"/>
  <c r="AP96" i="202" l="1"/>
  <c r="AP60" i="203"/>
  <c r="AP50" i="202"/>
  <c r="AP53" i="202" s="1"/>
  <c r="AP42" i="202" s="1"/>
  <c r="AP44" i="202" s="1"/>
  <c r="AP46" i="202" s="1"/>
  <c r="AP20" i="203"/>
  <c r="AP21" i="203"/>
  <c r="AP31" i="203"/>
  <c r="AP36" i="203" s="1"/>
  <c r="AP19" i="203"/>
  <c r="AQ162" i="161"/>
  <c r="AQ23" i="161"/>
  <c r="AQ31" i="161" s="1"/>
  <c r="AQ23" i="308"/>
  <c r="AQ31" i="308" s="1"/>
  <c r="AQ106" i="308" s="1"/>
  <c r="AQ108" i="308" s="1"/>
  <c r="AQ112" i="308" s="1"/>
  <c r="AQ115" i="308" s="1"/>
  <c r="AQ128" i="308" s="1"/>
  <c r="AP32" i="203"/>
  <c r="AP120" i="202"/>
  <c r="AQ204" i="308"/>
  <c r="M39" i="23"/>
  <c r="N48" i="23"/>
  <c r="O48" i="23"/>
  <c r="N39" i="23" l="1"/>
  <c r="O39" i="23"/>
  <c r="AP37" i="203"/>
  <c r="AP48" i="203"/>
  <c r="AP51" i="203" s="1"/>
  <c r="AQ204" i="161"/>
  <c r="AP20" i="202"/>
  <c r="AP21" i="202" s="1"/>
  <c r="AQ38" i="202"/>
  <c r="AQ40" i="202" s="1"/>
  <c r="AQ133" i="308"/>
  <c r="AQ131" i="308"/>
  <c r="AP67" i="203"/>
  <c r="AP70" i="203" s="1"/>
  <c r="AP63" i="203"/>
  <c r="AP126" i="202"/>
  <c r="AP128" i="202" s="1"/>
  <c r="AP63" i="202"/>
  <c r="AQ106" i="161"/>
  <c r="AQ108" i="161" s="1"/>
  <c r="AQ112" i="161" s="1"/>
  <c r="AQ115" i="161" s="1"/>
  <c r="AQ128" i="161" s="1"/>
  <c r="AQ133" i="161" l="1"/>
  <c r="AQ131" i="161"/>
  <c r="AQ165" i="308"/>
  <c r="AQ32" i="308"/>
  <c r="AQ33" i="308"/>
  <c r="AQ166" i="308"/>
  <c r="AQ212" i="308" s="1"/>
  <c r="AQ211" i="308" l="1"/>
  <c r="AQ169" i="308"/>
  <c r="AQ32" i="161"/>
  <c r="AQ165" i="161"/>
  <c r="AQ33" i="161"/>
  <c r="AQ61" i="202" s="1"/>
  <c r="AQ166" i="161"/>
  <c r="AQ211" i="161" l="1"/>
  <c r="AQ233" i="161"/>
  <c r="AQ84" i="202"/>
  <c r="AQ169" i="161"/>
  <c r="AQ85" i="202"/>
  <c r="AQ17" i="203" s="1"/>
  <c r="AQ33" i="203" s="1"/>
  <c r="AQ212" i="161"/>
  <c r="AQ176" i="308"/>
  <c r="AQ178" i="308" s="1"/>
  <c r="AQ196" i="308" s="1"/>
  <c r="AQ176" i="161" l="1"/>
  <c r="AQ178" i="161" s="1"/>
  <c r="AQ196" i="161" s="1"/>
  <c r="AQ48" i="187"/>
  <c r="AQ51" i="187" s="1"/>
  <c r="AQ53" i="187" s="1"/>
  <c r="AQ56" i="187" s="1"/>
  <c r="AQ86" i="187" s="1"/>
  <c r="AQ58" i="187" s="1"/>
  <c r="AQ59" i="187" s="1"/>
  <c r="AQ67" i="187" s="1"/>
  <c r="AQ106" i="202"/>
  <c r="AQ16" i="203"/>
  <c r="AQ179" i="308"/>
  <c r="AQ185" i="308" s="1"/>
  <c r="AQ187" i="308" s="1"/>
  <c r="AQ191" i="308" s="1"/>
  <c r="AQ195" i="308" s="1"/>
  <c r="AQ197" i="308" s="1"/>
  <c r="AQ206" i="308" l="1"/>
  <c r="AQ215" i="308" s="1"/>
  <c r="AQ34" i="308"/>
  <c r="AQ179" i="161"/>
  <c r="AQ185" i="161" s="1"/>
  <c r="AQ187" i="161" s="1"/>
  <c r="AQ191" i="161" s="1"/>
  <c r="AQ195" i="161" s="1"/>
  <c r="AQ197" i="161" s="1"/>
  <c r="AQ180" i="308"/>
  <c r="AQ180" i="161" l="1"/>
  <c r="AQ206" i="161"/>
  <c r="AQ215" i="161" s="1"/>
  <c r="AQ34" i="161"/>
  <c r="AQ21" i="9"/>
  <c r="AQ221" i="308"/>
  <c r="AQ227" i="308" s="1"/>
  <c r="AQ229" i="308" s="1"/>
  <c r="AQ35" i="308" s="1"/>
  <c r="AQ36" i="308" s="1"/>
  <c r="AQ220" i="308"/>
  <c r="M51" i="23" l="1"/>
  <c r="AQ22" i="9"/>
  <c r="AQ283" i="308"/>
  <c r="AQ222" i="308"/>
  <c r="AQ221" i="161"/>
  <c r="AQ227" i="161" s="1"/>
  <c r="AQ229" i="161" s="1"/>
  <c r="AQ35" i="161" s="1"/>
  <c r="AQ90" i="202" s="1"/>
  <c r="AQ107" i="202" s="1"/>
  <c r="AQ220" i="161"/>
  <c r="AQ222" i="161" l="1"/>
  <c r="AQ36" i="161"/>
  <c r="AQ281" i="308"/>
  <c r="M61" i="23"/>
  <c r="M42" i="23"/>
  <c r="N51" i="23"/>
  <c r="O51" i="23"/>
  <c r="N42" i="23" l="1"/>
  <c r="O42" i="23"/>
  <c r="M64" i="23"/>
  <c r="N61" i="23"/>
  <c r="O61" i="23"/>
  <c r="AQ285" i="308"/>
  <c r="I281" i="308"/>
  <c r="AQ34" i="203"/>
  <c r="AQ41" i="203" s="1"/>
  <c r="AQ17" i="202"/>
  <c r="AQ18" i="202" s="1"/>
  <c r="AQ58" i="202"/>
  <c r="AQ59" i="202" s="1"/>
  <c r="AQ62" i="202" s="1"/>
  <c r="AQ58" i="203" l="1"/>
  <c r="AQ44" i="203"/>
  <c r="M53" i="23"/>
  <c r="N64" i="23"/>
  <c r="O64" i="23"/>
  <c r="AQ292" i="308"/>
  <c r="AQ293" i="308" s="1"/>
  <c r="G235" i="308" l="1"/>
  <c r="AQ295" i="308"/>
  <c r="AQ287" i="308" s="1"/>
  <c r="AQ67" i="9"/>
  <c r="M55" i="23"/>
  <c r="N53" i="23"/>
  <c r="O53" i="23"/>
  <c r="M59" i="23" l="1"/>
  <c r="N55" i="23"/>
  <c r="O55" i="23"/>
  <c r="AQ69" i="9"/>
  <c r="AQ11" i="267"/>
  <c r="AQ273" i="308"/>
  <c r="AQ274" i="308" s="1"/>
  <c r="AQ288" i="308"/>
  <c r="I288" i="308" l="1"/>
  <c r="G236" i="308" s="1"/>
  <c r="AQ289" i="308"/>
  <c r="AQ71" i="9"/>
  <c r="AQ70" i="202" s="1"/>
  <c r="AQ13" i="267"/>
  <c r="D274" i="308"/>
  <c r="F274" i="308"/>
  <c r="G237" i="308" s="1"/>
  <c r="O59" i="23"/>
  <c r="N59" i="23"/>
  <c r="AQ75" i="202" l="1"/>
  <c r="AQ103" i="202"/>
  <c r="AQ105" i="202" s="1"/>
  <c r="AQ108" i="202" s="1"/>
  <c r="AQ14" i="203" l="1"/>
  <c r="AQ113" i="202"/>
  <c r="AQ59" i="203"/>
  <c r="AQ62" i="203" s="1"/>
  <c r="AQ80" i="202"/>
  <c r="AQ86" i="202" s="1"/>
  <c r="AQ91" i="202" s="1"/>
  <c r="AQ96" i="202" l="1"/>
  <c r="AQ60" i="203"/>
  <c r="AQ50" i="202"/>
  <c r="AQ53" i="202" s="1"/>
  <c r="AQ42" i="202" s="1"/>
  <c r="AQ44" i="202" s="1"/>
  <c r="AQ46" i="202" s="1"/>
  <c r="AQ20" i="202" s="1"/>
  <c r="AQ21" i="202" s="1"/>
  <c r="AQ32" i="203"/>
  <c r="AQ120" i="202"/>
  <c r="AQ20" i="203"/>
  <c r="AQ31" i="203"/>
  <c r="AQ36" i="203" s="1"/>
  <c r="AQ19" i="203"/>
  <c r="AQ21" i="203"/>
  <c r="AQ37" i="203" l="1"/>
  <c r="AQ48" i="203"/>
  <c r="AQ51" i="203" s="1"/>
  <c r="AQ67" i="203"/>
  <c r="AQ70" i="203" s="1"/>
  <c r="AQ63" i="203"/>
  <c r="AQ126" i="202"/>
  <c r="AQ128" i="202" s="1"/>
  <c r="AQ63" i="202"/>
</calcChain>
</file>

<file path=xl/comments1.xml><?xml version="1.0" encoding="utf-8"?>
<comments xmlns="http://schemas.openxmlformats.org/spreadsheetml/2006/main">
  <authors>
    <author>Mayur Gondhea</author>
    <author>brownm</author>
  </authors>
  <commentList>
    <comment ref="AO397" authorId="0">
      <text>
        <r>
          <rPr>
            <b/>
            <sz val="8"/>
            <color indexed="81"/>
            <rFont val="Tahoma"/>
            <family val="2"/>
          </rPr>
          <t>Mayur Gondhea:</t>
        </r>
        <r>
          <rPr>
            <sz val="8"/>
            <color indexed="81"/>
            <rFont val="Tahoma"/>
            <family val="2"/>
          </rPr>
          <t xml:space="preserve">
I added a new component - opening tax pools</t>
        </r>
      </text>
    </comment>
    <comment ref="AP397" authorId="0">
      <text>
        <r>
          <rPr>
            <b/>
            <sz val="8"/>
            <color indexed="81"/>
            <rFont val="Tahoma"/>
            <family val="2"/>
          </rPr>
          <t>Mayur Gondhea:</t>
        </r>
        <r>
          <rPr>
            <sz val="8"/>
            <color indexed="81"/>
            <rFont val="Tahoma"/>
            <family val="2"/>
          </rPr>
          <t xml:space="preserve">
I added a new component - opening tax pools</t>
        </r>
      </text>
    </comment>
    <comment ref="AQ397" authorId="0">
      <text>
        <r>
          <rPr>
            <b/>
            <sz val="8"/>
            <color indexed="81"/>
            <rFont val="Tahoma"/>
            <family val="2"/>
          </rPr>
          <t>Mayur Gondhea:</t>
        </r>
        <r>
          <rPr>
            <sz val="8"/>
            <color indexed="81"/>
            <rFont val="Tahoma"/>
            <family val="2"/>
          </rPr>
          <t xml:space="preserve">
I added a new component - opening tax pools</t>
        </r>
      </text>
    </comment>
    <comment ref="AR397" authorId="0">
      <text>
        <r>
          <rPr>
            <b/>
            <sz val="8"/>
            <color indexed="81"/>
            <rFont val="Tahoma"/>
            <family val="2"/>
          </rPr>
          <t>Mayur Gondhea:</t>
        </r>
        <r>
          <rPr>
            <sz val="8"/>
            <color indexed="81"/>
            <rFont val="Tahoma"/>
            <family val="2"/>
          </rPr>
          <t xml:space="preserve">
I added a new component - opening tax pools</t>
        </r>
      </text>
    </comment>
    <comment ref="AS397" authorId="0">
      <text>
        <r>
          <rPr>
            <b/>
            <sz val="8"/>
            <color indexed="81"/>
            <rFont val="Tahoma"/>
            <family val="2"/>
          </rPr>
          <t>Mayur Gondhea:</t>
        </r>
        <r>
          <rPr>
            <sz val="8"/>
            <color indexed="81"/>
            <rFont val="Tahoma"/>
            <family val="2"/>
          </rPr>
          <t xml:space="preserve">
I added a new component - opening tax pools</t>
        </r>
      </text>
    </comment>
    <comment ref="AT397" authorId="0">
      <text>
        <r>
          <rPr>
            <b/>
            <sz val="8"/>
            <color indexed="81"/>
            <rFont val="Tahoma"/>
            <family val="2"/>
          </rPr>
          <t>Mayur Gondhea:</t>
        </r>
        <r>
          <rPr>
            <sz val="8"/>
            <color indexed="81"/>
            <rFont val="Tahoma"/>
            <family val="2"/>
          </rPr>
          <t xml:space="preserve">
I added a new component - opening tax pools</t>
        </r>
      </text>
    </comment>
    <comment ref="AU397" authorId="0">
      <text>
        <r>
          <rPr>
            <b/>
            <sz val="8"/>
            <color indexed="81"/>
            <rFont val="Tahoma"/>
            <family val="2"/>
          </rPr>
          <t>Mayur Gondhea:</t>
        </r>
        <r>
          <rPr>
            <sz val="8"/>
            <color indexed="81"/>
            <rFont val="Tahoma"/>
            <family val="2"/>
          </rPr>
          <t xml:space="preserve">
I added a new component - opening tax pools</t>
        </r>
      </text>
    </comment>
    <comment ref="AV397" authorId="0">
      <text>
        <r>
          <rPr>
            <b/>
            <sz val="8"/>
            <color indexed="81"/>
            <rFont val="Tahoma"/>
            <family val="2"/>
          </rPr>
          <t>Mayur Gondhea:</t>
        </r>
        <r>
          <rPr>
            <sz val="8"/>
            <color indexed="81"/>
            <rFont val="Tahoma"/>
            <family val="2"/>
          </rPr>
          <t xml:space="preserve">
I added a new component - opening tax pools</t>
        </r>
      </text>
    </comment>
    <comment ref="AW397" authorId="0">
      <text>
        <r>
          <rPr>
            <b/>
            <sz val="8"/>
            <color indexed="81"/>
            <rFont val="Tahoma"/>
            <family val="2"/>
          </rPr>
          <t>Mayur Gondhea:</t>
        </r>
        <r>
          <rPr>
            <sz val="8"/>
            <color indexed="81"/>
            <rFont val="Tahoma"/>
            <family val="2"/>
          </rPr>
          <t xml:space="preserve">
I added a new component - opening tax pools</t>
        </r>
      </text>
    </comment>
    <comment ref="AX397" authorId="0">
      <text>
        <r>
          <rPr>
            <b/>
            <sz val="8"/>
            <color indexed="81"/>
            <rFont val="Tahoma"/>
            <family val="2"/>
          </rPr>
          <t>Mayur Gondhea:</t>
        </r>
        <r>
          <rPr>
            <sz val="8"/>
            <color indexed="81"/>
            <rFont val="Tahoma"/>
            <family val="2"/>
          </rPr>
          <t xml:space="preserve">
I added a new component - opening tax pools</t>
        </r>
      </text>
    </comment>
    <comment ref="AY397" authorId="0">
      <text>
        <r>
          <rPr>
            <b/>
            <sz val="8"/>
            <color indexed="81"/>
            <rFont val="Tahoma"/>
            <family val="2"/>
          </rPr>
          <t>Mayur Gondhea:</t>
        </r>
        <r>
          <rPr>
            <sz val="8"/>
            <color indexed="81"/>
            <rFont val="Tahoma"/>
            <family val="2"/>
          </rPr>
          <t xml:space="preserve">
I added a new component - opening tax pools</t>
        </r>
      </text>
    </comment>
    <comment ref="AZ397" authorId="0">
      <text>
        <r>
          <rPr>
            <b/>
            <sz val="8"/>
            <color indexed="81"/>
            <rFont val="Tahoma"/>
            <family val="2"/>
          </rPr>
          <t>Mayur Gondhea:</t>
        </r>
        <r>
          <rPr>
            <sz val="8"/>
            <color indexed="81"/>
            <rFont val="Tahoma"/>
            <family val="2"/>
          </rPr>
          <t xml:space="preserve">
I added a new component - opening tax pools</t>
        </r>
      </text>
    </comment>
    <comment ref="BA397" authorId="0">
      <text>
        <r>
          <rPr>
            <b/>
            <sz val="8"/>
            <color indexed="81"/>
            <rFont val="Tahoma"/>
            <family val="2"/>
          </rPr>
          <t>Mayur Gondhea:</t>
        </r>
        <r>
          <rPr>
            <sz val="8"/>
            <color indexed="81"/>
            <rFont val="Tahoma"/>
            <family val="2"/>
          </rPr>
          <t xml:space="preserve">
I added a new component - opening tax pools</t>
        </r>
      </text>
    </comment>
    <comment ref="BB397" authorId="0">
      <text>
        <r>
          <rPr>
            <b/>
            <sz val="8"/>
            <color indexed="81"/>
            <rFont val="Tahoma"/>
            <family val="2"/>
          </rPr>
          <t>Mayur Gondhea:</t>
        </r>
        <r>
          <rPr>
            <sz val="8"/>
            <color indexed="81"/>
            <rFont val="Tahoma"/>
            <family val="2"/>
          </rPr>
          <t xml:space="preserve">
I added a new component - opening tax pools</t>
        </r>
      </text>
    </comment>
    <comment ref="AO399" authorId="0">
      <text>
        <r>
          <rPr>
            <b/>
            <sz val="8"/>
            <color indexed="81"/>
            <rFont val="Tahoma"/>
            <family val="2"/>
          </rPr>
          <t>Mayur Gondhea:</t>
        </r>
        <r>
          <rPr>
            <sz val="8"/>
            <color indexed="81"/>
            <rFont val="Tahoma"/>
            <family val="2"/>
          </rPr>
          <t xml:space="preserve">
as I added a new component I had to change this check</t>
        </r>
      </text>
    </comment>
    <comment ref="AP399" authorId="0">
      <text>
        <r>
          <rPr>
            <b/>
            <sz val="8"/>
            <color indexed="81"/>
            <rFont val="Tahoma"/>
            <family val="2"/>
          </rPr>
          <t>Mayur Gondhea:</t>
        </r>
        <r>
          <rPr>
            <sz val="8"/>
            <color indexed="81"/>
            <rFont val="Tahoma"/>
            <family val="2"/>
          </rPr>
          <t xml:space="preserve">
as I added a new component I had to change this check</t>
        </r>
      </text>
    </comment>
    <comment ref="AQ399" authorId="0">
      <text>
        <r>
          <rPr>
            <b/>
            <sz val="8"/>
            <color indexed="81"/>
            <rFont val="Tahoma"/>
            <family val="2"/>
          </rPr>
          <t>Mayur Gondhea:</t>
        </r>
        <r>
          <rPr>
            <sz val="8"/>
            <color indexed="81"/>
            <rFont val="Tahoma"/>
            <family val="2"/>
          </rPr>
          <t xml:space="preserve">
as I added a new component I had to change this check</t>
        </r>
      </text>
    </comment>
    <comment ref="AR399" authorId="0">
      <text>
        <r>
          <rPr>
            <b/>
            <sz val="8"/>
            <color indexed="81"/>
            <rFont val="Tahoma"/>
            <family val="2"/>
          </rPr>
          <t>Mayur Gondhea:</t>
        </r>
        <r>
          <rPr>
            <sz val="8"/>
            <color indexed="81"/>
            <rFont val="Tahoma"/>
            <family val="2"/>
          </rPr>
          <t xml:space="preserve">
as I added a new component I had to change this check</t>
        </r>
      </text>
    </comment>
    <comment ref="AS399" authorId="0">
      <text>
        <r>
          <rPr>
            <b/>
            <sz val="8"/>
            <color indexed="81"/>
            <rFont val="Tahoma"/>
            <family val="2"/>
          </rPr>
          <t>Mayur Gondhea:</t>
        </r>
        <r>
          <rPr>
            <sz val="8"/>
            <color indexed="81"/>
            <rFont val="Tahoma"/>
            <family val="2"/>
          </rPr>
          <t xml:space="preserve">
as I added a new component I had to change this check</t>
        </r>
      </text>
    </comment>
    <comment ref="AT399" authorId="0">
      <text>
        <r>
          <rPr>
            <b/>
            <sz val="8"/>
            <color indexed="81"/>
            <rFont val="Tahoma"/>
            <family val="2"/>
          </rPr>
          <t>Mayur Gondhea:</t>
        </r>
        <r>
          <rPr>
            <sz val="8"/>
            <color indexed="81"/>
            <rFont val="Tahoma"/>
            <family val="2"/>
          </rPr>
          <t xml:space="preserve">
as I added a new component I had to change this check</t>
        </r>
      </text>
    </comment>
    <comment ref="AU399" authorId="0">
      <text>
        <r>
          <rPr>
            <b/>
            <sz val="8"/>
            <color indexed="81"/>
            <rFont val="Tahoma"/>
            <family val="2"/>
          </rPr>
          <t>Mayur Gondhea:</t>
        </r>
        <r>
          <rPr>
            <sz val="8"/>
            <color indexed="81"/>
            <rFont val="Tahoma"/>
            <family val="2"/>
          </rPr>
          <t xml:space="preserve">
as I added a new component I had to change this check</t>
        </r>
      </text>
    </comment>
    <comment ref="AV399" authorId="0">
      <text>
        <r>
          <rPr>
            <b/>
            <sz val="8"/>
            <color indexed="81"/>
            <rFont val="Tahoma"/>
            <family val="2"/>
          </rPr>
          <t>Mayur Gondhea:</t>
        </r>
        <r>
          <rPr>
            <sz val="8"/>
            <color indexed="81"/>
            <rFont val="Tahoma"/>
            <family val="2"/>
          </rPr>
          <t xml:space="preserve">
as I added a new component I had to change this check</t>
        </r>
      </text>
    </comment>
    <comment ref="AW399" authorId="0">
      <text>
        <r>
          <rPr>
            <b/>
            <sz val="8"/>
            <color indexed="81"/>
            <rFont val="Tahoma"/>
            <family val="2"/>
          </rPr>
          <t>Mayur Gondhea:</t>
        </r>
        <r>
          <rPr>
            <sz val="8"/>
            <color indexed="81"/>
            <rFont val="Tahoma"/>
            <family val="2"/>
          </rPr>
          <t xml:space="preserve">
as I added a new component I had to change this check</t>
        </r>
      </text>
    </comment>
    <comment ref="AX399" authorId="0">
      <text>
        <r>
          <rPr>
            <b/>
            <sz val="8"/>
            <color indexed="81"/>
            <rFont val="Tahoma"/>
            <family val="2"/>
          </rPr>
          <t>Mayur Gondhea:</t>
        </r>
        <r>
          <rPr>
            <sz val="8"/>
            <color indexed="81"/>
            <rFont val="Tahoma"/>
            <family val="2"/>
          </rPr>
          <t xml:space="preserve">
as I added a new component I had to change this check</t>
        </r>
      </text>
    </comment>
    <comment ref="AY399" authorId="0">
      <text>
        <r>
          <rPr>
            <b/>
            <sz val="8"/>
            <color indexed="81"/>
            <rFont val="Tahoma"/>
            <family val="2"/>
          </rPr>
          <t>Mayur Gondhea:</t>
        </r>
        <r>
          <rPr>
            <sz val="8"/>
            <color indexed="81"/>
            <rFont val="Tahoma"/>
            <family val="2"/>
          </rPr>
          <t xml:space="preserve">
as I added a new component I had to change this check</t>
        </r>
      </text>
    </comment>
    <comment ref="AZ399" authorId="0">
      <text>
        <r>
          <rPr>
            <b/>
            <sz val="8"/>
            <color indexed="81"/>
            <rFont val="Tahoma"/>
            <family val="2"/>
          </rPr>
          <t>Mayur Gondhea:</t>
        </r>
        <r>
          <rPr>
            <sz val="8"/>
            <color indexed="81"/>
            <rFont val="Tahoma"/>
            <family val="2"/>
          </rPr>
          <t xml:space="preserve">
as I added a new component I had to change this check</t>
        </r>
      </text>
    </comment>
    <comment ref="BA399" authorId="0">
      <text>
        <r>
          <rPr>
            <b/>
            <sz val="8"/>
            <color indexed="81"/>
            <rFont val="Tahoma"/>
            <family val="2"/>
          </rPr>
          <t>Mayur Gondhea:</t>
        </r>
        <r>
          <rPr>
            <sz val="8"/>
            <color indexed="81"/>
            <rFont val="Tahoma"/>
            <family val="2"/>
          </rPr>
          <t xml:space="preserve">
as I added a new component I had to change this check</t>
        </r>
      </text>
    </comment>
    <comment ref="BB399" authorId="0">
      <text>
        <r>
          <rPr>
            <b/>
            <sz val="8"/>
            <color indexed="81"/>
            <rFont val="Tahoma"/>
            <family val="2"/>
          </rPr>
          <t>Mayur Gondhea:</t>
        </r>
        <r>
          <rPr>
            <sz val="8"/>
            <color indexed="81"/>
            <rFont val="Tahoma"/>
            <family val="2"/>
          </rPr>
          <t xml:space="preserve">
as I added a new component I had to change this check</t>
        </r>
      </text>
    </comment>
    <comment ref="AO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P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Q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R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S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T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U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V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W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X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Y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AZ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BA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BB400" authorId="0">
      <text>
        <r>
          <rPr>
            <b/>
            <sz val="8"/>
            <color indexed="81"/>
            <rFont val="Tahoma"/>
            <family val="2"/>
          </rPr>
          <t>Mayur Gondhea:</t>
        </r>
        <r>
          <rPr>
            <sz val="8"/>
            <color indexed="81"/>
            <rFont val="Tahoma"/>
            <family val="2"/>
          </rPr>
          <t xml:space="preserve">
</t>
        </r>
        <r>
          <rPr>
            <sz val="10"/>
            <color indexed="81"/>
            <rFont val="Tahoma"/>
            <family val="2"/>
          </rPr>
          <t>I now included rES7 rev and not net so that’s why I needed to show differently</t>
        </r>
      </text>
    </comment>
    <comment ref="B494" authorId="1">
      <text>
        <r>
          <rPr>
            <b/>
            <sz val="8"/>
            <color indexed="81"/>
            <rFont val="Tahoma"/>
            <family val="2"/>
          </rPr>
          <t>brownm:</t>
        </r>
        <r>
          <rPr>
            <sz val="8"/>
            <color indexed="81"/>
            <rFont val="Tahoma"/>
            <family val="2"/>
          </rPr>
          <t xml:space="preserve">
</t>
        </r>
        <r>
          <rPr>
            <sz val="10"/>
            <color indexed="81"/>
            <rFont val="Tahoma"/>
            <family val="2"/>
          </rPr>
          <t>For a particular type of ‘uncertainty’ expenditure (say Smart Meters), currently the ex-ante expenditure is included in the yellow box non-variant lines and any additional volume driver (in this example smart meters volume driver) appears in the blue box variant lines. We would like to change this so that all expenditure (ie ex-ante AND volume driver) is included in the blue box variant lines. Therefore for smart meters, this would mean the base view would have blue box expenditure (the ex-ante amount) whereas currently blue box is nil because all of the ex-ante amount is in the yellow box. There are two reasons for the change:
*for actual reporting during the annual iteration process it will mean you enter all the Smart meter allowed expenditure (ex-ante + volume driver) in one line rather than having to separately identify only the volume driver element. 
*the GD/T models structure will be the same as ED if the proposed change is implemented. During the course of RIIO, the risk of input error is less if the reporting between the RIIO models is on a consistent basis.
To accommodate the change, the input feeds in the C&amp;O BPDT need to be amended accordingly. There will also be amendments to the model (namely the spreading calculation will need to read off non-variant AND variant expenditure of base view and the 2.5% additional income totex number will need to read from the base view overall totex.</t>
        </r>
        <r>
          <rPr>
            <sz val="8"/>
            <color indexed="81"/>
            <rFont val="Tahoma"/>
            <family val="2"/>
          </rPr>
          <t xml:space="preserve">
</t>
        </r>
      </text>
    </comment>
  </commentList>
</comments>
</file>

<file path=xl/comments2.xml><?xml version="1.0" encoding="utf-8"?>
<comments xmlns="http://schemas.openxmlformats.org/spreadsheetml/2006/main">
  <authors>
    <author>Mayur Gondhea</author>
  </authors>
  <commentList>
    <comment ref="D274" authorId="0">
      <text>
        <r>
          <rPr>
            <b/>
            <sz val="8"/>
            <color indexed="81"/>
            <rFont val="Tahoma"/>
            <family val="2"/>
          </rPr>
          <t>Mayur Gondhea:</t>
        </r>
        <r>
          <rPr>
            <sz val="8"/>
            <color indexed="81"/>
            <rFont val="Tahoma"/>
            <family val="2"/>
          </rPr>
          <t xml:space="preserve">
</t>
        </r>
        <r>
          <rPr>
            <sz val="10"/>
            <color indexed="81"/>
            <rFont val="Tahoma"/>
            <family val="2"/>
          </rPr>
          <t>For macro - do not delete</t>
        </r>
      </text>
    </comment>
    <comment ref="AQ293" authorId="0">
      <text>
        <r>
          <rPr>
            <b/>
            <sz val="8"/>
            <color indexed="81"/>
            <rFont val="Tahoma"/>
            <family val="2"/>
          </rPr>
          <t>Mayur Gondhea:</t>
        </r>
        <r>
          <rPr>
            <sz val="8"/>
            <color indexed="81"/>
            <rFont val="Tahoma"/>
            <family val="2"/>
          </rPr>
          <t xml:space="preserve">
figure should be nil when above switch is zero</t>
        </r>
      </text>
    </comment>
  </commentList>
</comments>
</file>

<file path=xl/comments3.xml><?xml version="1.0" encoding="utf-8"?>
<comments xmlns="http://schemas.openxmlformats.org/spreadsheetml/2006/main">
  <authors>
    <author>brownm</author>
  </authors>
  <commentList>
    <comment ref="I320" authorId="0">
      <text>
        <r>
          <rPr>
            <b/>
            <sz val="10"/>
            <color indexed="81"/>
            <rFont val="Tahoma"/>
            <family val="2"/>
          </rPr>
          <t>Link to Financial issues, F22 Historic Rav lookup data tab, J26</t>
        </r>
        <r>
          <rPr>
            <b/>
            <sz val="8"/>
            <color indexed="81"/>
            <rFont val="Tahoma"/>
            <family val="2"/>
          </rPr>
          <t xml:space="preserve">
</t>
        </r>
      </text>
    </comment>
  </commentList>
</comments>
</file>

<file path=xl/comments4.xml><?xml version="1.0" encoding="utf-8"?>
<comments xmlns="http://schemas.openxmlformats.org/spreadsheetml/2006/main">
  <authors>
    <author>brownm</author>
  </authors>
  <commentList>
    <comment ref="I320" authorId="0">
      <text>
        <r>
          <rPr>
            <b/>
            <sz val="9"/>
            <color indexed="81"/>
            <rFont val="Tahoma"/>
            <family val="2"/>
          </rPr>
          <t>Link to Financial issues, F22 Historic Rav lookup data tab, J26</t>
        </r>
        <r>
          <rPr>
            <b/>
            <sz val="8"/>
            <color indexed="81"/>
            <rFont val="Tahoma"/>
            <family val="2"/>
          </rPr>
          <t xml:space="preserve">
</t>
        </r>
      </text>
    </comment>
  </commentList>
</comments>
</file>

<file path=xl/comments5.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6.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7.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8.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9.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0.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1.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2.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3.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4.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5.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comments16.xml><?xml version="1.0" encoding="utf-8"?>
<comments xmlns="http://schemas.openxmlformats.org/spreadsheetml/2006/main">
  <authors>
    <author>brownm</author>
  </authors>
  <commentList>
    <comment ref="I320" authorId="0">
      <text>
        <r>
          <rPr>
            <b/>
            <sz val="8"/>
            <color indexed="81"/>
            <rFont val="Tahoma"/>
            <family val="2"/>
          </rPr>
          <t xml:space="preserve">Link to Financial issues, F22 Historic Rav lookup data tab, J26
</t>
        </r>
      </text>
    </comment>
  </commentList>
</comments>
</file>

<file path=xl/sharedStrings.xml><?xml version="1.0" encoding="utf-8"?>
<sst xmlns="http://schemas.openxmlformats.org/spreadsheetml/2006/main" count="9394" uniqueCount="1043">
  <si>
    <t>Depreciation</t>
  </si>
  <si>
    <t>Dividends</t>
  </si>
  <si>
    <t>Dividends paid</t>
  </si>
  <si>
    <t>Capital allowances</t>
  </si>
  <si>
    <t>Deferred revenue expenditure</t>
  </si>
  <si>
    <t>Pre-vesting asset life</t>
  </si>
  <si>
    <t>Total</t>
  </si>
  <si>
    <t>Tax allowance</t>
  </si>
  <si>
    <t>Tax</t>
  </si>
  <si>
    <t>Vanilla WACC</t>
  </si>
  <si>
    <t>Total revenue</t>
  </si>
  <si>
    <t>Cost</t>
  </si>
  <si>
    <t>Issue or redeem equity</t>
  </si>
  <si>
    <t>Regulatory depreciation</t>
  </si>
  <si>
    <t>Net value after regulatory depreciation</t>
  </si>
  <si>
    <t>Post-vesting asset life</t>
  </si>
  <si>
    <t>Regulatory Asset Value (RAV)</t>
  </si>
  <si>
    <t>Closing asset value</t>
  </si>
  <si>
    <t>Revenue</t>
  </si>
  <si>
    <t>Return</t>
  </si>
  <si>
    <t>Price Control Revenue</t>
  </si>
  <si>
    <t>Additional income at group level</t>
  </si>
  <si>
    <t>Ofgem view</t>
  </si>
  <si>
    <t>Additional income</t>
  </si>
  <si>
    <t>Load Related</t>
  </si>
  <si>
    <t>Non-Load Related - other</t>
  </si>
  <si>
    <t>Capital allowance rate</t>
  </si>
  <si>
    <t>£m nominal</t>
  </si>
  <si>
    <t>Net additions</t>
  </si>
  <si>
    <t>RAV</t>
  </si>
  <si>
    <t>General pool</t>
  </si>
  <si>
    <t>WACC</t>
  </si>
  <si>
    <t>Cost of equity</t>
  </si>
  <si>
    <t>Equity issuance costs</t>
  </si>
  <si>
    <t>Cost of debt</t>
  </si>
  <si>
    <t>Interest</t>
  </si>
  <si>
    <t>Operator view</t>
  </si>
  <si>
    <t>Base Revenue</t>
  </si>
  <si>
    <t>Allowance</t>
  </si>
  <si>
    <t>File</t>
  </si>
  <si>
    <t>Units</t>
  </si>
  <si>
    <t>Annual values</t>
  </si>
  <si>
    <t>annual real %</t>
  </si>
  <si>
    <t>Constant</t>
  </si>
  <si>
    <t>Parameter</t>
  </si>
  <si>
    <t>Base revenue</t>
  </si>
  <si>
    <t>scalar</t>
  </si>
  <si>
    <t>flag</t>
  </si>
  <si>
    <t>Tax calculation</t>
  </si>
  <si>
    <t>%</t>
  </si>
  <si>
    <t>Assumed dividends as % of notional equity portion of RAV</t>
  </si>
  <si>
    <t>years</t>
  </si>
  <si>
    <t>Asset balance</t>
  </si>
  <si>
    <t>End of sheet</t>
  </si>
  <si>
    <t>index value</t>
  </si>
  <si>
    <t>annual %</t>
  </si>
  <si>
    <t>&gt;</t>
  </si>
  <si>
    <t>User selection lists</t>
  </si>
  <si>
    <t>Company</t>
  </si>
  <si>
    <t>Model operation</t>
  </si>
  <si>
    <t>MOD</t>
  </si>
  <si>
    <t>text</t>
  </si>
  <si>
    <t>1 + WACC</t>
  </si>
  <si>
    <t>Model key</t>
  </si>
  <si>
    <t>Tax trigger</t>
  </si>
  <si>
    <t>Tax trigger calculations</t>
  </si>
  <si>
    <t>real annual %</t>
  </si>
  <si>
    <t>RAV depreciation</t>
  </si>
  <si>
    <t>Applied</t>
  </si>
  <si>
    <t>Totex</t>
  </si>
  <si>
    <t>Slow money</t>
  </si>
  <si>
    <t>Closing value carried forward</t>
  </si>
  <si>
    <t>Opening balance brought forward</t>
  </si>
  <si>
    <t>Closing balance carried forward</t>
  </si>
  <si>
    <t>Capex additions</t>
  </si>
  <si>
    <t>Tax book value pre-depreciation</t>
  </si>
  <si>
    <t>Balance carried forward</t>
  </si>
  <si>
    <t>Contents</t>
  </si>
  <si>
    <t>Input</t>
  </si>
  <si>
    <t>Cover</t>
  </si>
  <si>
    <t>UserInterface</t>
  </si>
  <si>
    <t>OUTPUT &gt;</t>
  </si>
  <si>
    <t>CALCULATION &gt;</t>
  </si>
  <si>
    <t>Model key and content directory</t>
  </si>
  <si>
    <t>Checks</t>
  </si>
  <si>
    <t>Corporation tax rate</t>
  </si>
  <si>
    <t>RIIO Total</t>
  </si>
  <si>
    <t>RIIO average</t>
  </si>
  <si>
    <t>Capitalisation</t>
  </si>
  <si>
    <t>Efficiency incentive</t>
  </si>
  <si>
    <t>Run model for all licensees</t>
  </si>
  <si>
    <t>Threshold</t>
  </si>
  <si>
    <t>Tax base</t>
  </si>
  <si>
    <t>Tax losses</t>
  </si>
  <si>
    <t>Threshold value</t>
  </si>
  <si>
    <t>Tax allowance before tax trigger</t>
  </si>
  <si>
    <t>Value with original settings</t>
  </si>
  <si>
    <t>m_tax_trigger_results</t>
  </si>
  <si>
    <t>Post-TIM totex</t>
  </si>
  <si>
    <t>Total capital allowances</t>
  </si>
  <si>
    <t>Fast pot expenditure</t>
  </si>
  <si>
    <t>Financing costs</t>
  </si>
  <si>
    <t>Cost of raising equity</t>
  </si>
  <si>
    <t>Net debt</t>
  </si>
  <si>
    <t>Closing RAV</t>
  </si>
  <si>
    <t>Equity issuance cost</t>
  </si>
  <si>
    <t>Notional dividends</t>
  </si>
  <si>
    <t>Controllable opex</t>
  </si>
  <si>
    <t>Non-controllable opex</t>
  </si>
  <si>
    <t>Non-load related capex - other</t>
  </si>
  <si>
    <t>Load related capex</t>
  </si>
  <si>
    <t>Tax trigger calculation</t>
  </si>
  <si>
    <t>Sample</t>
  </si>
  <si>
    <t>Catch-up</t>
  </si>
  <si>
    <t>Catch-up for year t</t>
  </si>
  <si>
    <t>Tax loss brought forward</t>
  </si>
  <si>
    <t>SavedResults</t>
  </si>
  <si>
    <t>Cumulative depreciation</t>
  </si>
  <si>
    <t>Depreciation schedule</t>
  </si>
  <si>
    <t>Accelerated RAV differential post-vesting depreciation</t>
  </si>
  <si>
    <t>Depreciation parameters</t>
  </si>
  <si>
    <t>RAV differential is accruing differences</t>
  </si>
  <si>
    <t>Transfers</t>
  </si>
  <si>
    <t>Opening balance brought forward (before transfers)</t>
  </si>
  <si>
    <t>Opening balance brought forward (after transfers)</t>
  </si>
  <si>
    <t>Running total</t>
  </si>
  <si>
    <t>Net additions (after disposals)</t>
  </si>
  <si>
    <t>Depreciation values applied</t>
  </si>
  <si>
    <t>Less capital allowances</t>
  </si>
  <si>
    <t>Cost of capital</t>
  </si>
  <si>
    <t>Pre-vesting assets</t>
  </si>
  <si>
    <t>Tax pool allocation</t>
  </si>
  <si>
    <t>Policy</t>
  </si>
  <si>
    <t>RIIO</t>
  </si>
  <si>
    <t>Active</t>
  </si>
  <si>
    <t>Deferred revenue writing down allowance rate</t>
  </si>
  <si>
    <t>Deferred revenue expenditure opening balance brought forward</t>
  </si>
  <si>
    <t>Pre-RIIO net additions to RAV</t>
  </si>
  <si>
    <t>Tax pool additions</t>
  </si>
  <si>
    <t>Deferred revenue pool additions</t>
  </si>
  <si>
    <t>Deferred revenue pool</t>
  </si>
  <si>
    <t>Revenue pool</t>
  </si>
  <si>
    <t>Revenue pool additions</t>
  </si>
  <si>
    <t>Non-qualifying expenditure</t>
  </si>
  <si>
    <t>Load related capex allocation</t>
  </si>
  <si>
    <t>Non-load related capex - other allocation</t>
  </si>
  <si>
    <t>Expenditure categories allocated to tax pools</t>
  </si>
  <si>
    <t>Start of price control change in notional gearing</t>
  </si>
  <si>
    <t>Pre-vesting depreciation</t>
  </si>
  <si>
    <t>Allowed totex</t>
  </si>
  <si>
    <t>Actual load related capex</t>
  </si>
  <si>
    <t>Actual totex</t>
  </si>
  <si>
    <t>Post-TIM overspend (underspend)</t>
  </si>
  <si>
    <t>Allowed totex aggregated by sub-category</t>
  </si>
  <si>
    <t>Total allowed totex in price control (set at final proposals)</t>
  </si>
  <si>
    <t>RAV and assets</t>
  </si>
  <si>
    <t>Actual</t>
  </si>
  <si>
    <t>Actual non-load related capex - other</t>
  </si>
  <si>
    <t>Actual controllable opex</t>
  </si>
  <si>
    <t>Equity issuance with issuance costs allowed</t>
  </si>
  <si>
    <t>Input linked from annual update</t>
  </si>
  <si>
    <t>Annual update input</t>
  </si>
  <si>
    <t>Single year discount factor</t>
  </si>
  <si>
    <t>Return base</t>
  </si>
  <si>
    <t>Return on RAV</t>
  </si>
  <si>
    <t>Return &amp; RAV</t>
  </si>
  <si>
    <t>RAV differential</t>
  </si>
  <si>
    <t>Recalculated allowances</t>
  </si>
  <si>
    <t>Equity issuance</t>
  </si>
  <si>
    <t>Equity issuance gearing target</t>
  </si>
  <si>
    <t>Less target gearing for equity issuance</t>
  </si>
  <si>
    <t>Deviation from equity issuance target gearing</t>
  </si>
  <si>
    <t>Threshold deviation above target level</t>
  </si>
  <si>
    <t>Equity issuance threshold met</t>
  </si>
  <si>
    <t>Opening net debt</t>
  </si>
  <si>
    <t>Movement in net debt for notional regearing change</t>
  </si>
  <si>
    <t>Recalculated base revenue</t>
  </si>
  <si>
    <t>Less dividends</t>
  </si>
  <si>
    <t>Less tax paid</t>
  </si>
  <si>
    <t>Recalculated base revenue for year t</t>
  </si>
  <si>
    <t>Base revenue for year t</t>
  </si>
  <si>
    <t>Add tax allowance</t>
  </si>
  <si>
    <t>Recalculated base revenue delta</t>
  </si>
  <si>
    <t>Less actual totex</t>
  </si>
  <si>
    <t>Less actual non-totex</t>
  </si>
  <si>
    <t>Closing net debt</t>
  </si>
  <si>
    <t>Start of price control notional regearing</t>
  </si>
  <si>
    <t>Inputs for selected licensee</t>
  </si>
  <si>
    <t>INTERFACE &gt;</t>
  </si>
  <si>
    <t>Return&amp;RAV</t>
  </si>
  <si>
    <t>RAV and return calculations</t>
  </si>
  <si>
    <t>Previous year recalculated base revenue</t>
  </si>
  <si>
    <t>Forecast totex from new allowances</t>
  </si>
  <si>
    <t>Actual totex from cost reporting processes and final proposals</t>
  </si>
  <si>
    <t>- "fast money " is exported to the "Revenue" sheet where it is included as an element of "recalculated base revenue;" and</t>
  </si>
  <si>
    <t>Expenditure</t>
  </si>
  <si>
    <t>- "slow money " is exported to the "Depn" sheet where it is added to RAV. Slow money is recovered over the life of the RAV through regulatory depreciation and return allowances.</t>
  </si>
  <si>
    <t>Years from t until normal reporting of actual costs</t>
  </si>
  <si>
    <r>
      <rPr>
        <u/>
        <sz val="10"/>
        <rFont val="Gill Sans MT"/>
        <family val="2"/>
      </rPr>
      <t>Note:</t>
    </r>
    <r>
      <rPr>
        <sz val="10"/>
        <rFont val="Gill Sans MT"/>
        <family val="2"/>
      </rPr>
      <t xml:space="preserve"> "Post-TIM overspend (underspend)" is added to the allowed totex value to give the Post-TIM totex allowance to be split into fast and slow money.</t>
    </r>
  </si>
  <si>
    <r>
      <rPr>
        <u/>
        <sz val="10"/>
        <rFont val="Gill Sans MT"/>
        <family val="2"/>
      </rPr>
      <t>Note:</t>
    </r>
    <r>
      <rPr>
        <sz val="10"/>
        <rFont val="Gill Sans MT"/>
        <family val="2"/>
      </rPr>
      <t xml:space="preserve"> Annual iterations must have been completed for all prior years before running the model to generate MOD.</t>
    </r>
  </si>
  <si>
    <t/>
  </si>
  <si>
    <t>Running the macro saves the output from year t's iteration for use in future iterations.</t>
  </si>
  <si>
    <r>
      <rPr>
        <u/>
        <sz val="10"/>
        <rFont val="Gill Sans MT"/>
        <family val="2"/>
      </rPr>
      <t>Instruction:</t>
    </r>
    <r>
      <rPr>
        <sz val="10"/>
        <rFont val="Gill Sans MT"/>
        <family val="2"/>
      </rPr>
      <t xml:space="preserve"> Click on the left button to save results for the selected company only. Click the right button to save results for all.</t>
    </r>
  </si>
  <si>
    <t>Allowed load related capex</t>
  </si>
  <si>
    <t>Allowed non-load related capex - other</t>
  </si>
  <si>
    <t>Allowed controllable opex</t>
  </si>
  <si>
    <t>Post-vesting balance</t>
  </si>
  <si>
    <t>User Interface</t>
  </si>
  <si>
    <t>TaxPools</t>
  </si>
  <si>
    <t>Deferred Revenue Expenditure capital allowance rate</t>
  </si>
  <si>
    <t>Capital allowances and tax losses</t>
  </si>
  <si>
    <t>Tax policy</t>
  </si>
  <si>
    <t>TIM</t>
  </si>
  <si>
    <t>Slow pot</t>
  </si>
  <si>
    <t>Post-TIM totex allowance</t>
  </si>
  <si>
    <t>RAV additions (after disposals)</t>
  </si>
  <si>
    <t>Less additional income</t>
  </si>
  <si>
    <t>Direct allowed revenue terms (DARTs)</t>
  </si>
  <si>
    <t>TIM and capitalisation</t>
  </si>
  <si>
    <t>Finance</t>
  </si>
  <si>
    <t>Core DARTs</t>
  </si>
  <si>
    <t>Non-core DARTs</t>
  </si>
  <si>
    <t>DARTs</t>
  </si>
  <si>
    <t>DART groups</t>
  </si>
  <si>
    <t>Direct Allowance Revenue Terms</t>
  </si>
  <si>
    <t xml:space="preserve">Direct Allowed Revenue Terms (DARTs) </t>
  </si>
  <si>
    <t>Tax Pools</t>
  </si>
  <si>
    <t>Recalculated base revenue (except tax allowance)</t>
  </si>
  <si>
    <t>Add Recalculated base revenue (except tax allowance)</t>
  </si>
  <si>
    <t>Direct Allowed Revenue Terms (DARTs)</t>
  </si>
  <si>
    <t>Cumulative net additions</t>
  </si>
  <si>
    <t>Opening post-vesting RAV cost contribution</t>
  </si>
  <si>
    <t>Opening post-vesting RAV accumulated depreciation contribution</t>
  </si>
  <si>
    <t>RIIO opening value</t>
  </si>
  <si>
    <t>Present value of closing RAV</t>
  </si>
  <si>
    <t>NPV-neutral RAV return base</t>
  </si>
  <si>
    <t>PCFM year ending</t>
  </si>
  <si>
    <t>RAV differential depreciation of additions from year ending</t>
  </si>
  <si>
    <t>Depreciation allowed on additions from year ending</t>
  </si>
  <si>
    <t>Calculated for MOD year ending</t>
  </si>
  <si>
    <t>Price base</t>
  </si>
  <si>
    <t>year ending</t>
  </si>
  <si>
    <t>Opening RAV (before transfers)</t>
  </si>
  <si>
    <t>Opening RAV (after transfers)</t>
  </si>
  <si>
    <t>Regulatory Depreciation</t>
  </si>
  <si>
    <t>Tax Trigger</t>
  </si>
  <si>
    <t>Live Results</t>
  </si>
  <si>
    <t>Saved Results</t>
  </si>
  <si>
    <t>Totex Incentive Mechanism (TIM)</t>
  </si>
  <si>
    <t>Company number</t>
  </si>
  <si>
    <t>Year number</t>
  </si>
  <si>
    <t>Total net debt</t>
  </si>
  <si>
    <t>Opening total net debt (before equity issuance)</t>
  </si>
  <si>
    <t>Opening total net debt (after equity issuance)</t>
  </si>
  <si>
    <t>nominal annual %</t>
  </si>
  <si>
    <t>Closing value</t>
  </si>
  <si>
    <t>Index-linked debt as a percentage of net debt</t>
  </si>
  <si>
    <t>Net DART impact on core tax calculation</t>
  </si>
  <si>
    <t>Net impact of DARTs on core net debt</t>
  </si>
  <si>
    <t>Opening balance brought forward (before equity issuance and transfers)</t>
  </si>
  <si>
    <t>Opening balance brought forward (after equity issuance, before transfers)</t>
  </si>
  <si>
    <t>Opening balance brought forward (after equity issuance and transfers)</t>
  </si>
  <si>
    <t>Overall gearing at start of year (before equity issuance)</t>
  </si>
  <si>
    <t>Total opening regulatory assets (after transfers)</t>
  </si>
  <si>
    <t>Overall gearing at start of year (after equity issuance)</t>
  </si>
  <si>
    <t>Equity issuance cost as percentage of new equity</t>
  </si>
  <si>
    <t>Assumed equity portion of RAV</t>
  </si>
  <si>
    <t>Assumed dividends as percentage of notional equity portion of RAV</t>
  </si>
  <si>
    <t>Less revenue tax pool additions</t>
  </si>
  <si>
    <t>"Grossing-up" factor for tax on tax charge after losses</t>
  </si>
  <si>
    <t>Regearing</t>
  </si>
  <si>
    <r>
      <rPr>
        <u/>
        <sz val="10"/>
        <rFont val="Gill Sans MT"/>
        <family val="2"/>
      </rPr>
      <t>Note:</t>
    </r>
    <r>
      <rPr>
        <sz val="10"/>
        <rFont val="Gill Sans MT"/>
        <family val="2"/>
      </rPr>
      <t xml:space="preserve"> If opening overall gearing exceeds its target level beyond a given threshold, an equity issuance is triggered, bringing opening gearing back to its target level. An allowance is calculated for the cost of raising this equity.</t>
    </r>
  </si>
  <si>
    <r>
      <rPr>
        <u/>
        <sz val="10"/>
        <rFont val="Gill Sans MT"/>
        <family val="2"/>
      </rPr>
      <t>Note:</t>
    </r>
    <r>
      <rPr>
        <sz val="10"/>
        <rFont val="Gill Sans MT"/>
        <family val="2"/>
      </rPr>
      <t xml:space="preserve"> The nominal cost of debt is calculated and adjusted for any portion indexed for inflation.</t>
    </r>
  </si>
  <si>
    <r>
      <rPr>
        <u/>
        <sz val="10"/>
        <rFont val="Gill Sans MT"/>
        <family val="2"/>
      </rPr>
      <t>Note:</t>
    </r>
    <r>
      <rPr>
        <sz val="10"/>
        <rFont val="Gill Sans MT"/>
        <family val="2"/>
      </rPr>
      <t xml:space="preserve"> The tax charge is calculated before tax on tax. Tax on tax is added after losses are taken into account.</t>
    </r>
  </si>
  <si>
    <t>Overall opening gearing</t>
  </si>
  <si>
    <t>Forecast actual load related capex</t>
  </si>
  <si>
    <t>Forecast actual non-load related capex - other</t>
  </si>
  <si>
    <t>Forecast actual controllable opex</t>
  </si>
  <si>
    <r>
      <rPr>
        <u/>
        <sz val="10"/>
        <rFont val="Gill Sans MT"/>
        <family val="2"/>
      </rPr>
      <t>Note:</t>
    </r>
    <r>
      <rPr>
        <sz val="10"/>
        <rFont val="Gill Sans MT"/>
        <family val="2"/>
      </rPr>
      <t xml:space="preserve"> Actuals are exported both to identify performance against the allowance and to generate writing down allowances used in the tax calculation.</t>
    </r>
  </si>
  <si>
    <t>Source of actuals</t>
  </si>
  <si>
    <t>Input actuals used</t>
  </si>
  <si>
    <t>Forecast actuals generated from allowances</t>
  </si>
  <si>
    <r>
      <rPr>
        <u/>
        <sz val="10"/>
        <rFont val="Gill Sans MT"/>
        <family val="2"/>
      </rPr>
      <t>Note:</t>
    </r>
    <r>
      <rPr>
        <sz val="10"/>
        <rFont val="Gill Sans MT"/>
        <family val="2"/>
      </rPr>
      <t xml:space="preserve"> These values are set at final proposals and are not updated during the price control</t>
    </r>
  </si>
  <si>
    <t>When required in the model, forecasts assume that actuals are equal to their corresponding allowance.</t>
  </si>
  <si>
    <t>Gas distribution regulatory depreciation</t>
  </si>
  <si>
    <t>Threshold value adjustment</t>
  </si>
  <si>
    <t>Tax trigger parameters</t>
  </si>
  <si>
    <t>Tax trigger tax settings are used</t>
  </si>
  <si>
    <t>Result and output</t>
  </si>
  <si>
    <t>Tax trigger adjustment</t>
  </si>
  <si>
    <t>Active policy</t>
  </si>
  <si>
    <t>State options</t>
  </si>
  <si>
    <t>State selection</t>
  </si>
  <si>
    <t>Test operation</t>
  </si>
  <si>
    <t>Instruction</t>
  </si>
  <si>
    <t>Licence Model</t>
  </si>
  <si>
    <t>Year t selection:</t>
  </si>
  <si>
    <t>Year t selected:</t>
  </si>
  <si>
    <t>Company selection:</t>
  </si>
  <si>
    <t>Selected company:</t>
  </si>
  <si>
    <t>Selected model status:</t>
  </si>
  <si>
    <t>Final Proposals allowances</t>
  </si>
  <si>
    <t>Recorded recalculated base revenue</t>
  </si>
  <si>
    <t>Corporation tax charge after losses</t>
  </si>
  <si>
    <t>Run macro</t>
  </si>
  <si>
    <t>Links to saved results</t>
  </si>
  <si>
    <t>The "LiveResults" sheet recalls values generated in earlier iterations (Final Proposals allowances and recalculated base revenue) from this sheet.</t>
  </si>
  <si>
    <t>Saved results</t>
  </si>
  <si>
    <t>Live results</t>
  </si>
  <si>
    <r>
      <rPr>
        <u/>
        <sz val="10"/>
        <rFont val="Gill Sans MT"/>
        <family val="2"/>
      </rPr>
      <t>Note:</t>
    </r>
    <r>
      <rPr>
        <sz val="10"/>
        <rFont val="Gill Sans MT"/>
        <family val="2"/>
      </rPr>
      <t xml:space="preserve"> This sheet displays the output of the PCFM for the live company in the selected year.</t>
    </r>
  </si>
  <si>
    <t>As well as displaying output it performs the role of recalling results generated with data at earlier stages from the "SavedResults" sheet required for the MOD calculation.</t>
  </si>
  <si>
    <t>Offset settings</t>
  </si>
  <si>
    <t>Number of rows per company on "SavedResults"</t>
  </si>
  <si>
    <r>
      <rPr>
        <u/>
        <sz val="10"/>
        <rFont val="Gill Sans MT"/>
        <family val="2"/>
      </rPr>
      <t>Note:</t>
    </r>
    <r>
      <rPr>
        <sz val="10"/>
        <rFont val="Gill Sans MT"/>
        <family val="2"/>
      </rPr>
      <t xml:space="preserve"> This sheet uses Offset functions to recall saved data for the live company on the "SavedResults" sheet, and to place recalculated base revenue values into a row where the year of calculation can be identified.</t>
    </r>
  </si>
  <si>
    <t>Totex allowance and actuals</t>
  </si>
  <si>
    <t>Totex Incentive Mechanism and capitalisation</t>
  </si>
  <si>
    <t>Tax pools and capital allowances</t>
  </si>
  <si>
    <t>Revenue and MOD</t>
  </si>
  <si>
    <t>Results for selected company</t>
  </si>
  <si>
    <t>Saved results for all companies</t>
  </si>
  <si>
    <t>TaxTrigger</t>
  </si>
  <si>
    <t>PCFM year t</t>
  </si>
  <si>
    <t>Model state</t>
  </si>
  <si>
    <r>
      <rPr>
        <u/>
        <sz val="10"/>
        <rFont val="Gill Sans MT"/>
        <family val="2"/>
      </rPr>
      <t>Instruction:</t>
    </r>
    <r>
      <rPr>
        <sz val="10"/>
        <rFont val="Gill Sans MT"/>
        <family val="2"/>
      </rPr>
      <t xml:space="preserve"> Use the following drop-down list to select the active company in the model.</t>
    </r>
  </si>
  <si>
    <r>
      <rPr>
        <u/>
        <sz val="10"/>
        <rFont val="Gill Sans MT"/>
        <family val="2"/>
      </rPr>
      <t>Instruction:</t>
    </r>
    <r>
      <rPr>
        <sz val="10"/>
        <rFont val="Gill Sans MT"/>
        <family val="2"/>
      </rPr>
      <t xml:space="preserve"> Use the following drop-down list to identify year t in the model. Year t is identified here by its end date.</t>
    </r>
  </si>
  <si>
    <t>Active company</t>
  </si>
  <si>
    <r>
      <rPr>
        <u/>
        <sz val="10"/>
        <rFont val="Gill Sans MT"/>
        <family val="2"/>
      </rPr>
      <t>Note:</t>
    </r>
    <r>
      <rPr>
        <sz val="10"/>
        <rFont val="Gill Sans MT"/>
        <family val="2"/>
      </rPr>
      <t xml:space="preserve"> The lists below drive the drop-down lists above.</t>
    </r>
  </si>
  <si>
    <t>Using the drop-down lists above returns an integer in the "cell link" positioned below their "source list."</t>
  </si>
  <si>
    <t>The number returned in the cell link corresponds to the position of the selected item in the source list.</t>
  </si>
  <si>
    <t>The macros save results and values required for future years which cannot be recreated once inputs are revised.</t>
  </si>
  <si>
    <t>Allocation to "Non Qualifying" pool</t>
  </si>
  <si>
    <t>Allocation to "Revenue" pool</t>
  </si>
  <si>
    <t>Allocation to "Deferred Revenue" pool</t>
  </si>
  <si>
    <r>
      <rPr>
        <u/>
        <sz val="10"/>
        <rFont val="Gill Sans MT"/>
        <family val="2"/>
      </rPr>
      <t>Note:</t>
    </r>
    <r>
      <rPr>
        <sz val="10"/>
        <rFont val="Gill Sans MT"/>
        <family val="2"/>
      </rPr>
      <t xml:space="preserve"> Totex is the sum of a number of cost categories, with all totex allowances falling under one (or more) of them. They have significance in the model as each sub-category can have its own set of tax pool allocation rules.</t>
    </r>
  </si>
  <si>
    <r>
      <rPr>
        <u/>
        <sz val="10"/>
        <rFont val="Gill Sans MT"/>
        <family val="2"/>
      </rPr>
      <t>Note:</t>
    </r>
    <r>
      <rPr>
        <sz val="10"/>
        <rFont val="Gill Sans MT"/>
        <family val="2"/>
      </rPr>
      <t xml:space="preserve"> Licence conditions may allow for non-baseline allowances to be granted. These are added to the baseline to generate the allowed sub-categories and thereby the overall allowed totex.</t>
    </r>
  </si>
  <si>
    <r>
      <rPr>
        <u/>
        <sz val="10"/>
        <rFont val="Gill Sans MT"/>
        <family val="2"/>
      </rPr>
      <t>Note:</t>
    </r>
    <r>
      <rPr>
        <sz val="10"/>
        <rFont val="Gill Sans MT"/>
        <family val="2"/>
      </rPr>
      <t xml:space="preserve"> The model assumes that there is a time lag from year t until actual expenditure data becomes available for the model. After the lag, actual expenditure inputs are used. Up to that point the model generates a forecast actual expenditure.</t>
    </r>
  </si>
  <si>
    <t>In a year where actual totex is assumed to be available, values must be inputted to the model as it will not generate a forecast and the empty input cell will be read as an actual spend of zero.</t>
  </si>
  <si>
    <t>Non Base Revenue DARTs</t>
  </si>
  <si>
    <t>Base revenue DARTs</t>
  </si>
  <si>
    <t xml:space="preserve">"Post-tax" allowances can be included in the tax calculation but "Pre-tax" allowances cannot. </t>
  </si>
  <si>
    <r>
      <rPr>
        <u/>
        <sz val="10"/>
        <rFont val="Gill Sans MT"/>
        <family val="2"/>
      </rPr>
      <t>Note:</t>
    </r>
    <r>
      <rPr>
        <sz val="10"/>
        <rFont val="Gill Sans MT"/>
        <family val="2"/>
      </rPr>
      <t xml:space="preserve"> DARTs are allowances with minimal processing required in the model as they flow directly from input to revenue. </t>
    </r>
  </si>
  <si>
    <t>They do however have different indirect impacts on equity issuance and tax. They are grouped here by their treatment type to aid common treatment of DARTs through the rest of the model.</t>
  </si>
  <si>
    <r>
      <rPr>
        <u/>
        <sz val="10"/>
        <rFont val="Gill Sans MT"/>
        <family val="2"/>
      </rPr>
      <t>Note:</t>
    </r>
    <r>
      <rPr>
        <sz val="10"/>
        <rFont val="Gill Sans MT"/>
        <family val="2"/>
      </rPr>
      <t xml:space="preserve"> "Allowed totex" is exported to be used in the TIM calculation. The allowed totex sub-categories are used below to create forecast actuals for the tax calculation and the TIM calculation when actuals are not yet available.</t>
    </r>
  </si>
  <si>
    <t>Results for the selected company can be found on the "LiveResults" sheet and also on the "SavedResults" sheet once saved by a macro.</t>
  </si>
  <si>
    <r>
      <rPr>
        <u/>
        <sz val="10"/>
        <rFont val="Gill Sans MT"/>
        <family val="2"/>
      </rPr>
      <t>Note:</t>
    </r>
    <r>
      <rPr>
        <sz val="10"/>
        <rFont val="Gill Sans MT"/>
        <family val="2"/>
      </rPr>
      <t xml:space="preserve"> Actual totex is combined with other expenditure and allocated to tax pools. Each cost sub-category can have its own percentage split between each pool.</t>
    </r>
  </si>
  <si>
    <t>Tax allowance (before Tax Trigger adjustment)</t>
  </si>
  <si>
    <t>Original allowed totex (set at final proposals)</t>
  </si>
  <si>
    <t>Finance &amp; Tax</t>
  </si>
  <si>
    <t>Finance&amp;Tax</t>
  </si>
  <si>
    <t>Closing net debt (before tax and debt costs)</t>
  </si>
  <si>
    <t>Net interest received</t>
  </si>
  <si>
    <t>Forecast cost of debt</t>
  </si>
  <si>
    <t>Net interest received (interest coupon)</t>
  </si>
  <si>
    <t>Net interest received (inflation coupon)</t>
  </si>
  <si>
    <t>Less net interest paid (inflation coupon)</t>
  </si>
  <si>
    <t>Less net interest paid (interest coupon)</t>
  </si>
  <si>
    <t>Allocation to interest or inflation coupon</t>
  </si>
  <si>
    <t>Share of interest as inflation coupon</t>
  </si>
  <si>
    <t>Net debt, equity issuance, financing costs and tax</t>
  </si>
  <si>
    <r>
      <rPr>
        <u/>
        <sz val="10"/>
        <rFont val="Gill Sans MT"/>
        <family val="2"/>
      </rPr>
      <t>Note:</t>
    </r>
    <r>
      <rPr>
        <sz val="10"/>
        <rFont val="Gill Sans MT"/>
        <family val="2"/>
      </rPr>
      <t xml:space="preserve"> The inflation coupon from index linked debt is identified separately from other interest costs.</t>
    </r>
  </si>
  <si>
    <r>
      <t>Note:</t>
    </r>
    <r>
      <rPr>
        <sz val="10"/>
        <rFont val="Gill Sans MT"/>
        <family val="2"/>
      </rPr>
      <t xml:space="preserve"> Net debt is calculated to generate interest paid (for the tax calculation) and gearing levels (for equity issuance calculations).</t>
    </r>
  </si>
  <si>
    <t>Inflation coupon on index linked debt</t>
  </si>
  <si>
    <r>
      <rPr>
        <u/>
        <sz val="10"/>
        <rFont val="Gill Sans MT"/>
        <family val="2"/>
      </rPr>
      <t>Note:</t>
    </r>
    <r>
      <rPr>
        <sz val="10"/>
        <rFont val="Gill Sans MT"/>
        <family val="2"/>
      </rPr>
      <t xml:space="preserve"> A "grossing-up factor" based on the infinite geometric progression of being taxed on tax is used to move the tax allowance from a post-tax to a pre-tax basis. This can only be applied once tax losses have been taken into account.</t>
    </r>
  </si>
  <si>
    <t>Current recalculated base revenue for years &lt; t</t>
  </si>
  <si>
    <t>Less previous recalculated base revenue for years &lt; t</t>
  </si>
  <si>
    <r>
      <rPr>
        <u/>
        <sz val="10"/>
        <rFont val="Gill Sans MT"/>
        <family val="2"/>
      </rPr>
      <t>Note:</t>
    </r>
    <r>
      <rPr>
        <sz val="10"/>
        <rFont val="Gill Sans MT"/>
        <family val="2"/>
      </rPr>
      <t xml:space="preserve"> New changes to recalculated base revenue in earlier years are identified as "recalculated base revenue deltas" to be brought forward.</t>
    </r>
  </si>
  <si>
    <r>
      <rPr>
        <u/>
        <sz val="10"/>
        <rFont val="Gill Sans MT"/>
        <family val="2"/>
      </rPr>
      <t>Note:</t>
    </r>
    <r>
      <rPr>
        <sz val="10"/>
        <rFont val="Gill Sans MT"/>
        <family val="2"/>
      </rPr>
      <t xml:space="preserve"> Recalculated base revenue deltas are brought forward using the WACC-based carrying factor to provide "catch-up" for year t.</t>
    </r>
  </si>
  <si>
    <t>Base Revenue for year t</t>
  </si>
  <si>
    <r>
      <rPr>
        <u/>
        <sz val="10"/>
        <rFont val="Gill Sans MT"/>
        <family val="2"/>
      </rPr>
      <t>Note:</t>
    </r>
    <r>
      <rPr>
        <sz val="10"/>
        <rFont val="Gill Sans MT"/>
        <family val="2"/>
      </rPr>
      <t xml:space="preserve"> Base Revenue is only calculated for one year t at a time in the model.</t>
    </r>
  </si>
  <si>
    <t>The previous recalculated base revenue value is recalled via functionality on the "LiveResults" sheet saving information to and recalling it from the "SavedResults" sheet.</t>
  </si>
  <si>
    <r>
      <rPr>
        <u/>
        <sz val="10"/>
        <rFont val="Gill Sans MT"/>
        <family val="2"/>
      </rPr>
      <t>Note:</t>
    </r>
    <r>
      <rPr>
        <sz val="10"/>
        <rFont val="Gill Sans MT"/>
        <family val="2"/>
      </rPr>
      <t xml:space="preserve"> MOD is identified as the difference between Base Revenue and its opening value calculated at Final Proposals.</t>
    </r>
  </si>
  <si>
    <r>
      <rPr>
        <u/>
        <sz val="10"/>
        <rFont val="Gill Sans MT"/>
        <family val="2"/>
      </rPr>
      <t>Note:</t>
    </r>
    <r>
      <rPr>
        <sz val="10"/>
        <rFont val="Gill Sans MT"/>
        <family val="2"/>
      </rPr>
      <t xml:space="preserve"> Non-Core DARTs are added to Base Revenue to give Total Revenue. Non-Core DARTs are not included in the MOD calculation and therefore revisions to their values in earlier years must be processed as true-ups to year t.</t>
    </r>
  </si>
  <si>
    <r>
      <rPr>
        <u/>
        <sz val="10"/>
        <rFont val="Gill Sans MT"/>
        <family val="2"/>
      </rPr>
      <t>Note:</t>
    </r>
    <r>
      <rPr>
        <sz val="10"/>
        <rFont val="Gill Sans MT"/>
        <family val="2"/>
      </rPr>
      <t xml:space="preserve"> "Catch-up" calculates the revenue adjustment required to compensate for the impact of new information on previous year allowances.</t>
    </r>
  </si>
  <si>
    <r>
      <rPr>
        <u/>
        <sz val="10"/>
        <rFont val="Gill Sans MT"/>
        <family val="2"/>
      </rPr>
      <t>Note:</t>
    </r>
    <r>
      <rPr>
        <sz val="10"/>
        <rFont val="Gill Sans MT"/>
        <family val="2"/>
      </rPr>
      <t xml:space="preserve"> "Recalculated base revenue" calculates the Base Revenue that would have been allowed if the current inputs were known at Final Proposals.</t>
    </r>
  </si>
  <si>
    <t>Its values feed into the MOD calculation below and are saved via functionality on the "LiveResults" sheet so it can be recalled in the MOD calculation in the following year.</t>
  </si>
  <si>
    <r>
      <rPr>
        <u/>
        <sz val="10"/>
        <rFont val="Gill Sans MT"/>
        <family val="2"/>
      </rPr>
      <t>Note:</t>
    </r>
    <r>
      <rPr>
        <sz val="10"/>
        <rFont val="Gill Sans MT"/>
        <family val="2"/>
      </rPr>
      <t xml:space="preserve"> The "Return base" is calculated such that the net present value of the stream of depreciation and return flowing from a RAV addition is equal to the present value of the addition itself.</t>
    </r>
  </si>
  <si>
    <r>
      <rPr>
        <u/>
        <sz val="10"/>
        <rFont val="Gill Sans MT"/>
        <family val="2"/>
      </rPr>
      <t>Note:</t>
    </r>
    <r>
      <rPr>
        <sz val="10"/>
        <rFont val="Gill Sans MT"/>
        <family val="2"/>
      </rPr>
      <t xml:space="preserve"> The RAV is presented separate pre-vesting and post-vesting balances brought together to form a combined "Running total."</t>
    </r>
  </si>
  <si>
    <t>Assets with non-standard depreciation policies applied or that are transferred to the RAV during the price control are also brought into the RAV here.</t>
  </si>
  <si>
    <r>
      <rPr>
        <u/>
        <sz val="10"/>
        <rFont val="Gill Sans MT"/>
        <family val="2"/>
      </rPr>
      <t>Note:</t>
    </r>
    <r>
      <rPr>
        <sz val="10"/>
        <rFont val="Gill Sans MT"/>
        <family val="2"/>
      </rPr>
      <t xml:space="preserve"> Post-vesting RAV opening balances are generated from calculations built up since vesting. Net additions (after disposals), depreciation and removals are calculated principally on the "Depn" sheet.</t>
    </r>
  </si>
  <si>
    <r>
      <rPr>
        <u/>
        <sz val="10"/>
        <rFont val="Gill Sans MT"/>
        <family val="2"/>
      </rPr>
      <t>Instruction:</t>
    </r>
    <r>
      <rPr>
        <sz val="10"/>
        <rFont val="Gill Sans MT"/>
        <family val="2"/>
      </rPr>
      <t xml:space="preserve"> Enter values in the yellow cells below for use in the Tax Trigger test.</t>
    </r>
  </si>
  <si>
    <r>
      <rPr>
        <u/>
        <sz val="10"/>
        <rFont val="Gill Sans MT"/>
        <family val="2"/>
      </rPr>
      <t>Note:</t>
    </r>
    <r>
      <rPr>
        <sz val="10"/>
        <rFont val="Gill Sans MT"/>
        <family val="2"/>
      </rPr>
      <t xml:space="preserve"> Flags are used throughout to indicate whether the original or Tax Trigger value is being used. The live values below are exported for use throughout the model.</t>
    </r>
  </si>
  <si>
    <r>
      <rPr>
        <u/>
        <sz val="10"/>
        <rFont val="Gill Sans MT"/>
        <family val="2"/>
      </rPr>
      <t>Note:</t>
    </r>
    <r>
      <rPr>
        <sz val="10"/>
        <rFont val="Gill Sans MT"/>
        <family val="2"/>
      </rPr>
      <t xml:space="preserve"> Once the test is complete, the "Tax Trigger adjustment" below can be taken from below and inputted to the PCFM set to run as the Licence Model, rather than the Tax Trigger Tool.</t>
    </r>
  </si>
  <si>
    <t>Clicking the macro button below runs the "TaxTrigger" macro, performing the Tax Trigger adjustment calculation for the selected licensee for year t.</t>
  </si>
  <si>
    <t>Adjacent named range: m_tax_trigger_state</t>
  </si>
  <si>
    <t>Adjacent named range: m_calculated_tax</t>
  </si>
  <si>
    <t>The output generated by the macro can be replicated manually using the following steps:</t>
  </si>
  <si>
    <t>Test state output</t>
  </si>
  <si>
    <t>3. Copy the cells marked as the "m_calculated_tax" named range and paste them at the named range "m_saved_original_test."</t>
  </si>
  <si>
    <r>
      <rPr>
        <u/>
        <sz val="10"/>
        <rFont val="Gill Sans MT"/>
        <family val="2"/>
      </rPr>
      <t>Note:</t>
    </r>
    <r>
      <rPr>
        <sz val="10"/>
        <rFont val="Gill Sans MT"/>
        <family val="2"/>
      </rPr>
      <t xml:space="preserve"> The Tax Trigger Tool is disabled if the "Model state" below reads "Licence Model."</t>
    </r>
  </si>
  <si>
    <t>Net RAV additions (after disposals)</t>
  </si>
  <si>
    <t>Pre-RIIO net RAV additions (after disposals)</t>
  </si>
  <si>
    <t>The company selection output is set as a "named range." This gives a stable anchor point for the "RunForAll" macro to change the company.</t>
  </si>
  <si>
    <t>Adjacent named range: m_live_results</t>
  </si>
  <si>
    <r>
      <rPr>
        <u/>
        <sz val="10"/>
        <rFont val="Gill Sans MT"/>
        <family val="2"/>
      </rPr>
      <t>Note:</t>
    </r>
    <r>
      <rPr>
        <sz val="10"/>
        <rFont val="Gill Sans MT"/>
        <family val="2"/>
      </rPr>
      <t xml:space="preserve"> The "Run_for_one" and "RunForAll" macros save output on the "LiveResults" sheet to points on this sheet designated by named ranges. The hyperlinks below lead to the saved output for each company.</t>
    </r>
  </si>
  <si>
    <t>For "LiveResults" to recall data correctly, there must be an equal number of rows between each named ranges marking the start of each company's section. There must also be sufficient rows to hold the output generated on the "LiveResults" sheet.</t>
  </si>
  <si>
    <r>
      <rPr>
        <u/>
        <sz val="10"/>
        <rFont val="Gill Sans MT"/>
        <family val="2"/>
      </rPr>
      <t>Note:</t>
    </r>
    <r>
      <rPr>
        <sz val="10"/>
        <rFont val="Gill Sans MT"/>
        <family val="2"/>
      </rPr>
      <t xml:space="preserve"> Cumulative values provide the opening values for the following year.</t>
    </r>
  </si>
  <si>
    <r>
      <rPr>
        <u/>
        <sz val="10"/>
        <rFont val="Gill Sans MT"/>
        <family val="2"/>
      </rPr>
      <t>Note:</t>
    </r>
    <r>
      <rPr>
        <sz val="10"/>
        <rFont val="Gill Sans MT"/>
        <family val="2"/>
      </rPr>
      <t xml:space="preserve"> Additions to RAV are combined before feeding into the depreciation calculations. Disposals are treated as negative additions. Pre-RIIO values are used to build up the post-vesting RAV from vesting.</t>
    </r>
  </si>
  <si>
    <r>
      <rPr>
        <u/>
        <sz val="10"/>
        <rFont val="Gill Sans MT"/>
        <family val="2"/>
      </rPr>
      <t>Note:</t>
    </r>
    <r>
      <rPr>
        <sz val="10"/>
        <rFont val="Gill Sans MT"/>
        <family val="2"/>
      </rPr>
      <t xml:space="preserve"> The following depreciation factor is used to depreciate the pre-vesting balance on the "Return&amp;RAV" sheet.</t>
    </r>
  </si>
  <si>
    <t>Variant allowances</t>
  </si>
  <si>
    <t>Non-variant allowed load related capex</t>
  </si>
  <si>
    <t>Non-variant allowed non-load related capex - other</t>
  </si>
  <si>
    <t>Non-variant allowed controllable opex</t>
  </si>
  <si>
    <t>Variant allowed load related capex</t>
  </si>
  <si>
    <t>Variant allowed non-load related capex - other</t>
  </si>
  <si>
    <t>Variant allowed controllable opex</t>
  </si>
  <si>
    <t>Variant</t>
  </si>
  <si>
    <t>Closing net debt (except for interest and tax)</t>
  </si>
  <si>
    <t>Average net debt (except for interest and tax)</t>
  </si>
  <si>
    <t>Notes and instructions</t>
  </si>
  <si>
    <t>Profits attributable to corporation tax (before Tax Clawback)</t>
  </si>
  <si>
    <t>Established pension deficit repair</t>
  </si>
  <si>
    <t>Pension true-up from previous price controls</t>
  </si>
  <si>
    <t>Base Revenue DARTs with no impact on net debt or tax</t>
  </si>
  <si>
    <t>Base Revenue DARTs impacting both net debt and tax</t>
  </si>
  <si>
    <t>Base Revenue DARTs impacting net debt but not tax</t>
  </si>
  <si>
    <t>Notional gearing</t>
  </si>
  <si>
    <r>
      <rPr>
        <u/>
        <sz val="10"/>
        <rFont val="Gill Sans MT"/>
        <family val="2"/>
      </rPr>
      <t>Note:</t>
    </r>
    <r>
      <rPr>
        <sz val="10"/>
        <rFont val="Gill Sans MT"/>
        <family val="2"/>
      </rPr>
      <t xml:space="preserve"> The company opens the price control at its notionally geared level. Any equity issuance required to reach this level is not shown.</t>
    </r>
  </si>
  <si>
    <r>
      <rPr>
        <u/>
        <sz val="10"/>
        <rFont val="Gill Sans MT"/>
        <family val="2"/>
      </rPr>
      <t>Note:</t>
    </r>
    <r>
      <rPr>
        <sz val="10"/>
        <rFont val="Gill Sans MT"/>
        <family val="2"/>
      </rPr>
      <t xml:space="preserve"> The additional income lump sum is recovered across the price control and is matched to the profile of allowed totex set at final proposals.</t>
    </r>
  </si>
  <si>
    <t>Post-vesting assets</t>
  </si>
  <si>
    <r>
      <rPr>
        <u/>
        <sz val="10"/>
        <rFont val="Gill Sans MT"/>
        <family val="2"/>
      </rPr>
      <t>Note:</t>
    </r>
    <r>
      <rPr>
        <sz val="10"/>
        <rFont val="Gill Sans MT"/>
        <family val="2"/>
      </rPr>
      <t xml:space="preserve"> Unlike interest, dividends are based on notional rather than modelled gearing levels.</t>
    </r>
  </si>
  <si>
    <t>Forecast RPI (simple average year to March)</t>
  </si>
  <si>
    <t>Less equity issuance costs</t>
  </si>
  <si>
    <t>Adjacent named range: m_identity</t>
  </si>
  <si>
    <t>Incentive strength</t>
  </si>
  <si>
    <t>PCFM Variable Values Table</t>
  </si>
  <si>
    <t>Minimum equity issuance threshold</t>
  </si>
  <si>
    <t>Share of additional income allowed in year</t>
  </si>
  <si>
    <t>Weight of Ofgem's view on price control totex</t>
  </si>
  <si>
    <t>Weight of operator's view on price control totex</t>
  </si>
  <si>
    <t>Totex applied</t>
  </si>
  <si>
    <t>Non-variant allowances</t>
  </si>
  <si>
    <t>Slow pot expenditure</t>
  </si>
  <si>
    <t>Pre-RIIO transfers to depreciation</t>
  </si>
  <si>
    <t>Net depreciation additions (after disposals)</t>
  </si>
  <si>
    <t>Note:</t>
  </si>
  <si>
    <t>Allocation check</t>
  </si>
  <si>
    <r>
      <rPr>
        <u/>
        <sz val="10"/>
        <rFont val="Gill Sans MT"/>
        <family val="2"/>
      </rPr>
      <t>Note:</t>
    </r>
    <r>
      <rPr>
        <sz val="10"/>
        <rFont val="Gill Sans MT"/>
        <family val="2"/>
      </rPr>
      <t xml:space="preserve"> All categories should equal 100%</t>
    </r>
  </si>
  <si>
    <t>Discounted closing RAV</t>
  </si>
  <si>
    <t>Financial statements</t>
  </si>
  <si>
    <t>Operating revenue</t>
  </si>
  <si>
    <t>Earnings before interest, taxes, depreciation and amortisation (EBITDA)</t>
  </si>
  <si>
    <t>EBITDA</t>
  </si>
  <si>
    <t>Earnings before interest and taxes (EBIT)</t>
  </si>
  <si>
    <t>EBIT</t>
  </si>
  <si>
    <t>Retained earnings</t>
  </si>
  <si>
    <t>Retained earnings for the year</t>
  </si>
  <si>
    <t>Net cash flow from operations</t>
  </si>
  <si>
    <t>FFO</t>
  </si>
  <si>
    <t>Retained cash flow (RCF)</t>
  </si>
  <si>
    <t>RCF</t>
  </si>
  <si>
    <t>Net cash flow before financing</t>
  </si>
  <si>
    <t>Net cash flow from financing</t>
  </si>
  <si>
    <t>Change in net debt</t>
  </si>
  <si>
    <t>Check</t>
  </si>
  <si>
    <t>Financial ratios</t>
  </si>
  <si>
    <t>Credit ratios</t>
  </si>
  <si>
    <t>Interest cover ratios</t>
  </si>
  <si>
    <t>Adjusted interest cover ratio (post-maintenance interest cover ratio)</t>
  </si>
  <si>
    <t>Net debt cover ratios</t>
  </si>
  <si>
    <t>FFO / Net Debt</t>
  </si>
  <si>
    <t>RCF / Net Debt</t>
  </si>
  <si>
    <t>Calculated gearing</t>
  </si>
  <si>
    <t>RCF / Capex</t>
  </si>
  <si>
    <t>Equity ratios</t>
  </si>
  <si>
    <t>Regulated equity to earnings ratios</t>
  </si>
  <si>
    <t>Regulated equity</t>
  </si>
  <si>
    <t>Regulated equity / EBITDA</t>
  </si>
  <si>
    <t>Dividend cover ratio</t>
  </si>
  <si>
    <t>FinancialStatements</t>
  </si>
  <si>
    <t>FinancialRatios</t>
  </si>
  <si>
    <t>Financial ratios for selected company</t>
  </si>
  <si>
    <t>Financial statements for selected company</t>
  </si>
  <si>
    <t>Funds from operations (FFO)</t>
  </si>
  <si>
    <t>Less total operating costs</t>
  </si>
  <si>
    <t>Less dividends paid</t>
  </si>
  <si>
    <t>Less established pension deficit repair</t>
  </si>
  <si>
    <r>
      <rPr>
        <u/>
        <sz val="10"/>
        <rFont val="Gill Sans MT"/>
        <family val="2"/>
      </rPr>
      <t>Note:</t>
    </r>
    <r>
      <rPr>
        <sz val="10"/>
        <rFont val="Gill Sans MT"/>
        <family val="2"/>
      </rPr>
      <t xml:space="preserve"> An allowance is given to cover the change in notional gearing from its level in the previous price control. </t>
    </r>
  </si>
  <si>
    <t>Special Rates capital allowance rate</t>
  </si>
  <si>
    <t>Allocation to "Special Rate" pool</t>
  </si>
  <si>
    <t>Special Rate pool</t>
  </si>
  <si>
    <t>Special Rate pool additions</t>
  </si>
  <si>
    <t>Special Rates pool</t>
  </si>
  <si>
    <t>Special Rate capital allowance opening balance brought forward</t>
  </si>
  <si>
    <t>General pool capital allowance rate</t>
  </si>
  <si>
    <t>General pool capital allowance opening balance brought forward</t>
  </si>
  <si>
    <t>Allocation to "General" pool</t>
  </si>
  <si>
    <t>General pool additions</t>
  </si>
  <si>
    <t>Note: Special, General and deferred revenue capital allowances are calculated for the tax allowance calculation.</t>
  </si>
  <si>
    <t>Net adjustments</t>
  </si>
  <si>
    <t>Average RAV</t>
  </si>
  <si>
    <t>Gearing</t>
  </si>
  <si>
    <t>Regulated debt return</t>
  </si>
  <si>
    <t>Opening asset value (before transfers)</t>
  </si>
  <si>
    <t>Opening asset value (after transfers)</t>
  </si>
  <si>
    <t>INPUT SELECTION &gt;</t>
  </si>
  <si>
    <t>Information and interface</t>
  </si>
  <si>
    <t>COMPANY SPECIFIC INPUT SHEETS &gt;</t>
  </si>
  <si>
    <t>Deferred revenue expenditure capital allowance (straight line)</t>
  </si>
  <si>
    <t>Special Rates capital allowance (reducing balance)</t>
  </si>
  <si>
    <t>General pool capital allowance (reducing balance)</t>
  </si>
  <si>
    <t>Forecast group totex</t>
  </si>
  <si>
    <t>Percentage of group totex at licensee level</t>
  </si>
  <si>
    <t>Ofgem view of group price control totex</t>
  </si>
  <si>
    <t>Forecast licensee totex</t>
  </si>
  <si>
    <t>Fast pot + Slow Pot</t>
  </si>
  <si>
    <t>Final proposals base revenue</t>
  </si>
  <si>
    <t>Recorded MOD</t>
  </si>
  <si>
    <t>Mean</t>
  </si>
  <si>
    <t>High</t>
  </si>
  <si>
    <t>Low</t>
  </si>
  <si>
    <t>For transmission only, where the Pre-RIIO closing gearing is higher than the notional opening gear the notional gearing at the start of RIIO will be uplifted to reflect this difference.</t>
  </si>
  <si>
    <t>In-year taxable loss</t>
  </si>
  <si>
    <t>Taxable losses brought forward</t>
  </si>
  <si>
    <t>Profits attributable to corporation tax (after taxable losses)</t>
  </si>
  <si>
    <t>RoRE as per allowed return</t>
  </si>
  <si>
    <r>
      <rPr>
        <u/>
        <sz val="10"/>
        <rFont val="Gill Sans MT"/>
        <family val="2"/>
      </rPr>
      <t>Note:</t>
    </r>
    <r>
      <rPr>
        <sz val="10"/>
        <rFont val="Gill Sans MT"/>
        <family val="2"/>
      </rPr>
      <t xml:space="preserve"> Opening values are based on real opening RAV inflated by the previous years prices.</t>
    </r>
  </si>
  <si>
    <t>Details of change</t>
  </si>
  <si>
    <t>Date</t>
  </si>
  <si>
    <t>Inputs to RoRE</t>
  </si>
  <si>
    <t>The WACC-based time value of money factor applies the WACC for the appropriate number of years delay between the new delta and recovery in year t MOD. Be aware that the calculation of this value uses an offset function.</t>
  </si>
  <si>
    <t>WACC-based time value of money factor</t>
  </si>
  <si>
    <t>Not Used</t>
  </si>
  <si>
    <t>Allocation to load related capex</t>
  </si>
  <si>
    <t>Allocation to non-load related capex - other</t>
  </si>
  <si>
    <t>Allocation to controllable opex</t>
  </si>
  <si>
    <t>1. Clear any values from previous tests in the "Test state output" section below (named range "m_saved_original_results")</t>
  </si>
  <si>
    <t>2. Set testing state to "Licence Model"</t>
  </si>
  <si>
    <t>4. Set testing state to "Tax Trigger Calculation"</t>
  </si>
  <si>
    <t>Tax Trigger Calculation</t>
  </si>
  <si>
    <t>Value with new settings and threshold adjustment</t>
  </si>
  <si>
    <t>Threshold value applied</t>
  </si>
  <si>
    <t>Links to changes in model</t>
  </si>
  <si>
    <r>
      <rPr>
        <u/>
        <sz val="10"/>
        <rFont val="Gill Sans MT"/>
        <family val="2"/>
      </rPr>
      <t>Note:</t>
    </r>
    <r>
      <rPr>
        <sz val="10"/>
        <rFont val="Gill Sans MT"/>
        <family val="2"/>
      </rPr>
      <t xml:space="preserve"> The formula determines whether the recalculated tax is above or below the threshold and sets the adjustment accordingly</t>
    </r>
  </si>
  <si>
    <t>Named ranges above: m_saved_original_test</t>
  </si>
  <si>
    <t>B event value</t>
  </si>
  <si>
    <t>MOD from previous years is recalled via functionality on the "LiveResults" sheet saving information to and recalling it from the "SavedResults" sheet.</t>
  </si>
  <si>
    <t>Final Proposals base revenue</t>
  </si>
  <si>
    <t>Equity</t>
  </si>
  <si>
    <t>Movement in net debt</t>
  </si>
  <si>
    <t>Less RAV adjustment from previous price controls</t>
  </si>
  <si>
    <t>Regulatory earning statement</t>
  </si>
  <si>
    <t>Regulatory cash flow statement</t>
  </si>
  <si>
    <t>Movement in equity (before issuance)</t>
  </si>
  <si>
    <t>Depn</t>
  </si>
  <si>
    <t>Funding Adjustment Rate (often referred to as 'sharing factor')</t>
  </si>
  <si>
    <t>RoRE</t>
  </si>
  <si>
    <t>Return on Regulatory Equity calculations for selected company</t>
  </si>
  <si>
    <t>Bill impact</t>
  </si>
  <si>
    <t>Bill impact for all companies</t>
  </si>
  <si>
    <t>Bill impact calculations</t>
  </si>
  <si>
    <t>Separate capitalisation</t>
  </si>
  <si>
    <t>Revenue adjustment from previous price controls</t>
  </si>
  <si>
    <t>RIIO post-vesting RAV additions</t>
  </si>
  <si>
    <t>RIIO post-vesting RAV disposals</t>
  </si>
  <si>
    <t>Licence condition</t>
  </si>
  <si>
    <t>Term</t>
  </si>
  <si>
    <t>ALC</t>
  </si>
  <si>
    <t>AOC</t>
  </si>
  <si>
    <t>ARE</t>
  </si>
  <si>
    <t>TGIE</t>
  </si>
  <si>
    <t>TTE</t>
  </si>
  <si>
    <t>IRM</t>
  </si>
  <si>
    <t>Cost of Debt Inflation</t>
  </si>
  <si>
    <t>Forecast Debt inflation</t>
  </si>
  <si>
    <t>PBT</t>
  </si>
  <si>
    <t>Profit before tax (PBT)</t>
  </si>
  <si>
    <t>Profit after tax (PAT)</t>
  </si>
  <si>
    <t>PAT</t>
  </si>
  <si>
    <t>Net interest paid (interest coupon)</t>
  </si>
  <si>
    <t>Net interest paid (inflation coupon)</t>
  </si>
  <si>
    <t xml:space="preserve"> </t>
  </si>
  <si>
    <t>FFO interest cover ratio (including accretions)</t>
  </si>
  <si>
    <t>FFO interest cover ratio (cash interest only)</t>
  </si>
  <si>
    <t>Net Debt / Closing RAV</t>
  </si>
  <si>
    <t>Regulated equity / PAT</t>
  </si>
  <si>
    <t>Capex (slow pot expenditure)</t>
  </si>
  <si>
    <t>Scenario selection</t>
  </si>
  <si>
    <t>Inputs for statutory depreciation</t>
  </si>
  <si>
    <t>Statutory depreciation as per BPDT</t>
  </si>
  <si>
    <t>Capex as per BPDT</t>
  </si>
  <si>
    <t>Statutory depreciation calculations</t>
  </si>
  <si>
    <t>Capex as per PCFM</t>
  </si>
  <si>
    <t>Asset life for statutory depreciation calculations</t>
  </si>
  <si>
    <t>Statutory depreciation as per PCFM</t>
  </si>
  <si>
    <t>Less statutory depreciation as per PCFM</t>
  </si>
  <si>
    <t>Adjacent named range: m_PCFM_year_t</t>
  </si>
  <si>
    <t>"Passthrough-style" allowances are treated as an equal revenue and cost. Therefore they have no net cash flow impact. "Revenue" allowances are just set as a revenue amount with any costs relating to them are dealt with elsewhere.</t>
  </si>
  <si>
    <r>
      <rPr>
        <u/>
        <sz val="10"/>
        <rFont val="Gill Sans MT"/>
        <family val="2"/>
      </rPr>
      <t>Note:</t>
    </r>
    <r>
      <rPr>
        <sz val="10"/>
        <rFont val="Gill Sans MT"/>
        <family val="2"/>
      </rPr>
      <t xml:space="preserve"> If equity issuance is negative, then equity issuance costs are set to zero</t>
    </r>
  </si>
  <si>
    <t>A sub-total is taken before tax and interest on in-year cash flow. This allows the calculation of interest on in-year cash flow to be solved analytically.</t>
  </si>
  <si>
    <t>Reconciliation of cash flows to movement in net debt</t>
  </si>
  <si>
    <t>Net cash flow</t>
  </si>
  <si>
    <t>RPI assumption for interest costs</t>
  </si>
  <si>
    <t>Less Final Proposals base revenue for year t</t>
  </si>
  <si>
    <t>Total revenue (Base Revenue Plus net Darts)</t>
  </si>
  <si>
    <t>Regulatory Financial Position</t>
  </si>
  <si>
    <t>Regulatory financial position</t>
  </si>
  <si>
    <t>Supporting analysis for Financial position</t>
  </si>
  <si>
    <t>Nominal RAV</t>
  </si>
  <si>
    <t>Opening RAV (at prior year nominal)</t>
  </si>
  <si>
    <t>£PY nominal</t>
  </si>
  <si>
    <t>RPI (uplift from previous year to current nominal)</t>
  </si>
  <si>
    <t>Opening equity (before RPI uplift on opening RAV)</t>
  </si>
  <si>
    <t>RPI uplift on opening RAV</t>
  </si>
  <si>
    <t>Opening equity (after RPI uplift on opening RAV)</t>
  </si>
  <si>
    <t>RAV adjustment from previous price controls (share to equity)</t>
  </si>
  <si>
    <t>Earnings after tax (after regulatory depreciation)</t>
  </si>
  <si>
    <t>Regulatory dividend</t>
  </si>
  <si>
    <t>Equity issued (net of issuance costs)</t>
  </si>
  <si>
    <t>PAT (using regulatory depreciation)</t>
  </si>
  <si>
    <t>PAT (per regulatory earnings statement below)</t>
  </si>
  <si>
    <t>add back: statutory depreciation</t>
  </si>
  <si>
    <t>less: regulatory depreciation</t>
  </si>
  <si>
    <t>PAT (after regulatory depreciation)</t>
  </si>
  <si>
    <t>Add back: inflation coupon (capital accretion)</t>
  </si>
  <si>
    <t>check</t>
  </si>
  <si>
    <t>Equity issuance costs (netted against equity not cashflow)</t>
  </si>
  <si>
    <t>Tax Trigger Deadbands</t>
  </si>
  <si>
    <t>Tax Trigger Deadband</t>
  </si>
  <si>
    <t>Note:  This includes RAV and earning on a regulatory basis using regulatory depreciation</t>
  </si>
  <si>
    <r>
      <rPr>
        <u/>
        <sz val="10"/>
        <rFont val="Gill Sans MT"/>
        <family val="2"/>
      </rPr>
      <t>Note:</t>
    </r>
    <r>
      <rPr>
        <sz val="10"/>
        <rFont val="Gill Sans MT"/>
        <family val="2"/>
      </rPr>
      <t xml:space="preserve"> Calculations of the regulatory financial position below are done on a notional basis, in line with the assumptions in this model and in Final Proposals. These may be different from the financial position of companies in their accounts.</t>
    </r>
  </si>
  <si>
    <t>Note:  Calculations of the regulatory financial position reconcile modelled movements in RAV with modelled movements in net debt, to arrive at a movement in equity.</t>
  </si>
  <si>
    <t>Note:Statutory depreciation is estimated below by adjusting the statutory depreciation figures from the companies’ business plans for differences in capex. Statutory depreciation is used in the regulatory income statement. The values of statutory depreciation may be different from the values shown in companies’ accounts.</t>
  </si>
  <si>
    <t>Note: Calculations of the regulatory cash flow statement below are done on a notional basis, in line with the assumptions in this model and in Final Proposals. These may be different from the cash flow statement shown in the companies’ accounts.</t>
  </si>
  <si>
    <t>Note: Calculations of the regulatory income statement below are done on a notional basis, in line with the assumptions in this model and in Final Proposals. These may be different from the income statement shown in the companies’ accounts.</t>
  </si>
  <si>
    <t>Note: Credit ratios are calculated on a notional basis, in line with the assumptions in this model and in Final Proposals. These may be different from the ratios that the companies or credit rating agencies calculate for the actual company.</t>
  </si>
  <si>
    <t>ENWL</t>
  </si>
  <si>
    <t>NPgN</t>
  </si>
  <si>
    <t>NPgY</t>
  </si>
  <si>
    <t>WMID</t>
  </si>
  <si>
    <t>EMID</t>
  </si>
  <si>
    <t>SWALES</t>
  </si>
  <si>
    <t>SWEST</t>
  </si>
  <si>
    <t>LPN</t>
  </si>
  <si>
    <t>SPN</t>
  </si>
  <si>
    <t>EPN</t>
  </si>
  <si>
    <t>SPD</t>
  </si>
  <si>
    <t>SPMW</t>
  </si>
  <si>
    <t>SSEH</t>
  </si>
  <si>
    <t>SSES</t>
  </si>
  <si>
    <t>Done</t>
  </si>
  <si>
    <r>
      <rPr>
        <u/>
        <sz val="10"/>
        <rFont val="Gill Sans MT"/>
        <family val="2"/>
      </rPr>
      <t>Note:</t>
    </r>
    <r>
      <rPr>
        <sz val="10"/>
        <rFont val="Gill Sans MT"/>
        <family val="2"/>
      </rPr>
      <t xml:space="preserve"> Before vesting assets are fully depreciated, regulatory depreciation is just non-accelerated depreciation. Afterwards it is accelerated depreciation plus any smoothed RAV differential value available.</t>
    </r>
  </si>
  <si>
    <t>Year ending</t>
  </si>
  <si>
    <t>Pre-RIIO transfer to depreciation</t>
  </si>
  <si>
    <t>Smoothing profile for recovery of RAV differential</t>
  </si>
  <si>
    <t>Smoothing period</t>
  </si>
  <si>
    <r>
      <rPr>
        <u/>
        <sz val="10"/>
        <rFont val="Gill Sans MT"/>
        <family val="2"/>
      </rPr>
      <t>Note:</t>
    </r>
    <r>
      <rPr>
        <sz val="10"/>
        <rFont val="Gill Sans MT"/>
        <family val="2"/>
      </rPr>
      <t xml:space="preserve"> The RAV differential accumulated from the accelerated and non-accelerated schedules above is released once pre-vesting assets are fully depreciated over an input smoothing profile.</t>
    </r>
  </si>
  <si>
    <t>Non-accelerated depreciation of additions from year ending</t>
  </si>
  <si>
    <t>Non-accelerated post-vesting depreciation applied</t>
  </si>
  <si>
    <t>Non-accelerated post-vesting asset life</t>
  </si>
  <si>
    <r>
      <rPr>
        <u/>
        <sz val="10"/>
        <rFont val="Gill Sans MT"/>
        <family val="2"/>
      </rPr>
      <t>Note:</t>
    </r>
    <r>
      <rPr>
        <sz val="10"/>
        <rFont val="Gill Sans MT"/>
        <family val="2"/>
      </rPr>
      <t xml:space="preserve"> Non-accelerated depreciation calculations are used to establish the "RAV differential" accumulated as the difference between non-accelerated and accelerated depreciation before full depreciation of vesting assets.</t>
    </r>
  </si>
  <si>
    <t>Non-accelerated post-vesting depreciation</t>
  </si>
  <si>
    <t>Accelerated depreciation of additions from year ending</t>
  </si>
  <si>
    <t>Accelerated post-vesting depreciation applied</t>
  </si>
  <si>
    <r>
      <rPr>
        <u/>
        <sz val="10"/>
        <rFont val="Gill Sans MT"/>
        <family val="2"/>
      </rPr>
      <t>Note:</t>
    </r>
    <r>
      <rPr>
        <sz val="10"/>
        <rFont val="Gill Sans MT"/>
        <family val="2"/>
      </rPr>
      <t xml:space="preserve"> Accelerated depreciation calculations provide the allowed depreciation after full depreciation of pre-vesting assets, but are also used to establish the "RAV differential" generated before that point.</t>
    </r>
  </si>
  <si>
    <t>Accelerated post-vesting depreciation</t>
  </si>
  <si>
    <t>Vesting year</t>
  </si>
  <si>
    <t>Logged-up and security costs are retrospectively added to RAV to provide the updated opening RAV and align depreciation with expenditure.</t>
  </si>
  <si>
    <t>Accelerated post-vesting asset life</t>
  </si>
  <si>
    <t>Smoothing period following full depreciation of pre-vesting assets</t>
  </si>
  <si>
    <t>Less post-vesting disposal proceeds</t>
  </si>
  <si>
    <t>ED</t>
  </si>
  <si>
    <t>Actual non-load related capex - asset replacement</t>
  </si>
  <si>
    <t>Non-variant allowed non-load related capex - asset replacement</t>
  </si>
  <si>
    <t>Allocation to non-load related capex - asset replacement</t>
  </si>
  <si>
    <t>Variant allowed non-load related capex - asset replacement</t>
  </si>
  <si>
    <t>Non-load related capex - asset replacement</t>
  </si>
  <si>
    <t>Allowed non-load related capex - asset replacement</t>
  </si>
  <si>
    <t>Forecast actual non-load related capex - asset replacement</t>
  </si>
  <si>
    <t>Totex excluding 'non-load related capex - other'</t>
  </si>
  <si>
    <t>Pre vesting asset depn in first year (mths)</t>
  </si>
  <si>
    <t>months</t>
  </si>
  <si>
    <t>Metering Write Off</t>
  </si>
  <si>
    <t>Amount</t>
  </si>
  <si>
    <t>Indexation</t>
  </si>
  <si>
    <t>Metering Write off</t>
  </si>
  <si>
    <t>ENW</t>
  </si>
  <si>
    <t>NPN</t>
  </si>
  <si>
    <t>NPY</t>
  </si>
  <si>
    <t>CN West</t>
  </si>
  <si>
    <t>CN East</t>
  </si>
  <si>
    <t>WPD SWales</t>
  </si>
  <si>
    <t>WPD SWest</t>
  </si>
  <si>
    <t>UKPN LPN</t>
  </si>
  <si>
    <t>UKPN SPN</t>
  </si>
  <si>
    <t>UKPN EPN</t>
  </si>
  <si>
    <t>SP Dist</t>
  </si>
  <si>
    <t>SP Manweb</t>
  </si>
  <si>
    <t>SSE Hydro</t>
  </si>
  <si>
    <t>SSE Southern</t>
  </si>
  <si>
    <t>Checks to make sure depreciation does not exceed limit</t>
  </si>
  <si>
    <t>Addition</t>
  </si>
  <si>
    <t>Exceeds? (1-yes, no-0)</t>
  </si>
  <si>
    <t>EDFE EPN</t>
  </si>
  <si>
    <t>EDFE SPN</t>
  </si>
  <si>
    <t>EDFE LPN</t>
  </si>
  <si>
    <t>CE YEDL</t>
  </si>
  <si>
    <t>CE NEDL</t>
  </si>
  <si>
    <t>WPD S Wales</t>
  </si>
  <si>
    <t>WPD S West</t>
  </si>
  <si>
    <t>SP Distribution</t>
  </si>
  <si>
    <t>Total ED base revenue for 2014/15</t>
  </si>
  <si>
    <t>Nominal</t>
  </si>
  <si>
    <t>Actual faults</t>
  </si>
  <si>
    <t>Non-variant allowed faults</t>
  </si>
  <si>
    <t>Allocation to faults</t>
  </si>
  <si>
    <t>Variant allowed faults</t>
  </si>
  <si>
    <t>Faults</t>
  </si>
  <si>
    <t>Allowed faults</t>
  </si>
  <si>
    <t>Forecast actual faults</t>
  </si>
  <si>
    <t>Less post-vesting RAV adjustment (share to net debt)</t>
  </si>
  <si>
    <t>General pool capital allowance pre-RIIO movement forecast</t>
  </si>
  <si>
    <t>General pool capital allowance pre-RIIO movement adjustment</t>
  </si>
  <si>
    <t>Special Rate  capital allowance pre-RIIO movement forecast</t>
  </si>
  <si>
    <t>Special Rate  capital allowance pre-RIIO movement adjustment</t>
  </si>
  <si>
    <t>Deferred revenue expenditure pre-RIIO movement forecast</t>
  </si>
  <si>
    <t>Deferred revenue expenditure  pre-RIIO movement adjustment</t>
  </si>
  <si>
    <t>Deferred Revenue Expenditure pre-RIIO movement adjustment</t>
  </si>
  <si>
    <t>Less fast pot expenditure</t>
  </si>
  <si>
    <t>Less difference in fast pot expenditure pre-TIM and post-TIM</t>
  </si>
  <si>
    <t>Net slow pot expenditure</t>
  </si>
  <si>
    <t>Add net impact of DARTs on net debt</t>
  </si>
  <si>
    <t>Start of year transfers may also include net debt transferred to RAV.</t>
  </si>
  <si>
    <t>Equity issuance (if any) occurs at the start of the year and may be followed by transfers (to equalise opening gearing levels across the company).</t>
  </si>
  <si>
    <t xml:space="preserve">Start of year gearing equalisation </t>
  </si>
  <si>
    <r>
      <rPr>
        <u/>
        <sz val="10"/>
        <rFont val="Gill Sans MT"/>
        <family val="2"/>
      </rPr>
      <t>Note:</t>
    </r>
    <r>
      <rPr>
        <sz val="10"/>
        <rFont val="Gill Sans MT"/>
        <family val="2"/>
      </rPr>
      <t xml:space="preserve"> Movements in cash flow allow gearing levels to diverge within the year. Net debt transfers at the start of the year equalise levels of gearing across the company.</t>
    </r>
  </si>
  <si>
    <t>Add net DART impact on tax calculation</t>
  </si>
  <si>
    <t>Revenue from previous controls</t>
  </si>
  <si>
    <t>Legacy losses incentive</t>
  </si>
  <si>
    <t>Directly Remunerated Services</t>
  </si>
  <si>
    <t>ES7 (Miscellaneous) revenue</t>
  </si>
  <si>
    <t>ES7 (Miscellaneous) assumed costs</t>
  </si>
  <si>
    <t>ES7 (Miscellaneous) net position</t>
  </si>
  <si>
    <t xml:space="preserve">ES7 (Miscellaneous) </t>
  </si>
  <si>
    <t>MG TO UPDATE NOTES for this section</t>
  </si>
  <si>
    <t>De Minimis Activities costs</t>
  </si>
  <si>
    <t>De Minimis Activities net position</t>
  </si>
  <si>
    <t xml:space="preserve">Additional income % </t>
  </si>
  <si>
    <t>Additional income %</t>
  </si>
  <si>
    <t>Incentive Strength</t>
  </si>
  <si>
    <t>Non-totex (all catergorised as 'opex' for tax purposes)</t>
  </si>
  <si>
    <t xml:space="preserve">Non-controllable opex </t>
  </si>
  <si>
    <t>Less non-controllable opex</t>
  </si>
  <si>
    <t>Spare 1</t>
  </si>
  <si>
    <t>Spare 2</t>
  </si>
  <si>
    <t>Spare 3</t>
  </si>
  <si>
    <t>Diversionary works under obligation (ES2) revenue</t>
  </si>
  <si>
    <t>Diversionary works under obligation (ES2) costs</t>
  </si>
  <si>
    <t>Diversionary works under obligation (ES2) net position</t>
  </si>
  <si>
    <t>Work required by any alteration premises (ES3) costs</t>
  </si>
  <si>
    <t>Work required by any alteration premises (ES3) net position</t>
  </si>
  <si>
    <t>Top up standby and enhanced system security (ES4) costs</t>
  </si>
  <si>
    <t>Top up standby and enhanced system security (ES4) net position</t>
  </si>
  <si>
    <t>Revenue protection services (ES5) costs</t>
  </si>
  <si>
    <t>Revenue protection services (ES5) net position</t>
  </si>
  <si>
    <t>Metering services (non legacy) (ES6) costs</t>
  </si>
  <si>
    <t>Metering services (non legacy) (ES6) net position</t>
  </si>
  <si>
    <t>Metering services (legacy)  costs</t>
  </si>
  <si>
    <t>Metering services (legacy)  net position</t>
  </si>
  <si>
    <t>Spare costs</t>
  </si>
  <si>
    <t>Spare net position</t>
  </si>
  <si>
    <t>Work required by any alteration premises (ES3) revenue</t>
  </si>
  <si>
    <t>Top up standby and enhanced system security (ES4) revenue</t>
  </si>
  <si>
    <t>Revenue protection services (ES5) revenue</t>
  </si>
  <si>
    <t>Metering services (non legacy) (ES6) revenue</t>
  </si>
  <si>
    <t>Metering services (legacy)  revenue</t>
  </si>
  <si>
    <t>De Minimis Activities revenue</t>
  </si>
  <si>
    <t>Spare revenue</t>
  </si>
  <si>
    <t>Out of Area Networks revenue</t>
  </si>
  <si>
    <t>Out of Area Networks costs</t>
  </si>
  <si>
    <t>Out of Area Networks net position</t>
  </si>
  <si>
    <t>Scenario</t>
  </si>
  <si>
    <t>Selected Scenario:</t>
  </si>
  <si>
    <t>Tax paid</t>
  </si>
  <si>
    <t>Add recalculated base revenue (except tax allowance), incl add. income</t>
  </si>
  <si>
    <t xml:space="preserve">Profits reduced by tax losses </t>
  </si>
  <si>
    <t>Tax Allowance when tax losses are not taken into account</t>
  </si>
  <si>
    <t>Profits attributable to corporation tax</t>
  </si>
  <si>
    <t>Corporation tax charge beforre losses</t>
  </si>
  <si>
    <t>Tax allowance without taking into account losses</t>
  </si>
  <si>
    <t>Below shows the state of the model selected in the Tax Trigger sheet</t>
  </si>
  <si>
    <r>
      <rPr>
        <u/>
        <sz val="10"/>
        <rFont val="Gill Sans MT"/>
        <family val="2"/>
      </rPr>
      <t>Instruction:</t>
    </r>
    <r>
      <rPr>
        <sz val="10"/>
        <rFont val="Gill Sans MT"/>
        <family val="2"/>
      </rPr>
      <t xml:space="preserve"> To run the model as the Tax Trigger Tool, The model state selected below should be Tax Trigger Calculation</t>
    </r>
  </si>
  <si>
    <t>Add recalculated base revenue (except tax allowance), incl add. Income</t>
  </si>
  <si>
    <t>Tax allowance (net adjustment for Tax Trigger/clawback)</t>
  </si>
  <si>
    <t>Vesting Period</t>
  </si>
  <si>
    <t>MOD Summary</t>
  </si>
  <si>
    <t>Fixed input value</t>
  </si>
  <si>
    <t>LiveResults</t>
  </si>
  <si>
    <t>Electricity Distribution</t>
  </si>
  <si>
    <t>RIIO ED1 Price Control Financial Model for the Annual Iteration Process that will take place by 30 November 2015-16</t>
  </si>
  <si>
    <t>Note: Calculations of the regulatory financial position in financial statements are done on a notional basis, in line with the assumptions in this model and in Final Proposals. These may be different from the financial position stated in operator's accounts.</t>
  </si>
  <si>
    <t>XX</t>
  </si>
  <si>
    <t>YY</t>
  </si>
  <si>
    <t>Regulatory Tax losses</t>
  </si>
  <si>
    <t>Contributions to losses from clawback</t>
  </si>
  <si>
    <t>Adjustment to losses from tax trigger</t>
  </si>
  <si>
    <t>Additional allowance where tax trigger positive (over and above that used to offset clawback)</t>
  </si>
  <si>
    <t>Controllable Opex</t>
  </si>
  <si>
    <t>Impact net debt, No Tax Allowance given, Tax Paid on net income</t>
  </si>
  <si>
    <t>No impact on debt, No Tax Allowance given, Tax Paid on net income</t>
  </si>
  <si>
    <t>Impact net debt, Tax Allowance given (and so tax paid on income)</t>
  </si>
  <si>
    <t>No impact on net debt, No Tax Allowance given, no tax paid (as underlying assumption is costs equal income)</t>
  </si>
  <si>
    <t>Legacy Losses Incentive</t>
  </si>
  <si>
    <t>Connections Incentives</t>
  </si>
  <si>
    <t>Opening</t>
  </si>
  <si>
    <t>Profiling Values</t>
  </si>
  <si>
    <t>Profiling Impact on Actual Revenues</t>
  </si>
  <si>
    <t>Closing balance</t>
  </si>
  <si>
    <t>IOU Balance nil?</t>
  </si>
  <si>
    <t>Recalculated Revenue After Profiling</t>
  </si>
  <si>
    <t xml:space="preserve">Time value of money </t>
  </si>
  <si>
    <t>Initial Profile Adjustment</t>
  </si>
  <si>
    <t>Time Value of Money Increment</t>
  </si>
  <si>
    <t>Time Value of Money Increment Calculations:</t>
  </si>
  <si>
    <t>Current WACC</t>
  </si>
  <si>
    <t>IOU Account</t>
  </si>
  <si>
    <t>WACC at FP (to be hard pasted at FP)</t>
  </si>
  <si>
    <t>Time Value of Money Profile Adjustment</t>
  </si>
  <si>
    <t>Time Value of Money Profile Increment</t>
  </si>
  <si>
    <t>Initial Profile Adjustment:</t>
  </si>
  <si>
    <t>Time Value of Money Profile Adjustment:</t>
  </si>
  <si>
    <t>Recalculated Revenue After Profiling but before time value adjustment</t>
  </si>
  <si>
    <t>Initial Revenue before profiling and Revenue after profiling NPV neutral?</t>
  </si>
  <si>
    <t>COPY and Paste in rows 31:44</t>
  </si>
  <si>
    <t>Time Value of Money Profile Adjustment pasted properly?</t>
  </si>
  <si>
    <t>Revenue adjustments going through model? 1-yes 0-no</t>
  </si>
  <si>
    <t>Tax Allowance impact due to change in revenue</t>
  </si>
  <si>
    <t>Revenue Before Profiling</t>
  </si>
  <si>
    <t>Equity Issuance Allowance impact due to change in revenue</t>
  </si>
  <si>
    <t>IOU Account: Difference between Base Rev before profiling and Revenue after profiling</t>
  </si>
  <si>
    <t>Grey shaded figure should be nil</t>
  </si>
  <si>
    <t>CODING HAS BEEN REMOVED SO INPUTS DO NOT FEED INTO THIS ROW</t>
  </si>
  <si>
    <t>Base revenue for RIIO</t>
  </si>
  <si>
    <t>Non-controllable opex (excluding Exit Charges)</t>
  </si>
  <si>
    <t>Non-controllable opex (Exit Charges)</t>
  </si>
  <si>
    <t>Other consented activities revenue</t>
  </si>
  <si>
    <t>Other consented activities costs</t>
  </si>
  <si>
    <t>Other consented activities net position</t>
  </si>
  <si>
    <t>Capex difference</t>
  </si>
  <si>
    <t>DRE: Gross capex up to and including 31 March 2013</t>
  </si>
  <si>
    <t>DRE: Gross capex forecast</t>
  </si>
  <si>
    <t>DRE: Gross capex adjustment</t>
  </si>
  <si>
    <t>Metering services associated with the SM roll out revenue</t>
  </si>
  <si>
    <t>Metering services associated with the SM roll out costs</t>
  </si>
  <si>
    <t>Metering services associated with the SM roll out net position</t>
  </si>
  <si>
    <t>£m 12/13 prices</t>
  </si>
  <si>
    <r>
      <rPr>
        <u/>
        <sz val="10"/>
        <rFont val="Gill Sans MT"/>
        <family val="2"/>
      </rPr>
      <t>Note:</t>
    </r>
    <r>
      <rPr>
        <sz val="10"/>
        <rFont val="Gill Sans MT"/>
        <family val="2"/>
      </rPr>
      <t xml:space="preserve"> Totex overspend (underspend) is identified and subject to the "efficiency incentive rate." </t>
    </r>
  </si>
  <si>
    <t xml:space="preserve">Totex </t>
  </si>
  <si>
    <t xml:space="preserve">Actual totex </t>
  </si>
  <si>
    <t>Less allowed totex</t>
  </si>
  <si>
    <t>Pre-TIM totex overspend (underspend)</t>
  </si>
  <si>
    <t>Capitalised share of totex</t>
  </si>
  <si>
    <t>Totex fast pot expenditure</t>
  </si>
  <si>
    <t>Totex slow pot expenditure</t>
  </si>
  <si>
    <t>Note: Post-TIM totex are allocated into "fast" and "slow" elements based on a pre-set percentage split:</t>
  </si>
  <si>
    <t>Post-TIM totex overspend (underspend)</t>
  </si>
  <si>
    <t>Revenue Profiling</t>
  </si>
  <si>
    <t>Revenue Profiling tool</t>
  </si>
  <si>
    <t xml:space="preserve">Tax Pool Allocation </t>
  </si>
  <si>
    <t>Allocation to 'General' pool</t>
  </si>
  <si>
    <t>Allocation to 'Special Rate' pool</t>
  </si>
  <si>
    <t>Allocation to 'Deferred Revenue' pool</t>
  </si>
  <si>
    <t xml:space="preserve">Allocation to 'Revenue' </t>
  </si>
  <si>
    <t>Allocation to 'Non-qualifying'</t>
  </si>
  <si>
    <t>Element of connection that is Sole Use funded costs</t>
  </si>
  <si>
    <t>Element of connection that is Sole Use funded revenue</t>
  </si>
  <si>
    <t>Element of connection that is Sole Use funded net position</t>
  </si>
  <si>
    <t>Connection projects UMC revenue</t>
  </si>
  <si>
    <t>Connection projects UMC costs</t>
  </si>
  <si>
    <t>Connection projects UMC net position</t>
  </si>
  <si>
    <t>Ofgem's view of  licensee totex</t>
  </si>
  <si>
    <t>Operator's view of licensee totex</t>
  </si>
  <si>
    <t>Ofgem's view of group price control totex</t>
  </si>
  <si>
    <t xml:space="preserve">Operator's view of group price control totex </t>
  </si>
  <si>
    <t>All DNOs</t>
  </si>
  <si>
    <t>NPV-neutral RAV return base: equity portion ie X (1-gearing)</t>
  </si>
  <si>
    <t xml:space="preserve">Grossing-up factor for tax on tax charge </t>
  </si>
  <si>
    <t xml:space="preserve">Distribution charge </t>
  </si>
  <si>
    <t>Inputs from DPCR5 provided by DNOs</t>
  </si>
  <si>
    <t>In Year 2014/15 from OnePage summaries (in 12/13 prices)</t>
  </si>
  <si>
    <t xml:space="preserve">Fast pot </t>
  </si>
  <si>
    <t>Data for additional income spreading</t>
  </si>
  <si>
    <t>Input used to spread additional income</t>
  </si>
  <si>
    <t xml:space="preserve">EDE   </t>
  </si>
  <si>
    <t>CRC3C</t>
  </si>
  <si>
    <t xml:space="preserve">Tax liability revenue allowance adjustments in respect of tax trigger events                                                       </t>
  </si>
  <si>
    <t>Tax liability revenue allowance adjustments - gearing / debt interest costs</t>
  </si>
  <si>
    <t xml:space="preserve">Allowed percentage cost of corporate debt                                                                                                                         </t>
  </si>
  <si>
    <t xml:space="preserve">Pension Scheme Established Deficit revenue allowances                                                                                               </t>
  </si>
  <si>
    <t xml:space="preserve">Allowed Expenditure - Innovation Roll-out </t>
  </si>
  <si>
    <t>CDE  </t>
  </si>
  <si>
    <t xml:space="preserve">CRC3C </t>
  </si>
  <si>
    <t>CRC3D</t>
  </si>
  <si>
    <t>Allowed Expenditure - High Value Projects</t>
  </si>
  <si>
    <t>UCHVP</t>
  </si>
  <si>
    <t>CRC3F</t>
  </si>
  <si>
    <t xml:space="preserve">Allowed Expenditure - Enhanced Physical Site Security                                                                                                   </t>
  </si>
  <si>
    <t xml:space="preserve">UCEPD        </t>
  </si>
  <si>
    <t>Allowed Expenditure - Specified Street Works</t>
  </si>
  <si>
    <t>UCSSW</t>
  </si>
  <si>
    <t>Allowed Expenditure - Load Related</t>
  </si>
  <si>
    <t xml:space="preserve">LRRC   </t>
  </si>
  <si>
    <t>CRC3G</t>
  </si>
  <si>
    <t xml:space="preserve">Allowed Expenditure - Smart Meter Allowed Expenditure                                                                                                                                          </t>
  </si>
  <si>
    <t>SAME</t>
  </si>
  <si>
    <t>CRC3E</t>
  </si>
  <si>
    <t xml:space="preserve">Allowed Expenditure - Visual Amenity Allowed (TIM neutral)                                                                                                      </t>
  </si>
  <si>
    <t>VAA</t>
  </si>
  <si>
    <t>CRC3I</t>
  </si>
  <si>
    <t>Allowed Expenditure - Worst Served Customers Allowed (TIM neutral)</t>
  </si>
  <si>
    <t xml:space="preserve">WSCC   </t>
  </si>
  <si>
    <t>CRC3H</t>
  </si>
  <si>
    <t>CRC3A</t>
  </si>
  <si>
    <t>Legacy general tax pool adjustment</t>
  </si>
  <si>
    <t>LTPG</t>
  </si>
  <si>
    <t>Legacy special tax pool adjustment</t>
  </si>
  <si>
    <t>LTPS</t>
  </si>
  <si>
    <t>LTPD</t>
  </si>
  <si>
    <t>LTPC</t>
  </si>
  <si>
    <t>Actual 100% ‘revenue pool’ expenditure</t>
  </si>
  <si>
    <t>Non-variant allowed 100% ‘revenue pool’ expenditure</t>
  </si>
  <si>
    <t>Allocation to 100% ‘revenue pool’ expenditure</t>
  </si>
  <si>
    <t>Variant allowed 100% ‘revenue pool’ expenditure</t>
  </si>
  <si>
    <t>100% ‘revenue pool’ expenditure</t>
  </si>
  <si>
    <t>Allowed 100% ‘revenue pool’ expenditure</t>
  </si>
  <si>
    <t>Forecast actual 100% ‘revenue pool’ expenditure</t>
  </si>
  <si>
    <t>CRC3B</t>
  </si>
  <si>
    <t xml:space="preserve">ACONO </t>
  </si>
  <si>
    <t>AFE</t>
  </si>
  <si>
    <t xml:space="preserve">ATC   </t>
  </si>
  <si>
    <t>RORE</t>
  </si>
  <si>
    <t>Numbering</t>
  </si>
  <si>
    <t>Average Post-TIM totex allowance</t>
  </si>
  <si>
    <t>Average Base Revenue</t>
  </si>
  <si>
    <t>Average Regulated equity</t>
  </si>
  <si>
    <t>Corporate Tax Rate</t>
  </si>
  <si>
    <t>Incentive Inputs &amp; Scalars</t>
  </si>
  <si>
    <t>Estimated High</t>
  </si>
  <si>
    <t>Estimated Low</t>
  </si>
  <si>
    <t>Interruptions incentive scheme</t>
  </si>
  <si>
    <t>Loss Incentive Discretionary Reward Pot</t>
  </si>
  <si>
    <t>Midpoint Estimate</t>
  </si>
  <si>
    <t>Guaranteed standards</t>
  </si>
  <si>
    <t>Health Index</t>
  </si>
  <si>
    <t>Broad measure of consumer satisfaction</t>
  </si>
  <si>
    <t>% RoRE</t>
  </si>
  <si>
    <t>Losses incentive</t>
  </si>
  <si>
    <t xml:space="preserve">Other legacy adjustments' price control allowed revenue adjustment                                                                                                            </t>
  </si>
  <si>
    <t>OLREV</t>
  </si>
  <si>
    <t xml:space="preserve">Other legacy adjustments' price control RAV additions adjustment                                                                                                                  </t>
  </si>
  <si>
    <t>OLRAV</t>
  </si>
  <si>
    <t>RAV Rolling Incentive legacy adjustments' price control allowed revenue adjustment</t>
  </si>
  <si>
    <t>RIREV</t>
  </si>
  <si>
    <t>RAV Rolling Incentive legacy adjustments' price control RAV additions adjustment</t>
  </si>
  <si>
    <t>RIRAV</t>
  </si>
  <si>
    <t>Other legacy adjustments' Revenue adjustment from previous controls (Base)</t>
  </si>
  <si>
    <t>Other legacy adjustments' Revenue from previous controls</t>
  </si>
  <si>
    <t>RAV Rolling Incentive legacy adjustments' price control allowed revenue (Base)</t>
  </si>
  <si>
    <t>RAV Rolling Incentive legacy adjustments' price control allowed revenue</t>
  </si>
  <si>
    <t>RIIO Financial Model</t>
  </si>
  <si>
    <t>DISCLAIMER: The purpose of this model is used to calculate Base Revenue (PU)and MOD terms in subsequent years for Licensees on the basis of Financial Handbook and Licence conditions of the relevant Network Operator</t>
  </si>
  <si>
    <t>Sheet or calculation used only to inform assessment</t>
  </si>
  <si>
    <t>Profiling calculations</t>
  </si>
  <si>
    <t>Note: Equity ratios are calculated on a notional basis, in line with the assumptions in this model. These may be different from the ratios that the companies or analysts calculate for the actual company.</t>
  </si>
  <si>
    <t>Note:  The calculations below provide an estimate of the bill impact of the RIIO-ED1. The calculations are based on the DNOs view of final year of DPCR5 base revenues and the DNOs distribution charges stated in DNOs OnePager summaries in final year of DPCR5 . The calculations exclude the impact of inflation on network charges and of any potential revenue or penalties from incentive mechanisms. The calculations make no assumptions about factors that affect consumer bills beyond the price control package.</t>
  </si>
  <si>
    <t>Return on Regulatory Equity assessment</t>
  </si>
  <si>
    <t>Note: RoRE assessment is used to measure the impact of the price control package in the round by estimating a plausible range of return on notional equity. These calculations are done on a notional basis. They may be different from the rates of return shown in companies’ accounts.</t>
  </si>
  <si>
    <t>Inputs Model</t>
  </si>
  <si>
    <t>Incentive Rate</t>
  </si>
  <si>
    <t>IQI additional income</t>
  </si>
  <si>
    <t>Potential Underspend</t>
  </si>
  <si>
    <t>Potential Overspend</t>
  </si>
  <si>
    <t>% OFGEM pre-tax RORE</t>
  </si>
  <si>
    <t>Innovation Funding</t>
  </si>
  <si>
    <t>Calculation of baseline RoRE</t>
  </si>
  <si>
    <t>Notional debt RAV</t>
  </si>
  <si>
    <t>Notional equity RAV</t>
  </si>
  <si>
    <t>Debt return</t>
  </si>
  <si>
    <t>Equity return</t>
  </si>
  <si>
    <t>Return on regulatory equity</t>
  </si>
  <si>
    <t>Incentive baselines (mean)</t>
  </si>
  <si>
    <t xml:space="preserve">IQI additional income </t>
  </si>
  <si>
    <t>Total incentive mean expectation</t>
  </si>
  <si>
    <t>Baseline RoRE including incentives</t>
  </si>
  <si>
    <t>Calculation of RoRE range</t>
  </si>
  <si>
    <t>RoRE upside</t>
  </si>
  <si>
    <t>Total incentive maximum</t>
  </si>
  <si>
    <t>Estimated maximum RoRE</t>
  </si>
  <si>
    <t>RoRE downside</t>
  </si>
  <si>
    <t>Total incentive minimum</t>
  </si>
  <si>
    <t>Estimated minimum RoRE</t>
  </si>
  <si>
    <t>Distribution charge % change year on year</t>
  </si>
  <si>
    <t>Updated guarunteed standards from value to -160bps</t>
  </si>
  <si>
    <t>Tree cutting</t>
  </si>
  <si>
    <t>Non-variant tree cutting</t>
  </si>
  <si>
    <t>Allocation to tree cutting</t>
  </si>
  <si>
    <t>Variant allowed tree cutting</t>
  </si>
  <si>
    <t>Actual tree cutting</t>
  </si>
  <si>
    <t>Allowed tree cutting</t>
  </si>
  <si>
    <t>Forecast actual tree cutting</t>
  </si>
  <si>
    <t>Non-variant allowed tree cutting</t>
  </si>
  <si>
    <t>Re-allocation (see comment box for further detail)</t>
  </si>
  <si>
    <t>Correction of RPEs for high values projects in BPDT for re-opener only</t>
  </si>
  <si>
    <t>Best (M1a)</t>
  </si>
  <si>
    <t>Base (M1b)</t>
  </si>
  <si>
    <t>Tree Cutting is shown as seperately line (as opposed to added to pensions) so that it can have its own tax pool allocation and feed into the model separately.</t>
  </si>
  <si>
    <t>Seperation of rail electrification from diversions. The BPDTs and the model have been amended so rail electrification (where relevant) will come through as a variant costs separately.</t>
  </si>
  <si>
    <t>Removal of scenarios which are no longer used (ie OWN/Reference and DECC scenarios)</t>
  </si>
  <si>
    <t>Updated legacy workbook (now split between RavRollingIncentive, RRI, and other legacy adjustments)</t>
  </si>
  <si>
    <t>Note in the M1/T tabs in the BPDTs the model input for QofS amended so its split between exante and DNO funded (with only the ex-ante component going through to the model inputs. This is to capture information on QoS expenditure that is funded via the price control (ex ante) compared with funded by the DNO.</t>
  </si>
  <si>
    <t>From here is post 25Oct 2013 model</t>
  </si>
  <si>
    <t>RE</t>
  </si>
  <si>
    <t>Allowed Expenditure - Rail Electrification</t>
  </si>
  <si>
    <t>Removal of compensation payment from non activity costs.</t>
  </si>
  <si>
    <t>Updated RPI forcast from 2.8 to 3.1%</t>
  </si>
  <si>
    <t>Values for ENWL: Base (M1b)</t>
  </si>
  <si>
    <t>ENWL: Base (M1b)</t>
  </si>
  <si>
    <t>Values for NPgN: Base (M1b)</t>
  </si>
  <si>
    <t>NPgN: Base (M1b)</t>
  </si>
  <si>
    <t>Values for NPgY: Base (M1b)</t>
  </si>
  <si>
    <t>NPgY: Base (M1b)</t>
  </si>
  <si>
    <t>Values for WMID: Base (M1b)</t>
  </si>
  <si>
    <t>WMID: Base (M1b)</t>
  </si>
  <si>
    <t>Values for EMID: Base (M1b)</t>
  </si>
  <si>
    <t>EMID: Base (M1b)</t>
  </si>
  <si>
    <t>Values for SWALES: Base (M1b)</t>
  </si>
  <si>
    <t>SWALES: Base (M1b)</t>
  </si>
  <si>
    <t>Values for SWEST: Base (M1b)</t>
  </si>
  <si>
    <t>SWEST: Base (M1b)</t>
  </si>
  <si>
    <t>Values for LPN: Base (M1b)</t>
  </si>
  <si>
    <t>LPN: Base (M1b)</t>
  </si>
  <si>
    <t>Values for SPN: Base (M1b)</t>
  </si>
  <si>
    <t>SPN: Base (M1b)</t>
  </si>
  <si>
    <t>Values for EPN: Base (M1b)</t>
  </si>
  <si>
    <t>EPN: Base (M1b)</t>
  </si>
  <si>
    <t>Values for SPD: Base (M1b)</t>
  </si>
  <si>
    <t>SPD: Base (M1b)</t>
  </si>
  <si>
    <t>Values for SPMW: Base (M1b)</t>
  </si>
  <si>
    <t>SPMW: Base (M1b)</t>
  </si>
  <si>
    <t>Values for SSEH: Base (M1b)</t>
  </si>
  <si>
    <t>SSEH: Base (M1b)</t>
  </si>
  <si>
    <t>Values for SSES: Base (M1b)</t>
  </si>
  <si>
    <t>SSES: Base (M1b)</t>
  </si>
  <si>
    <t>LiMo ED C1.199b_NonFT_DNO UKPN Final.xlsm</t>
  </si>
</sst>
</file>

<file path=xl/styles.xml><?xml version="1.0" encoding="utf-8"?>
<styleSheet xmlns="http://schemas.openxmlformats.org/spreadsheetml/2006/main" xmlns:mc="http://schemas.openxmlformats.org/markup-compatibility/2006" xmlns:x14ac="http://schemas.microsoft.com/office/spreadsheetml/2009/9/ac" mc:Ignorable="x14ac">
  <numFmts count="40">
    <numFmt numFmtId="8" formatCode="&quot;£&quot;#,##0.00;[Red]\-&quot;£&quot;#,##0.0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0.0_ ;[Red]\-#,##0.0\ "/>
    <numFmt numFmtId="166" formatCode="yyyy"/>
    <numFmt numFmtId="167" formatCode="_-* #,##0.0_-;\-* #,##0.0_-;_-* &quot;-&quot;??_-;_-@_-"/>
    <numFmt numFmtId="168" formatCode="#,##0.0_);\(#,##0.0\);\-_)"/>
    <numFmt numFmtId="169" formatCode="#,##0.0;[Red]\ \(#,##0.0\);\ \-"/>
    <numFmt numFmtId="170" formatCode="#,##0.00_);\(#,##0.00\);\-_)"/>
    <numFmt numFmtId="171" formatCode="#,##0_);\(#,##0\);\-_)"/>
    <numFmt numFmtId="172" formatCode="#,##0.0000_);\(#,##0.0000\);\-_)"/>
    <numFmt numFmtId="173" formatCode="0.0"/>
    <numFmt numFmtId="174" formatCode="dd\ mmm\ yyyy"/>
    <numFmt numFmtId="175" formatCode="#,##0.000000_);\(#,##0.000000\);\-_)"/>
    <numFmt numFmtId="176" formatCode="#,##0.00%_);\(#,##0.00%\);\-_)"/>
    <numFmt numFmtId="177" formatCode="#,##0.0;[Red]\(#,##0.0\)"/>
    <numFmt numFmtId="178" formatCode="#,##0.000000000000"/>
    <numFmt numFmtId="179" formatCode="#,##0.0"/>
    <numFmt numFmtId="180" formatCode="#,##0.00000_);\(#,##0.00000\);\-_)"/>
    <numFmt numFmtId="181" formatCode="#,##0.000_);\(#,##0.000\);\-_)"/>
    <numFmt numFmtId="182" formatCode="[$-F800]dddd\,\ mmmm\ dd\,\ yyyy"/>
    <numFmt numFmtId="183" formatCode="_(* #,##0.00_);_(* \(#,##0.00\);_(* &quot;-&quot;??_);_(@_)"/>
    <numFmt numFmtId="184" formatCode="d\-mmm\-yyyy"/>
    <numFmt numFmtId="185" formatCode="0.000000"/>
    <numFmt numFmtId="186" formatCode="#,##0.00;[Red]\-#,##0.00;\-"/>
    <numFmt numFmtId="187" formatCode="#,##0.00;[Red]#,##0.00;\-"/>
    <numFmt numFmtId="188" formatCode="#,##0.0_);[Red]\(#,##0.0\);\-"/>
    <numFmt numFmtId="189" formatCode="#,##0;\(#,##0\)"/>
    <numFmt numFmtId="190" formatCode="#,##0.000000000_);\(#,##0.000000000\);\-_)"/>
    <numFmt numFmtId="191" formatCode="[$-809]d\ mmmm\ yyyy;@"/>
    <numFmt numFmtId="192" formatCode="0;\-0;;@"/>
    <numFmt numFmtId="193" formatCode="#,##0.0000"/>
    <numFmt numFmtId="194" formatCode="0.000%"/>
    <numFmt numFmtId="195" formatCode="#,##0.0000000000000"/>
    <numFmt numFmtId="196" formatCode="_-* #,##0.000000_-;\-* #,##0.000000_-;_-* &quot;-&quot;??_-;_-@_-"/>
    <numFmt numFmtId="197" formatCode="#,##0.000"/>
    <numFmt numFmtId="198" formatCode="#,##0.0000_ ;[Red]\-#,##0.0000\ "/>
  </numFmts>
  <fonts count="99">
    <font>
      <sz val="10"/>
      <color theme="1"/>
      <name val="Verdana"/>
      <family val="2"/>
    </font>
    <font>
      <sz val="10"/>
      <name val="Verdana"/>
      <family val="2"/>
    </font>
    <font>
      <sz val="10"/>
      <color theme="1"/>
      <name val="Verdana"/>
      <family val="2"/>
    </font>
    <font>
      <sz val="10"/>
      <name val="Arial"/>
      <family val="2"/>
    </font>
    <font>
      <u/>
      <sz val="11"/>
      <color indexed="12"/>
      <name val="CG Omega"/>
      <family val="2"/>
    </font>
    <font>
      <sz val="10"/>
      <color theme="1"/>
      <name val="Gill Sans MT"/>
      <family val="2"/>
    </font>
    <font>
      <sz val="12"/>
      <color theme="1"/>
      <name val="Gill Sans MT"/>
      <family val="2"/>
    </font>
    <font>
      <sz val="10"/>
      <name val="Gill Sans MT"/>
      <family val="2"/>
    </font>
    <font>
      <b/>
      <sz val="10"/>
      <name val="Gill Sans MT"/>
      <family val="2"/>
    </font>
    <font>
      <i/>
      <sz val="10"/>
      <name val="Gill Sans MT"/>
      <family val="2"/>
    </font>
    <font>
      <i/>
      <sz val="10"/>
      <color theme="1"/>
      <name val="Gill Sans MT"/>
      <family val="2"/>
    </font>
    <font>
      <sz val="10"/>
      <color theme="4"/>
      <name val="Gill Sans MT"/>
      <family val="2"/>
    </font>
    <font>
      <u/>
      <sz val="10"/>
      <name val="Gill Sans MT"/>
      <family val="2"/>
    </font>
    <font>
      <sz val="10"/>
      <color rgb="FFFF0000"/>
      <name val="Gill Sans MT"/>
      <family val="2"/>
    </font>
    <font>
      <i/>
      <u/>
      <sz val="10"/>
      <name val="Gill Sans MT"/>
      <family val="2"/>
    </font>
    <font>
      <i/>
      <u/>
      <sz val="10"/>
      <color theme="1"/>
      <name val="Gill Sans MT"/>
      <family val="2"/>
    </font>
    <font>
      <b/>
      <sz val="10"/>
      <color theme="1"/>
      <name val="Gill Sans MT"/>
      <family val="2"/>
    </font>
    <font>
      <u/>
      <sz val="10"/>
      <color theme="1"/>
      <name val="Gill Sans MT"/>
      <family val="2"/>
    </font>
    <font>
      <b/>
      <u/>
      <sz val="10"/>
      <color indexed="10"/>
      <name val="Gill Sans MT"/>
      <family val="2"/>
    </font>
    <font>
      <sz val="10"/>
      <color theme="0" tint="-4.9989318521683403E-2"/>
      <name val="Gill Sans MT"/>
      <family val="2"/>
    </font>
    <font>
      <b/>
      <sz val="10"/>
      <color indexed="9"/>
      <name val="Gill Sans MT"/>
      <family val="2"/>
    </font>
    <font>
      <sz val="16"/>
      <color theme="1"/>
      <name val="Gill Sans MT"/>
      <family val="2"/>
    </font>
    <font>
      <i/>
      <sz val="10"/>
      <color theme="1"/>
      <name val="Gill Sans MT"/>
      <family val="2"/>
    </font>
    <font>
      <sz val="10"/>
      <color theme="0"/>
      <name val="Verdana"/>
      <family val="2"/>
    </font>
    <font>
      <sz val="10"/>
      <color rgb="FF006100"/>
      <name val="Verdana"/>
      <family val="2"/>
    </font>
    <font>
      <sz val="10"/>
      <color rgb="FF9C0006"/>
      <name val="Verdana"/>
      <family val="2"/>
    </font>
    <font>
      <sz val="10"/>
      <color rgb="FF9C6500"/>
      <name val="Verdana"/>
      <family val="2"/>
    </font>
    <font>
      <sz val="10"/>
      <color rgb="FF3F3F76"/>
      <name val="Verdana"/>
      <family val="2"/>
    </font>
    <font>
      <b/>
      <sz val="10"/>
      <color rgb="FFFA7D00"/>
      <name val="Verdana"/>
      <family val="2"/>
    </font>
    <font>
      <i/>
      <sz val="10"/>
      <color rgb="FF7F7F7F"/>
      <name val="Verdana"/>
      <family val="2"/>
    </font>
    <font>
      <b/>
      <sz val="10"/>
      <name val="Arial"/>
      <family val="2"/>
    </font>
    <font>
      <sz val="10"/>
      <color theme="1"/>
      <name val="Arial"/>
      <family val="2"/>
    </font>
    <font>
      <sz val="11"/>
      <name val="CG Omega"/>
      <family val="2"/>
    </font>
    <font>
      <sz val="11"/>
      <name val="CG Omega"/>
      <family val="2"/>
    </font>
    <font>
      <b/>
      <sz val="10"/>
      <color theme="1"/>
      <name val="Verdana"/>
      <family val="2"/>
    </font>
    <font>
      <sz val="8"/>
      <color theme="1"/>
      <name val="Verdana"/>
      <family val="2"/>
    </font>
    <font>
      <i/>
      <sz val="10"/>
      <color theme="1"/>
      <name val="Verdana"/>
      <family val="2"/>
    </font>
    <font>
      <i/>
      <sz val="8"/>
      <color theme="1"/>
      <name val="Verdana"/>
      <family val="2"/>
    </font>
    <font>
      <u/>
      <sz val="10"/>
      <color theme="10"/>
      <name val="Verdana"/>
      <family val="2"/>
    </font>
    <font>
      <u/>
      <sz val="10"/>
      <name val="Verdana"/>
      <family val="2"/>
    </font>
    <font>
      <sz val="9"/>
      <color rgb="FF000000"/>
      <name val="Verdana"/>
      <family val="2"/>
    </font>
    <font>
      <sz val="10"/>
      <color rgb="FF000000"/>
      <name val="Verdana"/>
      <family val="2"/>
    </font>
    <font>
      <sz val="10"/>
      <name val="Helv"/>
      <charset val="204"/>
    </font>
    <font>
      <sz val="10"/>
      <color indexed="8"/>
      <name val="Arial"/>
      <family val="2"/>
    </font>
    <font>
      <sz val="10"/>
      <color indexed="9"/>
      <name val="Arial"/>
      <family val="2"/>
    </font>
    <font>
      <sz val="11"/>
      <color indexed="8"/>
      <name val="Calibri"/>
      <family val="2"/>
    </font>
    <font>
      <sz val="11"/>
      <color indexed="9"/>
      <name val="Calibri"/>
      <family val="2"/>
    </font>
    <font>
      <sz val="11"/>
      <color indexed="37"/>
      <name val="Calibri"/>
      <family val="2"/>
    </font>
    <font>
      <b/>
      <sz val="11"/>
      <color indexed="17"/>
      <name val="Calibri"/>
      <family val="2"/>
    </font>
    <font>
      <b/>
      <sz val="11"/>
      <color indexed="9"/>
      <name val="Calibri"/>
      <family val="2"/>
    </font>
    <font>
      <sz val="10"/>
      <color indexed="8"/>
      <name val="Verdana"/>
      <family val="2"/>
    </font>
    <font>
      <b/>
      <sz val="11"/>
      <color indexed="8"/>
      <name val="Calibri"/>
      <family val="2"/>
    </font>
    <font>
      <sz val="10"/>
      <name val="MS Sans Serif"/>
      <family val="2"/>
    </font>
    <font>
      <i/>
      <sz val="10"/>
      <color indexed="18"/>
      <name val="Arial"/>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u/>
      <sz val="11"/>
      <color indexed="48"/>
      <name val="CG Omega"/>
      <family val="2"/>
    </font>
    <font>
      <sz val="11"/>
      <color indexed="17"/>
      <name val="Calibri"/>
      <family val="2"/>
    </font>
    <font>
      <b/>
      <sz val="14"/>
      <name val="Arial"/>
      <family val="2"/>
    </font>
    <font>
      <sz val="11"/>
      <color theme="1"/>
      <name val="Calibri"/>
      <family val="2"/>
      <scheme val="minor"/>
    </font>
    <font>
      <sz val="10"/>
      <color indexed="12"/>
      <name val="Arial"/>
      <family val="2"/>
    </font>
    <font>
      <sz val="8"/>
      <name val="Arial"/>
      <family val="2"/>
    </font>
    <font>
      <b/>
      <sz val="11"/>
      <color indexed="63"/>
      <name val="Calibri"/>
      <family val="2"/>
    </font>
    <font>
      <i/>
      <sz val="10"/>
      <color indexed="10"/>
      <name val="Arial"/>
      <family val="2"/>
    </font>
    <font>
      <sz val="8"/>
      <color indexed="62"/>
      <name val="Arial"/>
      <family val="2"/>
    </font>
    <font>
      <b/>
      <sz val="8"/>
      <color indexed="8"/>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sz val="9"/>
      <name val="NewsGoth Lt BT"/>
      <family val="2"/>
    </font>
    <font>
      <sz val="11"/>
      <color indexed="14"/>
      <name val="Calibri"/>
      <family val="2"/>
    </font>
    <font>
      <b/>
      <sz val="10"/>
      <color rgb="FFFF0000"/>
      <name val="Gill Sans MT"/>
      <family val="2"/>
    </font>
    <font>
      <b/>
      <sz val="8"/>
      <color indexed="81"/>
      <name val="Tahoma"/>
      <family val="2"/>
    </font>
    <font>
      <b/>
      <sz val="9.5"/>
      <color theme="1"/>
      <name val="Verdana"/>
      <family val="2"/>
    </font>
    <font>
      <sz val="11"/>
      <name val="CG Omega"/>
      <family val="2"/>
    </font>
    <font>
      <b/>
      <sz val="10"/>
      <color theme="1"/>
      <name val="Gill Sans MT"/>
      <family val="2"/>
    </font>
    <font>
      <sz val="10"/>
      <name val="Verdana"/>
      <family val="2"/>
    </font>
    <font>
      <sz val="10"/>
      <name val="Gill Sans MT"/>
      <family val="2"/>
    </font>
    <font>
      <sz val="12"/>
      <name val="Gill Sans MT"/>
      <family val="2"/>
    </font>
    <font>
      <b/>
      <u/>
      <sz val="10"/>
      <name val="Gill Sans MT"/>
      <family val="2"/>
    </font>
    <font>
      <b/>
      <sz val="10"/>
      <name val="Gill Sans MT"/>
      <family val="2"/>
    </font>
    <font>
      <sz val="11"/>
      <color rgb="FF1F497D"/>
      <name val="Calibri"/>
      <family val="2"/>
    </font>
    <font>
      <sz val="8"/>
      <color indexed="81"/>
      <name val="Tahoma"/>
      <family val="2"/>
    </font>
    <font>
      <sz val="9"/>
      <color theme="1"/>
      <name val="Verdana"/>
      <family val="2"/>
    </font>
    <font>
      <b/>
      <i/>
      <sz val="10"/>
      <name val="Gill Sans MT"/>
      <family val="2"/>
    </font>
    <font>
      <i/>
      <sz val="10"/>
      <name val="Gill Sans MT"/>
      <family val="2"/>
    </font>
    <font>
      <sz val="18"/>
      <name val="Gill Sans MT"/>
      <family val="2"/>
    </font>
    <font>
      <sz val="10"/>
      <color indexed="81"/>
      <name val="Tahoma"/>
      <family val="2"/>
    </font>
    <font>
      <sz val="9"/>
      <name val="Gill Sans MT"/>
      <family val="2"/>
    </font>
    <font>
      <sz val="11"/>
      <color theme="1"/>
      <name val="Calibri"/>
      <family val="2"/>
    </font>
    <font>
      <sz val="11"/>
      <color rgb="FF000000"/>
      <name val="Calibri"/>
      <family val="2"/>
    </font>
    <font>
      <sz val="10"/>
      <name val="Gill Sans MT"/>
      <family val="2"/>
    </font>
    <font>
      <sz val="10"/>
      <color rgb="FFFF0000"/>
      <name val="Gill Sans MT"/>
    </font>
    <font>
      <b/>
      <sz val="9"/>
      <color indexed="81"/>
      <name val="Tahoma"/>
      <family val="2"/>
    </font>
    <font>
      <b/>
      <sz val="10"/>
      <color indexed="81"/>
      <name val="Tahoma"/>
      <family val="2"/>
    </font>
  </fonts>
  <fills count="112">
    <fill>
      <patternFill patternType="none"/>
    </fill>
    <fill>
      <patternFill patternType="gray125"/>
    </fill>
    <fill>
      <patternFill patternType="solid">
        <fgColor theme="7" tint="0.59999389629810485"/>
        <bgColor indexed="64"/>
      </patternFill>
    </fill>
    <fill>
      <patternFill patternType="solid">
        <fgColor indexed="22"/>
      </patternFill>
    </fill>
    <fill>
      <patternFill patternType="solid">
        <fgColor indexed="26"/>
        <bgColor indexed="64"/>
      </patternFill>
    </fill>
    <fill>
      <patternFill patternType="solid">
        <fgColor rgb="FFFFFFCC"/>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9900"/>
        <bgColor indexed="64"/>
      </patternFill>
    </fill>
    <fill>
      <patternFill patternType="solid">
        <fgColor rgb="FFC00000"/>
        <bgColor indexed="64"/>
      </patternFill>
    </fill>
    <fill>
      <patternFill patternType="solid">
        <fgColor theme="0" tint="-0.499984740745262"/>
        <bgColor indexed="64"/>
      </patternFill>
    </fill>
    <fill>
      <patternFill patternType="solid">
        <fgColor theme="6"/>
        <bgColor indexed="64"/>
      </patternFill>
    </fill>
    <fill>
      <patternFill patternType="solid">
        <fgColor theme="6" tint="0.59999389629810485"/>
        <bgColor indexed="64"/>
      </patternFill>
    </fill>
    <fill>
      <patternFill patternType="solid">
        <fgColor rgb="FFC5E1FF"/>
        <bgColor indexed="64"/>
      </patternFill>
    </fill>
    <fill>
      <patternFill patternType="solid">
        <fgColor rgb="FFFF99FF"/>
        <bgColor indexed="64"/>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FFFFCC"/>
      </patternFill>
    </fill>
    <fill>
      <patternFill patternType="solid">
        <fgColor theme="4" tint="0.39997558519241921"/>
        <bgColor indexed="64"/>
      </patternFill>
    </fill>
    <fill>
      <patternFill patternType="solid">
        <fgColor rgb="FFFFC000"/>
        <bgColor indexed="64"/>
      </patternFill>
    </fill>
    <fill>
      <patternFill patternType="solid">
        <fgColor rgb="FFFFFF00"/>
        <bgColor indexed="64"/>
      </patternFill>
    </fill>
    <fill>
      <patternFill patternType="solid">
        <fgColor indexed="41"/>
      </patternFill>
    </fill>
    <fill>
      <patternFill patternType="solid">
        <fgColor indexed="40"/>
      </patternFill>
    </fill>
    <fill>
      <patternFill patternType="solid">
        <fgColor indexed="50"/>
      </patternFill>
    </fill>
    <fill>
      <patternFill patternType="solid">
        <fgColor indexed="35"/>
      </patternFill>
    </fill>
    <fill>
      <patternFill patternType="solid">
        <fgColor indexed="47"/>
      </patternFill>
    </fill>
    <fill>
      <patternFill patternType="solid">
        <fgColor indexed="57"/>
      </patternFill>
    </fill>
    <fill>
      <patternFill patternType="solid">
        <fgColor indexed="24"/>
      </patternFill>
    </fill>
    <fill>
      <patternFill patternType="solid">
        <fgColor indexed="54"/>
      </patternFill>
    </fill>
    <fill>
      <patternFill patternType="solid">
        <fgColor indexed="58"/>
      </patternFill>
    </fill>
    <fill>
      <patternFill patternType="solid">
        <fgColor indexed="51"/>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48"/>
        <bgColor indexed="48"/>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25"/>
        <bgColor indexed="25"/>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7"/>
        <bgColor indexed="57"/>
      </patternFill>
    </fill>
    <fill>
      <patternFill patternType="solid">
        <fgColor indexed="55"/>
        <bgColor indexed="55"/>
      </patternFill>
    </fill>
    <fill>
      <patternFill patternType="solid">
        <fgColor indexed="18"/>
        <bgColor indexed="18"/>
      </patternFill>
    </fill>
    <fill>
      <patternFill patternType="solid">
        <fgColor indexed="41"/>
        <bgColor indexed="41"/>
      </patternFill>
    </fill>
    <fill>
      <patternFill patternType="solid">
        <fgColor indexed="54"/>
        <bgColor indexed="54"/>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53"/>
        <bgColor indexed="53"/>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26"/>
      </patternFill>
    </fill>
    <fill>
      <patternFill patternType="solid">
        <fgColor indexed="51"/>
        <bgColor indexed="64"/>
      </patternFill>
    </fill>
    <fill>
      <patternFill patternType="solid">
        <fgColor indexed="42"/>
        <bgColor indexed="64"/>
      </patternFill>
    </fill>
    <fill>
      <patternFill patternType="solid">
        <fgColor indexed="27"/>
        <bgColor indexed="64"/>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23"/>
      </patternFill>
    </fill>
    <fill>
      <patternFill patternType="solid">
        <fgColor indexed="44"/>
      </patternFill>
    </fill>
    <fill>
      <patternFill patternType="solid">
        <fgColor indexed="9"/>
      </patternFill>
    </fill>
    <fill>
      <patternFill patternType="solid">
        <fgColor indexed="9"/>
        <bgColor indexed="64"/>
      </patternFill>
    </fill>
    <fill>
      <patternFill patternType="solid">
        <fgColor indexed="15"/>
      </patternFill>
    </fill>
    <fill>
      <patternFill patternType="solid">
        <fgColor indexed="20"/>
      </patternFill>
    </fill>
    <fill>
      <patternFill patternType="solid">
        <fgColor indexed="58"/>
        <bgColor indexed="64"/>
      </patternFill>
    </fill>
    <fill>
      <patternFill patternType="solid">
        <fgColor rgb="FFFF0000"/>
        <bgColor indexed="64"/>
      </patternFill>
    </fill>
    <fill>
      <patternFill patternType="solid">
        <fgColor rgb="FFD1FFD1"/>
        <bgColor indexed="64"/>
      </patternFill>
    </fill>
    <fill>
      <patternFill patternType="solid">
        <fgColor rgb="FFD4FAFC"/>
        <bgColor indexed="64"/>
      </patternFill>
    </fill>
    <fill>
      <patternFill patternType="solid">
        <fgColor rgb="FFFF00FF"/>
        <bgColor indexed="64"/>
      </patternFill>
    </fill>
    <fill>
      <patternFill patternType="solid">
        <fgColor rgb="FFCCFFFF"/>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rgb="FF00B0F0"/>
        <bgColor indexed="64"/>
      </patternFill>
    </fill>
    <fill>
      <patternFill patternType="solid">
        <fgColor rgb="FF92D050"/>
        <bgColor indexed="64"/>
      </patternFill>
    </fill>
  </fills>
  <borders count="66">
    <border>
      <left/>
      <right/>
      <top/>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Dashed">
        <color auto="1"/>
      </left>
      <right style="mediumDashed">
        <color auto="1"/>
      </right>
      <top/>
      <bottom style="mediumDashed">
        <color auto="1"/>
      </bottom>
      <diagonal/>
    </border>
    <border>
      <left/>
      <right style="thin">
        <color indexed="64"/>
      </right>
      <top style="thin">
        <color indexed="64"/>
      </top>
      <bottom/>
      <diagonal/>
    </border>
    <border>
      <left style="medium">
        <color theme="0"/>
      </left>
      <right style="medium">
        <color theme="0"/>
      </right>
      <top style="medium">
        <color theme="0"/>
      </top>
      <bottom style="medium">
        <color theme="0"/>
      </bottom>
      <diagonal/>
    </border>
    <border>
      <left/>
      <right/>
      <top style="thin">
        <color auto="1"/>
      </top>
      <bottom/>
      <diagonal/>
    </border>
    <border>
      <left/>
      <right/>
      <top style="thin">
        <color auto="1"/>
      </top>
      <bottom style="thin">
        <color auto="1"/>
      </bottom>
      <diagonal/>
    </border>
    <border>
      <left/>
      <right style="thin">
        <color indexed="64"/>
      </right>
      <top style="thin">
        <color auto="1"/>
      </top>
      <bottom style="thin">
        <color auto="1"/>
      </bottom>
      <diagonal/>
    </border>
    <border>
      <left/>
      <right/>
      <top/>
      <bottom style="thin">
        <color auto="1"/>
      </bottom>
      <diagonal/>
    </border>
    <border>
      <left style="thick">
        <color theme="0"/>
      </left>
      <right style="thick">
        <color theme="0"/>
      </right>
      <top style="thick">
        <color theme="0"/>
      </top>
      <bottom style="thick">
        <color theme="0"/>
      </bottom>
      <diagonal/>
    </border>
    <border>
      <left style="mediumDashed">
        <color indexed="64"/>
      </left>
      <right/>
      <top style="thin">
        <color indexed="64"/>
      </top>
      <bottom style="mediumDashed">
        <color indexed="64"/>
      </bottom>
      <diagonal/>
    </border>
    <border>
      <left/>
      <right/>
      <top style="thin">
        <color indexed="64"/>
      </top>
      <bottom style="mediumDashed">
        <color indexed="64"/>
      </bottom>
      <diagonal/>
    </border>
    <border>
      <left/>
      <right style="mediumDashed">
        <color indexed="64"/>
      </right>
      <top style="thin">
        <color indexed="64"/>
      </top>
      <bottom style="mediumDashed">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mediumDashed">
        <color indexed="64"/>
      </left>
      <right style="mediumDashed">
        <color indexed="64"/>
      </right>
      <top style="medium">
        <color indexed="64"/>
      </top>
      <bottom style="mediumDashed">
        <color indexed="64"/>
      </bottom>
      <diagonal/>
    </border>
    <border>
      <left style="thin">
        <color indexed="64"/>
      </left>
      <right/>
      <top/>
      <bottom style="thin">
        <color indexed="64"/>
      </bottom>
      <diagonal/>
    </border>
    <border>
      <left style="thin">
        <color indexed="64"/>
      </left>
      <right style="medium">
        <color indexed="64"/>
      </right>
      <top style="thin">
        <color indexed="64"/>
      </top>
      <bottom style="medium">
        <color indexed="64"/>
      </bottom>
      <diagonal/>
    </border>
    <border>
      <left style="mediumDashed">
        <color auto="1"/>
      </left>
      <right/>
      <top style="mediumDashed">
        <color auto="1"/>
      </top>
      <bottom style="mediumDashed">
        <color auto="1"/>
      </bottom>
      <diagonal/>
    </border>
    <border>
      <left/>
      <right/>
      <top style="mediumDashed">
        <color auto="1"/>
      </top>
      <bottom style="mediumDashed">
        <color auto="1"/>
      </bottom>
      <diagonal/>
    </border>
    <border>
      <left/>
      <right style="mediumDashed">
        <color auto="1"/>
      </right>
      <top style="mediumDashed">
        <color auto="1"/>
      </top>
      <bottom style="mediumDashed">
        <color auto="1"/>
      </bottom>
      <diagonal/>
    </border>
    <border>
      <left/>
      <right/>
      <top style="thin">
        <color indexed="64"/>
      </top>
      <bottom style="double">
        <color indexed="64"/>
      </bottom>
      <diagonal/>
    </border>
    <border>
      <left style="medium">
        <color indexed="64"/>
      </left>
      <right style="medium">
        <color indexed="64"/>
      </right>
      <top style="thin">
        <color indexed="64"/>
      </top>
      <bottom style="medium">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64"/>
      </top>
      <bottom/>
      <diagonal/>
    </border>
    <border>
      <left/>
      <right/>
      <top style="hair">
        <color indexed="22"/>
      </top>
      <bottom/>
      <diagonal/>
    </border>
    <border>
      <left/>
      <right/>
      <top style="thin">
        <color indexed="48"/>
      </top>
      <bottom style="double">
        <color indexed="48"/>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thin">
        <color indexed="58"/>
      </left>
      <right style="medium">
        <color indexed="58"/>
      </right>
      <top style="medium">
        <color indexed="58"/>
      </top>
      <bottom style="thin">
        <color indexed="58"/>
      </bottom>
      <diagonal/>
    </border>
  </borders>
  <cellStyleXfs count="1393">
    <xf numFmtId="0" fontId="0" fillId="0" borderId="0"/>
    <xf numFmtId="9" fontId="2" fillId="0" borderId="0" applyFont="0" applyFill="0" applyBorder="0" applyAlignment="0" applyProtection="0"/>
    <xf numFmtId="43" fontId="2" fillId="0" borderId="0" applyFont="0" applyFill="0" applyBorder="0" applyAlignment="0" applyProtection="0"/>
    <xf numFmtId="168" fontId="17" fillId="0" borderId="0" applyFill="0" applyBorder="0">
      <alignment vertical="center"/>
    </xf>
    <xf numFmtId="0" fontId="4" fillId="0" borderId="0" applyNumberFormat="0" applyFill="0" applyBorder="0" applyAlignment="0" applyProtection="0">
      <alignment vertical="top"/>
      <protection locked="0"/>
    </xf>
    <xf numFmtId="168" fontId="19" fillId="10" borderId="0"/>
    <xf numFmtId="168" fontId="5" fillId="7" borderId="0"/>
    <xf numFmtId="168" fontId="7" fillId="6" borderId="0"/>
    <xf numFmtId="168" fontId="7" fillId="13" borderId="0" applyBorder="0">
      <alignment vertical="center"/>
    </xf>
    <xf numFmtId="41"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0" fontId="23"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3" fillId="38" borderId="0" applyNumberFormat="0" applyBorder="0" applyAlignment="0" applyProtection="0"/>
    <xf numFmtId="0" fontId="24" fillId="39" borderId="0" applyNumberFormat="0" applyBorder="0" applyAlignment="0" applyProtection="0"/>
    <xf numFmtId="0" fontId="25" fillId="40" borderId="0" applyNumberFormat="0" applyBorder="0" applyAlignment="0" applyProtection="0"/>
    <xf numFmtId="0" fontId="26" fillId="41" borderId="0" applyNumberFormat="0" applyBorder="0" applyAlignment="0" applyProtection="0"/>
    <xf numFmtId="0" fontId="27" fillId="42" borderId="38" applyNumberFormat="0" applyAlignment="0" applyProtection="0"/>
    <xf numFmtId="0" fontId="28" fillId="43" borderId="38" applyNumberFormat="0" applyAlignment="0" applyProtection="0"/>
    <xf numFmtId="0" fontId="2" fillId="44" borderId="39" applyNumberFormat="0" applyFont="0" applyAlignment="0" applyProtection="0"/>
    <xf numFmtId="0" fontId="29" fillId="0" borderId="0" applyNumberFormat="0" applyFill="0" applyBorder="0" applyAlignment="0" applyProtection="0"/>
    <xf numFmtId="10" fontId="5" fillId="0" borderId="0" applyFont="0" applyFill="0" applyBorder="0" applyAlignment="0" applyProtection="0">
      <alignment vertical="center"/>
    </xf>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xf numFmtId="43" fontId="31" fillId="0" borderId="0" applyFont="0" applyFill="0" applyBorder="0" applyAlignment="0" applyProtection="0"/>
    <xf numFmtId="0" fontId="2" fillId="0" borderId="0"/>
    <xf numFmtId="0" fontId="33" fillId="0" borderId="0"/>
    <xf numFmtId="0" fontId="3" fillId="0" borderId="0"/>
    <xf numFmtId="0" fontId="3" fillId="0" borderId="0"/>
    <xf numFmtId="177" fontId="2" fillId="46" borderId="18">
      <alignment vertical="center"/>
    </xf>
    <xf numFmtId="0" fontId="32" fillId="0" borderId="0"/>
    <xf numFmtId="0" fontId="38" fillId="0" borderId="0" applyNumberFormat="0" applyFill="0" applyBorder="0" applyAlignment="0" applyProtection="0">
      <alignment vertical="top"/>
      <protection locked="0"/>
    </xf>
    <xf numFmtId="10" fontId="5" fillId="0" borderId="0" applyFont="0" applyFill="0" applyBorder="0" applyAlignment="0" applyProtection="0">
      <alignment vertical="center"/>
    </xf>
    <xf numFmtId="182" fontId="3" fillId="0" borderId="0"/>
    <xf numFmtId="182" fontId="3" fillId="0" borderId="0"/>
    <xf numFmtId="182" fontId="32" fillId="0" borderId="0"/>
    <xf numFmtId="182" fontId="3" fillId="0" borderId="0"/>
    <xf numFmtId="182" fontId="32" fillId="0" borderId="0"/>
    <xf numFmtId="182" fontId="32"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2" fillId="0" borderId="0"/>
    <xf numFmtId="182" fontId="32" fillId="0" borderId="0"/>
    <xf numFmtId="182" fontId="32" fillId="0" borderId="0"/>
    <xf numFmtId="182" fontId="3" fillId="0" borderId="0"/>
    <xf numFmtId="182" fontId="32" fillId="0" borderId="0"/>
    <xf numFmtId="182" fontId="3" fillId="0" borderId="0"/>
    <xf numFmtId="182" fontId="32" fillId="0" borderId="0"/>
    <xf numFmtId="182" fontId="32" fillId="0" borderId="0"/>
    <xf numFmtId="182" fontId="32"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42" fillId="0" borderId="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3" fillId="0" borderId="0" applyFont="0" applyFill="0" applyBorder="0" applyAlignment="0" applyProtection="0"/>
    <xf numFmtId="182" fontId="42" fillId="0" borderId="0"/>
    <xf numFmtId="182" fontId="3" fillId="0" borderId="0" applyFont="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alignment vertical="center"/>
    </xf>
    <xf numFmtId="182" fontId="32" fillId="0" borderId="0"/>
    <xf numFmtId="182" fontId="32" fillId="0" borderId="0"/>
    <xf numFmtId="182" fontId="32" fillId="0" borderId="0"/>
    <xf numFmtId="182" fontId="32" fillId="0" borderId="0"/>
    <xf numFmtId="182" fontId="32" fillId="0" borderId="0"/>
    <xf numFmtId="182" fontId="32" fillId="0" borderId="0"/>
    <xf numFmtId="182" fontId="3" fillId="0" borderId="0">
      <alignment vertical="center"/>
    </xf>
    <xf numFmtId="182" fontId="3" fillId="0" borderId="0">
      <alignment vertical="center"/>
    </xf>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2" fillId="0" borderId="0"/>
    <xf numFmtId="182" fontId="32" fillId="0" borderId="0"/>
    <xf numFmtId="182" fontId="32" fillId="0" borderId="0"/>
    <xf numFmtId="182" fontId="3" fillId="0" borderId="0"/>
    <xf numFmtId="182" fontId="3" fillId="0" borderId="0"/>
    <xf numFmtId="182" fontId="3" fillId="0" borderId="0"/>
    <xf numFmtId="182" fontId="3" fillId="0" borderId="0"/>
    <xf numFmtId="182" fontId="3" fillId="0" borderId="0"/>
    <xf numFmtId="182" fontId="32" fillId="0" borderId="0"/>
    <xf numFmtId="182" fontId="32" fillId="0" borderId="0">
      <alignment vertical="justify"/>
    </xf>
    <xf numFmtId="182" fontId="43" fillId="48" borderId="0" applyNumberFormat="0" applyBorder="0" applyAlignment="0" applyProtection="0"/>
    <xf numFmtId="182" fontId="43" fillId="48" borderId="0" applyNumberFormat="0" applyBorder="0" applyAlignment="0" applyProtection="0"/>
    <xf numFmtId="182" fontId="43" fillId="49" borderId="0" applyNumberFormat="0" applyBorder="0" applyAlignment="0" applyProtection="0"/>
    <xf numFmtId="182" fontId="43" fillId="49" borderId="0" applyNumberFormat="0" applyBorder="0" applyAlignment="0" applyProtection="0"/>
    <xf numFmtId="182" fontId="43" fillId="50" borderId="0" applyNumberFormat="0" applyBorder="0" applyAlignment="0" applyProtection="0"/>
    <xf numFmtId="182" fontId="43" fillId="50" borderId="0" applyNumberFormat="0" applyBorder="0" applyAlignment="0" applyProtection="0"/>
    <xf numFmtId="182" fontId="43" fillId="51" borderId="0" applyNumberFormat="0" applyBorder="0" applyAlignment="0" applyProtection="0"/>
    <xf numFmtId="182" fontId="43" fillId="51" borderId="0" applyNumberFormat="0" applyBorder="0" applyAlignment="0" applyProtection="0"/>
    <xf numFmtId="182" fontId="43" fillId="48" borderId="0" applyNumberFormat="0" applyBorder="0" applyAlignment="0" applyProtection="0"/>
    <xf numFmtId="182" fontId="43" fillId="48" borderId="0" applyNumberFormat="0" applyBorder="0" applyAlignment="0" applyProtection="0"/>
    <xf numFmtId="182" fontId="43" fillId="52" borderId="0" applyNumberFormat="0" applyBorder="0" applyAlignment="0" applyProtection="0"/>
    <xf numFmtId="182" fontId="43" fillId="52" borderId="0" applyNumberFormat="0" applyBorder="0" applyAlignment="0" applyProtection="0"/>
    <xf numFmtId="182" fontId="43" fillId="3" borderId="0" applyNumberFormat="0" applyBorder="0" applyAlignment="0" applyProtection="0"/>
    <xf numFmtId="182" fontId="43" fillId="3" borderId="0" applyNumberFormat="0" applyBorder="0" applyAlignment="0" applyProtection="0"/>
    <xf numFmtId="182" fontId="43" fillId="49" borderId="0" applyNumberFormat="0" applyBorder="0" applyAlignment="0" applyProtection="0"/>
    <xf numFmtId="182" fontId="43" fillId="49" borderId="0" applyNumberFormat="0" applyBorder="0" applyAlignment="0" applyProtection="0"/>
    <xf numFmtId="182" fontId="43" fillId="53" borderId="0" applyNumberFormat="0" applyBorder="0" applyAlignment="0" applyProtection="0"/>
    <xf numFmtId="182" fontId="43" fillId="53" borderId="0" applyNumberFormat="0" applyBorder="0" applyAlignment="0" applyProtection="0"/>
    <xf numFmtId="182" fontId="43" fillId="54" borderId="0" applyNumberFormat="0" applyBorder="0" applyAlignment="0" applyProtection="0"/>
    <xf numFmtId="182" fontId="43" fillId="54" borderId="0" applyNumberFormat="0" applyBorder="0" applyAlignment="0" applyProtection="0"/>
    <xf numFmtId="182" fontId="43" fillId="55" borderId="0" applyNumberFormat="0" applyBorder="0" applyAlignment="0" applyProtection="0"/>
    <xf numFmtId="182" fontId="43" fillId="55" borderId="0" applyNumberFormat="0" applyBorder="0" applyAlignment="0" applyProtection="0"/>
    <xf numFmtId="182" fontId="43" fillId="52" borderId="0" applyNumberFormat="0" applyBorder="0" applyAlignment="0" applyProtection="0"/>
    <xf numFmtId="182" fontId="43" fillId="52" borderId="0" applyNumberFormat="0" applyBorder="0" applyAlignment="0" applyProtection="0"/>
    <xf numFmtId="182" fontId="44" fillId="56" borderId="0" applyNumberFormat="0" applyBorder="0" applyAlignment="0" applyProtection="0"/>
    <xf numFmtId="182" fontId="44" fillId="56" borderId="0" applyNumberFormat="0" applyBorder="0" applyAlignment="0" applyProtection="0"/>
    <xf numFmtId="182" fontId="44" fillId="49" borderId="0" applyNumberFormat="0" applyBorder="0" applyAlignment="0" applyProtection="0"/>
    <xf numFmtId="182" fontId="44" fillId="49" borderId="0" applyNumberFormat="0" applyBorder="0" applyAlignment="0" applyProtection="0"/>
    <xf numFmtId="182" fontId="44" fillId="53" borderId="0" applyNumberFormat="0" applyBorder="0" applyAlignment="0" applyProtection="0"/>
    <xf numFmtId="182" fontId="44" fillId="53" borderId="0" applyNumberFormat="0" applyBorder="0" applyAlignment="0" applyProtection="0"/>
    <xf numFmtId="182" fontId="44" fillId="54" borderId="0" applyNumberFormat="0" applyBorder="0" applyAlignment="0" applyProtection="0"/>
    <xf numFmtId="182" fontId="44" fillId="54" borderId="0" applyNumberFormat="0" applyBorder="0" applyAlignment="0" applyProtection="0"/>
    <xf numFmtId="182" fontId="44" fillId="56" borderId="0" applyNumberFormat="0" applyBorder="0" applyAlignment="0" applyProtection="0"/>
    <xf numFmtId="182" fontId="44" fillId="56" borderId="0" applyNumberFormat="0" applyBorder="0" applyAlignment="0" applyProtection="0"/>
    <xf numFmtId="182" fontId="44" fillId="57" borderId="0" applyNumberFormat="0" applyBorder="0" applyAlignment="0" applyProtection="0"/>
    <xf numFmtId="182" fontId="44" fillId="57" borderId="0" applyNumberFormat="0" applyBorder="0" applyAlignment="0" applyProtection="0"/>
    <xf numFmtId="182" fontId="45" fillId="58" borderId="0" applyNumberFormat="0" applyBorder="0" applyAlignment="0" applyProtection="0"/>
    <xf numFmtId="182" fontId="45" fillId="59" borderId="0" applyNumberFormat="0" applyBorder="0" applyAlignment="0" applyProtection="0"/>
    <xf numFmtId="182" fontId="46" fillId="60" borderId="0" applyNumberFormat="0" applyBorder="0" applyAlignment="0" applyProtection="0"/>
    <xf numFmtId="182" fontId="46" fillId="61" borderId="0" applyNumberFormat="0" applyBorder="0" applyAlignment="0" applyProtection="0"/>
    <xf numFmtId="182" fontId="46" fillId="61" borderId="0" applyNumberFormat="0" applyBorder="0" applyAlignment="0" applyProtection="0"/>
    <xf numFmtId="182" fontId="45" fillId="62" borderId="0" applyNumberFormat="0" applyBorder="0" applyAlignment="0" applyProtection="0"/>
    <xf numFmtId="182" fontId="45" fillId="63" borderId="0" applyNumberFormat="0" applyBorder="0" applyAlignment="0" applyProtection="0"/>
    <xf numFmtId="182" fontId="46" fillId="64" borderId="0" applyNumberFormat="0" applyBorder="0" applyAlignment="0" applyProtection="0"/>
    <xf numFmtId="182" fontId="46" fillId="65" borderId="0" applyNumberFormat="0" applyBorder="0" applyAlignment="0" applyProtection="0"/>
    <xf numFmtId="182" fontId="46" fillId="65" borderId="0" applyNumberFormat="0" applyBorder="0" applyAlignment="0" applyProtection="0"/>
    <xf numFmtId="182" fontId="45" fillId="66" borderId="0" applyNumberFormat="0" applyBorder="0" applyAlignment="0" applyProtection="0"/>
    <xf numFmtId="182" fontId="45" fillId="67" borderId="0" applyNumberFormat="0" applyBorder="0" applyAlignment="0" applyProtection="0"/>
    <xf numFmtId="182" fontId="46" fillId="68" borderId="0" applyNumberFormat="0" applyBorder="0" applyAlignment="0" applyProtection="0"/>
    <xf numFmtId="182" fontId="46" fillId="69" borderId="0" applyNumberFormat="0" applyBorder="0" applyAlignment="0" applyProtection="0"/>
    <xf numFmtId="182" fontId="46" fillId="69" borderId="0" applyNumberFormat="0" applyBorder="0" applyAlignment="0" applyProtection="0"/>
    <xf numFmtId="182" fontId="45" fillId="62" borderId="0" applyNumberFormat="0" applyBorder="0" applyAlignment="0" applyProtection="0"/>
    <xf numFmtId="182" fontId="45" fillId="70" borderId="0" applyNumberFormat="0" applyBorder="0" applyAlignment="0" applyProtection="0"/>
    <xf numFmtId="182" fontId="46" fillId="63" borderId="0" applyNumberFormat="0" applyBorder="0" applyAlignment="0" applyProtection="0"/>
    <xf numFmtId="182" fontId="46" fillId="71" borderId="0" applyNumberFormat="0" applyBorder="0" applyAlignment="0" applyProtection="0"/>
    <xf numFmtId="182" fontId="46" fillId="71" borderId="0" applyNumberFormat="0" applyBorder="0" applyAlignment="0" applyProtection="0"/>
    <xf numFmtId="182" fontId="45" fillId="72" borderId="0" applyNumberFormat="0" applyBorder="0" applyAlignment="0" applyProtection="0"/>
    <xf numFmtId="182" fontId="45" fillId="73" borderId="0" applyNumberFormat="0" applyBorder="0" applyAlignment="0" applyProtection="0"/>
    <xf numFmtId="182" fontId="46" fillId="60" borderId="0" applyNumberFormat="0" applyBorder="0" applyAlignment="0" applyProtection="0"/>
    <xf numFmtId="182" fontId="46" fillId="60" borderId="0" applyNumberFormat="0" applyBorder="0" applyAlignment="0" applyProtection="0"/>
    <xf numFmtId="182" fontId="46" fillId="60" borderId="0" applyNumberFormat="0" applyBorder="0" applyAlignment="0" applyProtection="0"/>
    <xf numFmtId="182" fontId="45" fillId="74" borderId="0" applyNumberFormat="0" applyBorder="0" applyAlignment="0" applyProtection="0"/>
    <xf numFmtId="182" fontId="45" fillId="75" borderId="0" applyNumberFormat="0" applyBorder="0" applyAlignment="0" applyProtection="0"/>
    <xf numFmtId="182" fontId="46" fillId="76" borderId="0" applyNumberFormat="0" applyBorder="0" applyAlignment="0" applyProtection="0"/>
    <xf numFmtId="182" fontId="46" fillId="77" borderId="0" applyNumberFormat="0" applyBorder="0" applyAlignment="0" applyProtection="0"/>
    <xf numFmtId="182" fontId="46" fillId="77" borderId="0" applyNumberFormat="0" applyBorder="0" applyAlignment="0" applyProtection="0"/>
    <xf numFmtId="182" fontId="47" fillId="74" borderId="0" applyNumberFormat="0" applyBorder="0" applyAlignment="0" applyProtection="0"/>
    <xf numFmtId="182" fontId="47" fillId="74" borderId="0" applyNumberFormat="0" applyBorder="0" applyAlignment="0" applyProtection="0"/>
    <xf numFmtId="182" fontId="48" fillId="78" borderId="48" applyNumberFormat="0" applyAlignment="0" applyProtection="0"/>
    <xf numFmtId="182" fontId="48" fillId="78" borderId="48" applyNumberFormat="0" applyAlignment="0" applyProtection="0"/>
    <xf numFmtId="182" fontId="49" fillId="71" borderId="49" applyNumberFormat="0" applyAlignment="0" applyProtection="0"/>
    <xf numFmtId="182" fontId="49" fillId="71" borderId="49" applyNumberFormat="0" applyAlignment="0" applyProtection="0"/>
    <xf numFmtId="37" fontId="30" fillId="0" borderId="33">
      <alignment horizontal="center"/>
    </xf>
    <xf numFmtId="37" fontId="30" fillId="0" borderId="0">
      <alignment horizontal="center" vertical="center" wrapText="1"/>
    </xf>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182" fontId="3" fillId="0" borderId="0" applyNumberFormat="0" applyFont="0" applyBorder="0" applyAlignment="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45"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164" fontId="32" fillId="0" borderId="0" applyFont="0" applyFill="0" applyBorder="0" applyAlignment="0" applyProtection="0"/>
    <xf numFmtId="43" fontId="45" fillId="0" borderId="0" applyFont="0" applyFill="0" applyBorder="0" applyAlignment="0" applyProtection="0"/>
    <xf numFmtId="43" fontId="3"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164" fontId="32" fillId="0" borderId="0" applyFont="0" applyFill="0" applyBorder="0" applyAlignment="0" applyProtection="0"/>
    <xf numFmtId="43" fontId="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4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5" fillId="0" borderId="0" applyFont="0" applyFill="0" applyBorder="0" applyAlignment="0" applyProtection="0"/>
    <xf numFmtId="183" fontId="32" fillId="0" borderId="0" applyFont="0" applyFill="0" applyBorder="0" applyAlignment="0" applyProtection="0"/>
    <xf numFmtId="43" fontId="43" fillId="0" borderId="0" applyFont="0" applyFill="0" applyBorder="0" applyAlignment="0" applyProtection="0"/>
    <xf numFmtId="183" fontId="32" fillId="0" borderId="0" applyFont="0" applyFill="0" applyBorder="0" applyAlignment="0" applyProtection="0"/>
    <xf numFmtId="183" fontId="32" fillId="0" borderId="0" applyFont="0" applyFill="0" applyBorder="0" applyAlignment="0" applyProtection="0"/>
    <xf numFmtId="183" fontId="32"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4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4" fontId="3" fillId="0" borderId="0" applyFill="0" applyBorder="0"/>
    <xf numFmtId="184" fontId="3" fillId="0" borderId="0" applyFill="0" applyBorder="0"/>
    <xf numFmtId="184" fontId="3" fillId="0" borderId="0" applyFill="0" applyBorder="0"/>
    <xf numFmtId="41" fontId="3" fillId="0" borderId="0" applyFont="0" applyFill="0" applyBorder="0" applyAlignment="0" applyProtection="0"/>
    <xf numFmtId="43" fontId="3" fillId="0" borderId="0" applyFont="0" applyFill="0" applyBorder="0" applyAlignment="0" applyProtection="0"/>
    <xf numFmtId="182" fontId="51" fillId="79" borderId="0" applyNumberFormat="0" applyBorder="0" applyAlignment="0" applyProtection="0"/>
    <xf numFmtId="182" fontId="51" fillId="80" borderId="0" applyNumberFormat="0" applyBorder="0" applyAlignment="0" applyProtection="0"/>
    <xf numFmtId="182" fontId="51" fillId="81" borderId="0" applyNumberFormat="0" applyBorder="0" applyAlignment="0" applyProtection="0"/>
    <xf numFmtId="182" fontId="52" fillId="0" borderId="0" applyFont="0" applyFill="0" applyBorder="0" applyAlignment="0" applyProtection="0"/>
    <xf numFmtId="182" fontId="53" fillId="0" borderId="0" applyNumberFormat="0" applyFill="0" applyBorder="0" applyAlignment="0" applyProtection="0"/>
    <xf numFmtId="182" fontId="53" fillId="0" borderId="0" applyNumberFormat="0" applyFill="0" applyBorder="0" applyAlignment="0" applyProtection="0"/>
    <xf numFmtId="182" fontId="45" fillId="67" borderId="0" applyNumberFormat="0" applyBorder="0" applyAlignment="0" applyProtection="0"/>
    <xf numFmtId="182" fontId="45" fillId="67" borderId="0" applyNumberForma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3" fillId="3" borderId="0" applyNumberFormat="0" applyFont="0" applyBorder="0" applyAlignment="0" applyProtection="0"/>
    <xf numFmtId="182" fontId="54" fillId="0" borderId="50" applyNumberFormat="0" applyFill="0" applyAlignment="0" applyProtection="0"/>
    <xf numFmtId="182" fontId="54" fillId="0" borderId="50" applyNumberFormat="0" applyFill="0" applyAlignment="0" applyProtection="0"/>
    <xf numFmtId="182" fontId="55" fillId="0" borderId="51" applyNumberFormat="0" applyFill="0" applyAlignment="0" applyProtection="0"/>
    <xf numFmtId="182" fontId="55" fillId="0" borderId="51" applyNumberFormat="0" applyFill="0" applyAlignment="0" applyProtection="0"/>
    <xf numFmtId="182" fontId="56" fillId="0" borderId="52" applyNumberFormat="0" applyFill="0" applyAlignment="0" applyProtection="0"/>
    <xf numFmtId="182" fontId="56" fillId="0" borderId="52" applyNumberFormat="0" applyFill="0" applyAlignment="0" applyProtection="0"/>
    <xf numFmtId="182" fontId="56" fillId="0" borderId="0" applyNumberFormat="0" applyFill="0" applyBorder="0" applyAlignment="0" applyProtection="0"/>
    <xf numFmtId="182" fontId="56" fillId="0" borderId="0" applyNumberFormat="0" applyFill="0" applyBorder="0" applyAlignment="0" applyProtection="0"/>
    <xf numFmtId="182" fontId="57" fillId="75" borderId="48" applyNumberFormat="0" applyAlignment="0" applyProtection="0"/>
    <xf numFmtId="182" fontId="57" fillId="75" borderId="48" applyNumberFormat="0" applyAlignment="0" applyProtection="0"/>
    <xf numFmtId="182" fontId="58" fillId="82" borderId="0"/>
    <xf numFmtId="182" fontId="59" fillId="0" borderId="53" applyNumberFormat="0" applyFill="0" applyAlignment="0" applyProtection="0"/>
    <xf numFmtId="182" fontId="59" fillId="0" borderId="53" applyNumberFormat="0" applyFill="0" applyAlignment="0" applyProtection="0"/>
    <xf numFmtId="37" fontId="60" fillId="0" borderId="0"/>
    <xf numFmtId="182" fontId="59" fillId="75" borderId="0" applyNumberFormat="0" applyBorder="0" applyAlignment="0" applyProtection="0"/>
    <xf numFmtId="182" fontId="59" fillId="75" borderId="0" applyNumberFormat="0" applyBorder="0" applyAlignment="0" applyProtection="0"/>
    <xf numFmtId="38" fontId="3" fillId="0" borderId="0" applyFont="0" applyFill="0" applyBorder="0" applyAlignment="0" applyProtection="0"/>
    <xf numFmtId="182" fontId="50" fillId="0" borderId="0"/>
    <xf numFmtId="182" fontId="50" fillId="0" borderId="0"/>
    <xf numFmtId="182" fontId="50" fillId="0" borderId="0"/>
    <xf numFmtId="182" fontId="50" fillId="0" borderId="0"/>
    <xf numFmtId="182" fontId="50" fillId="0" borderId="0"/>
    <xf numFmtId="182" fontId="3" fillId="0" borderId="0"/>
    <xf numFmtId="182" fontId="3" fillId="0" borderId="0"/>
    <xf numFmtId="182" fontId="3" fillId="0" borderId="0"/>
    <xf numFmtId="182" fontId="3" fillId="0" borderId="0"/>
    <xf numFmtId="0" fontId="2" fillId="0" borderId="0"/>
    <xf numFmtId="182" fontId="45" fillId="0" borderId="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45" fillId="0" borderId="0"/>
    <xf numFmtId="182" fontId="45" fillId="0" borderId="0" applyFill="0" applyBorder="0" applyAlignment="0" applyProtection="0"/>
    <xf numFmtId="182" fontId="3"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45" fillId="0" borderId="0" applyFill="0" applyBorder="0" applyAlignment="0" applyProtection="0"/>
    <xf numFmtId="182" fontId="45" fillId="0" borderId="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3"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3" fillId="0" borderId="0"/>
    <xf numFmtId="182" fontId="3" fillId="0" borderId="0"/>
    <xf numFmtId="182" fontId="3" fillId="0" borderId="0"/>
    <xf numFmtId="182" fontId="3" fillId="0" borderId="0"/>
    <xf numFmtId="182" fontId="3" fillId="0" borderId="0"/>
    <xf numFmtId="182" fontId="3" fillId="0" borderId="0"/>
    <xf numFmtId="182" fontId="3" fillId="0" borderId="0"/>
    <xf numFmtId="182" fontId="2"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3" fillId="0" borderId="0"/>
    <xf numFmtId="182" fontId="3" fillId="0" borderId="0"/>
    <xf numFmtId="182" fontId="3" fillId="0" borderId="0"/>
    <xf numFmtId="182" fontId="61" fillId="0" borderId="0"/>
    <xf numFmtId="182" fontId="31" fillId="0" borderId="0"/>
    <xf numFmtId="182" fontId="3"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1" fillId="0" borderId="0"/>
    <xf numFmtId="182" fontId="3" fillId="0" borderId="0"/>
    <xf numFmtId="182" fontId="3" fillId="0" borderId="0"/>
    <xf numFmtId="182" fontId="3" fillId="0" borderId="0"/>
    <xf numFmtId="182" fontId="3"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31" fillId="0" borderId="0"/>
    <xf numFmtId="182" fontId="31" fillId="0" borderId="0"/>
    <xf numFmtId="182" fontId="31" fillId="0" borderId="0"/>
    <xf numFmtId="182" fontId="31" fillId="0" borderId="0"/>
    <xf numFmtId="182" fontId="31" fillId="0" borderId="0"/>
    <xf numFmtId="182" fontId="31"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31" fillId="0" borderId="0"/>
    <xf numFmtId="182" fontId="31"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3" fillId="0" borderId="0"/>
    <xf numFmtId="182" fontId="45" fillId="0" borderId="0" applyFill="0" applyBorder="0" applyAlignment="0" applyProtection="0"/>
    <xf numFmtId="182" fontId="50" fillId="0" borderId="0"/>
    <xf numFmtId="182" fontId="50"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xf numFmtId="182" fontId="45" fillId="0" borderId="0"/>
    <xf numFmtId="182" fontId="45" fillId="0" borderId="0"/>
    <xf numFmtId="182" fontId="45" fillId="0" borderId="0"/>
    <xf numFmtId="182" fontId="45" fillId="0" borderId="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applyFill="0" applyBorder="0" applyAlignment="0" applyProtection="0"/>
    <xf numFmtId="182" fontId="45" fillId="0" borderId="0" applyFill="0" applyBorder="0" applyAlignment="0" applyProtection="0"/>
    <xf numFmtId="182" fontId="45" fillId="0" borderId="0"/>
    <xf numFmtId="182" fontId="45" fillId="0" borderId="0"/>
    <xf numFmtId="182" fontId="32" fillId="0" borderId="0">
      <alignment vertical="top"/>
    </xf>
    <xf numFmtId="182" fontId="32" fillId="0" borderId="0">
      <alignment vertical="top"/>
    </xf>
    <xf numFmtId="182" fontId="62" fillId="0" borderId="0" applyFill="0" applyBorder="0">
      <protection locked="0"/>
    </xf>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3" fillId="74" borderId="48" applyNumberFormat="0" applyFont="0" applyAlignment="0" applyProtection="0"/>
    <xf numFmtId="182" fontId="64" fillId="78" borderId="54" applyNumberFormat="0" applyAlignment="0" applyProtection="0"/>
    <xf numFmtId="182" fontId="64" fillId="78" borderId="5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43"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3"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185" fontId="50" fillId="83" borderId="18">
      <alignment vertical="center"/>
    </xf>
    <xf numFmtId="186" fontId="50" fillId="83" borderId="18">
      <alignment vertical="center"/>
    </xf>
    <xf numFmtId="186" fontId="50" fillId="83" borderId="18">
      <alignment vertical="center"/>
    </xf>
    <xf numFmtId="182" fontId="50" fillId="83" borderId="18">
      <alignment vertical="center"/>
    </xf>
    <xf numFmtId="182" fontId="50" fillId="83" borderId="18">
      <alignment vertical="center"/>
    </xf>
    <xf numFmtId="182" fontId="50" fillId="83" borderId="18">
      <alignment vertical="center"/>
    </xf>
    <xf numFmtId="182" fontId="50" fillId="83" borderId="18">
      <alignment vertical="center"/>
    </xf>
    <xf numFmtId="177" fontId="50" fillId="83" borderId="18">
      <alignment vertical="center"/>
    </xf>
    <xf numFmtId="177" fontId="50" fillId="83" borderId="18">
      <alignment vertical="center"/>
    </xf>
    <xf numFmtId="185" fontId="50" fillId="83" borderId="18">
      <alignment vertical="center"/>
    </xf>
    <xf numFmtId="182" fontId="65" fillId="0" borderId="0"/>
    <xf numFmtId="187" fontId="50" fillId="0" borderId="0">
      <protection locked="0"/>
    </xf>
    <xf numFmtId="187" fontId="50" fillId="0" borderId="0">
      <protection locked="0"/>
    </xf>
    <xf numFmtId="186" fontId="50" fillId="4" borderId="18">
      <alignment vertical="center"/>
      <protection locked="0"/>
    </xf>
    <xf numFmtId="188" fontId="50" fillId="4" borderId="18">
      <alignment vertical="center"/>
      <protection locked="0"/>
    </xf>
    <xf numFmtId="182" fontId="50" fillId="4" borderId="18">
      <alignment vertical="center"/>
      <protection locked="0"/>
    </xf>
    <xf numFmtId="182" fontId="50" fillId="4" borderId="18">
      <alignment vertical="center"/>
      <protection locked="0"/>
    </xf>
    <xf numFmtId="188" fontId="50" fillId="4" borderId="18">
      <alignment vertical="center"/>
      <protection locked="0"/>
    </xf>
    <xf numFmtId="188" fontId="50" fillId="4" borderId="18">
      <alignment vertical="center"/>
      <protection locked="0"/>
    </xf>
    <xf numFmtId="182" fontId="50" fillId="4" borderId="18">
      <alignment vertical="center"/>
      <protection locked="0"/>
    </xf>
    <xf numFmtId="182" fontId="50" fillId="4" borderId="18">
      <alignment vertical="center"/>
      <protection locked="0"/>
    </xf>
    <xf numFmtId="188" fontId="50" fillId="4" borderId="18">
      <alignment vertical="center"/>
      <protection locked="0"/>
    </xf>
    <xf numFmtId="186" fontId="50" fillId="4" borderId="18">
      <alignment vertical="center"/>
      <protection locked="0"/>
    </xf>
    <xf numFmtId="186" fontId="50" fillId="4" borderId="18">
      <alignment vertical="center"/>
      <protection locked="0"/>
    </xf>
    <xf numFmtId="164" fontId="50" fillId="4" borderId="18">
      <alignment vertical="center"/>
      <protection locked="0"/>
    </xf>
    <xf numFmtId="164" fontId="50" fillId="4" borderId="18">
      <alignment vertical="center"/>
      <protection locked="0"/>
    </xf>
    <xf numFmtId="164" fontId="50" fillId="4" borderId="18">
      <alignment vertical="center"/>
      <protection locked="0"/>
    </xf>
    <xf numFmtId="164" fontId="50" fillId="4" borderId="18">
      <alignment vertical="center"/>
      <protection locked="0"/>
    </xf>
    <xf numFmtId="186" fontId="50" fillId="4" borderId="18">
      <alignment vertical="center"/>
      <protection locked="0"/>
    </xf>
    <xf numFmtId="186" fontId="50" fillId="84" borderId="18">
      <alignment vertical="center"/>
    </xf>
    <xf numFmtId="186" fontId="50" fillId="84" borderId="18">
      <alignment vertical="center"/>
    </xf>
    <xf numFmtId="188" fontId="50" fillId="84" borderId="18">
      <alignment vertical="center"/>
    </xf>
    <xf numFmtId="188" fontId="50" fillId="84" borderId="18">
      <alignment vertical="center"/>
    </xf>
    <xf numFmtId="188" fontId="50" fillId="84" borderId="18">
      <alignment vertical="center"/>
    </xf>
    <xf numFmtId="188" fontId="50" fillId="84" borderId="18">
      <alignment vertical="center"/>
    </xf>
    <xf numFmtId="177" fontId="50" fillId="84" borderId="18">
      <alignment vertical="center"/>
    </xf>
    <xf numFmtId="185" fontId="50" fillId="84" borderId="18">
      <alignment vertical="center"/>
    </xf>
    <xf numFmtId="182" fontId="50" fillId="84" borderId="18">
      <alignment vertical="center"/>
    </xf>
    <xf numFmtId="182" fontId="50" fillId="84" borderId="18">
      <alignment vertical="center"/>
    </xf>
    <xf numFmtId="182" fontId="50" fillId="84" borderId="18">
      <alignment vertical="center"/>
    </xf>
    <xf numFmtId="182" fontId="50" fillId="84" borderId="18">
      <alignment vertical="center"/>
    </xf>
    <xf numFmtId="186" fontId="50" fillId="84" borderId="18">
      <alignment vertical="center"/>
    </xf>
    <xf numFmtId="186" fontId="50" fillId="84" borderId="18">
      <alignment vertical="center"/>
    </xf>
    <xf numFmtId="186" fontId="50" fillId="84" borderId="18">
      <alignment vertical="center"/>
    </xf>
    <xf numFmtId="186" fontId="50" fillId="84" borderId="18">
      <alignment vertical="center"/>
    </xf>
    <xf numFmtId="186" fontId="50" fillId="85" borderId="18">
      <alignment horizontal="right" vertical="center"/>
      <protection locked="0"/>
    </xf>
    <xf numFmtId="182" fontId="50" fillId="85" borderId="18">
      <alignment horizontal="right" vertical="center"/>
      <protection locked="0"/>
    </xf>
    <xf numFmtId="182" fontId="50" fillId="85" borderId="18">
      <alignment horizontal="right" vertical="center"/>
      <protection locked="0"/>
    </xf>
    <xf numFmtId="185" fontId="50" fillId="85" borderId="18">
      <alignment horizontal="right" vertical="center"/>
      <protection locked="0"/>
    </xf>
    <xf numFmtId="177" fontId="50" fillId="85" borderId="18">
      <alignment horizontal="right" vertical="center"/>
      <protection locked="0"/>
    </xf>
    <xf numFmtId="185" fontId="50" fillId="85" borderId="18">
      <alignment horizontal="right" vertical="center"/>
      <protection locked="0"/>
    </xf>
    <xf numFmtId="186" fontId="50" fillId="85" borderId="18">
      <alignment horizontal="right" vertical="center"/>
      <protection locked="0"/>
    </xf>
    <xf numFmtId="186" fontId="50" fillId="85" borderId="18">
      <alignment horizontal="right" vertical="center"/>
      <protection locked="0"/>
    </xf>
    <xf numFmtId="186" fontId="50" fillId="85" borderId="18">
      <alignment horizontal="right" vertical="center"/>
      <protection locked="0"/>
    </xf>
    <xf numFmtId="4" fontId="63" fillId="86" borderId="48" applyNumberFormat="0" applyProtection="0">
      <alignment vertical="center"/>
    </xf>
    <xf numFmtId="4" fontId="66" fillId="87" borderId="48" applyNumberFormat="0" applyProtection="0">
      <alignment vertical="center"/>
    </xf>
    <xf numFmtId="4" fontId="63" fillId="87" borderId="48" applyNumberFormat="0" applyProtection="0">
      <alignment horizontal="left" vertical="center" indent="1"/>
    </xf>
    <xf numFmtId="182" fontId="67" fillId="86" borderId="55" applyNumberFormat="0" applyProtection="0">
      <alignment horizontal="left" vertical="top" indent="1"/>
    </xf>
    <xf numFmtId="4" fontId="63" fillId="88" borderId="48" applyNumberFormat="0" applyProtection="0">
      <alignment horizontal="left" vertical="center" indent="1"/>
    </xf>
    <xf numFmtId="4" fontId="63" fillId="89" borderId="48" applyNumberFormat="0" applyProtection="0">
      <alignment horizontal="right" vertical="center"/>
    </xf>
    <xf numFmtId="4" fontId="63" fillId="90" borderId="48" applyNumberFormat="0" applyProtection="0">
      <alignment horizontal="right" vertical="center"/>
    </xf>
    <xf numFmtId="4" fontId="63" fillId="91" borderId="56" applyNumberFormat="0" applyProtection="0">
      <alignment horizontal="right" vertical="center"/>
    </xf>
    <xf numFmtId="4" fontId="63" fillId="57" borderId="48" applyNumberFormat="0" applyProtection="0">
      <alignment horizontal="right" vertical="center"/>
    </xf>
    <xf numFmtId="4" fontId="63" fillId="92" borderId="48" applyNumberFormat="0" applyProtection="0">
      <alignment horizontal="right" vertical="center"/>
    </xf>
    <xf numFmtId="4" fontId="63" fillId="93" borderId="48" applyNumberFormat="0" applyProtection="0">
      <alignment horizontal="right" vertical="center"/>
    </xf>
    <xf numFmtId="4" fontId="63" fillId="53" borderId="48" applyNumberFormat="0" applyProtection="0">
      <alignment horizontal="right" vertical="center"/>
    </xf>
    <xf numFmtId="4" fontId="63" fillId="50" borderId="48" applyNumberFormat="0" applyProtection="0">
      <alignment horizontal="right" vertical="center"/>
    </xf>
    <xf numFmtId="4" fontId="63" fillId="94" borderId="48" applyNumberFormat="0" applyProtection="0">
      <alignment horizontal="right" vertical="center"/>
    </xf>
    <xf numFmtId="4" fontId="63" fillId="95" borderId="56" applyNumberFormat="0" applyProtection="0">
      <alignment horizontal="left" vertical="center" indent="1"/>
    </xf>
    <xf numFmtId="4" fontId="3" fillId="55" borderId="56" applyNumberFormat="0" applyProtection="0">
      <alignment horizontal="left" vertical="center" indent="1"/>
    </xf>
    <xf numFmtId="4" fontId="3" fillId="55" borderId="56" applyNumberFormat="0" applyProtection="0">
      <alignment horizontal="left" vertical="center" indent="1"/>
    </xf>
    <xf numFmtId="4" fontId="63" fillId="49" borderId="48" applyNumberFormat="0" applyProtection="0">
      <alignment horizontal="right" vertical="center"/>
    </xf>
    <xf numFmtId="4" fontId="63" fillId="48" borderId="56" applyNumberFormat="0" applyProtection="0">
      <alignment horizontal="left" vertical="center" indent="1"/>
    </xf>
    <xf numFmtId="4" fontId="43" fillId="48" borderId="0" applyNumberFormat="0" applyProtection="0">
      <alignment horizontal="left" vertical="center" indent="1"/>
    </xf>
    <xf numFmtId="4" fontId="63" fillId="48" borderId="56" applyNumberFormat="0" applyProtection="0">
      <alignment horizontal="left" vertical="center" indent="1"/>
    </xf>
    <xf numFmtId="4" fontId="63" fillId="49" borderId="56" applyNumberFormat="0" applyProtection="0">
      <alignment horizontal="left" vertical="center" indent="1"/>
    </xf>
    <xf numFmtId="4" fontId="43" fillId="49" borderId="0" applyNumberFormat="0" applyProtection="0">
      <alignment horizontal="left" vertical="center" indent="1"/>
    </xf>
    <xf numFmtId="4" fontId="63" fillId="49" borderId="56" applyNumberFormat="0" applyProtection="0">
      <alignment horizontal="left" vertical="center" indent="1"/>
    </xf>
    <xf numFmtId="182" fontId="63" fillId="3" borderId="48" applyNumberFormat="0" applyProtection="0">
      <alignment horizontal="left" vertical="center" indent="1"/>
    </xf>
    <xf numFmtId="182" fontId="3" fillId="55" borderId="55" applyNumberFormat="0" applyProtection="0">
      <alignment horizontal="left" vertical="center" indent="1"/>
    </xf>
    <xf numFmtId="182" fontId="63" fillId="3" borderId="48" applyNumberFormat="0" applyProtection="0">
      <alignment horizontal="left" vertical="center" indent="1"/>
    </xf>
    <xf numFmtId="182" fontId="63" fillId="55" borderId="55" applyNumberFormat="0" applyProtection="0">
      <alignment horizontal="left" vertical="top" indent="1"/>
    </xf>
    <xf numFmtId="182" fontId="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55" borderId="55" applyNumberFormat="0" applyProtection="0">
      <alignment horizontal="left" vertical="top" indent="1"/>
    </xf>
    <xf numFmtId="182" fontId="63" fillId="96" borderId="48" applyNumberFormat="0" applyProtection="0">
      <alignment horizontal="left" vertical="center" indent="1"/>
    </xf>
    <xf numFmtId="182" fontId="3" fillId="49" borderId="55" applyNumberFormat="0" applyProtection="0">
      <alignment horizontal="left" vertical="center" indent="1"/>
    </xf>
    <xf numFmtId="182" fontId="63" fillId="96" borderId="48" applyNumberFormat="0" applyProtection="0">
      <alignment horizontal="left" vertical="center" indent="1"/>
    </xf>
    <xf numFmtId="182" fontId="63" fillId="49" borderId="55" applyNumberFormat="0" applyProtection="0">
      <alignment horizontal="left" vertical="top" indent="1"/>
    </xf>
    <xf numFmtId="182" fontId="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49" borderId="55" applyNumberFormat="0" applyProtection="0">
      <alignment horizontal="left" vertical="top" indent="1"/>
    </xf>
    <xf numFmtId="182" fontId="63" fillId="97" borderId="48" applyNumberFormat="0" applyProtection="0">
      <alignment horizontal="left" vertical="center" indent="1"/>
    </xf>
    <xf numFmtId="182" fontId="3" fillId="97" borderId="55" applyNumberFormat="0" applyProtection="0">
      <alignment horizontal="left" vertical="center" indent="1"/>
    </xf>
    <xf numFmtId="182" fontId="63" fillId="97" borderId="48" applyNumberFormat="0" applyProtection="0">
      <alignment horizontal="left" vertical="center" indent="1"/>
    </xf>
    <xf numFmtId="182" fontId="63" fillId="97" borderId="55" applyNumberFormat="0" applyProtection="0">
      <alignment horizontal="left" vertical="top" indent="1"/>
    </xf>
    <xf numFmtId="182" fontId="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97" borderId="55" applyNumberFormat="0" applyProtection="0">
      <alignment horizontal="left" vertical="top" indent="1"/>
    </xf>
    <xf numFmtId="182" fontId="63" fillId="48" borderId="48" applyNumberFormat="0" applyProtection="0">
      <alignment horizontal="left" vertical="center" indent="1"/>
    </xf>
    <xf numFmtId="182" fontId="3" fillId="48" borderId="55" applyNumberFormat="0" applyProtection="0">
      <alignment horizontal="left" vertical="center" indent="1"/>
    </xf>
    <xf numFmtId="182" fontId="63" fillId="48" borderId="48" applyNumberFormat="0" applyProtection="0">
      <alignment horizontal="left" vertical="center" indent="1"/>
    </xf>
    <xf numFmtId="182" fontId="63" fillId="48" borderId="55" applyNumberFormat="0" applyProtection="0">
      <alignment horizontal="left" vertical="top" indent="1"/>
    </xf>
    <xf numFmtId="182" fontId="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48" borderId="55" applyNumberFormat="0" applyProtection="0">
      <alignment horizontal="left" vertical="top" indent="1"/>
    </xf>
    <xf numFmtId="182" fontId="63" fillId="98" borderId="57" applyNumberFormat="0">
      <protection locked="0"/>
    </xf>
    <xf numFmtId="182" fontId="3" fillId="98" borderId="18"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3" fillId="98" borderId="57" applyNumberFormat="0">
      <protection locked="0"/>
    </xf>
    <xf numFmtId="182" fontId="68" fillId="55" borderId="58" applyBorder="0"/>
    <xf numFmtId="4" fontId="69" fillId="82" borderId="55" applyNumberFormat="0" applyProtection="0">
      <alignment vertical="center"/>
    </xf>
    <xf numFmtId="4" fontId="66" fillId="4" borderId="18" applyNumberFormat="0" applyProtection="0">
      <alignment vertical="center"/>
    </xf>
    <xf numFmtId="4" fontId="69" fillId="3" borderId="55" applyNumberFormat="0" applyProtection="0">
      <alignment horizontal="left" vertical="center" indent="1"/>
    </xf>
    <xf numFmtId="182" fontId="69" fillId="82" borderId="55" applyNumberFormat="0" applyProtection="0">
      <alignment horizontal="left" vertical="top" indent="1"/>
    </xf>
    <xf numFmtId="4" fontId="63" fillId="0" borderId="48" applyNumberFormat="0" applyProtection="0">
      <alignment horizontal="right" vertical="center"/>
    </xf>
    <xf numFmtId="4" fontId="66" fillId="99" borderId="48" applyNumberFormat="0" applyProtection="0">
      <alignment horizontal="right" vertical="center"/>
    </xf>
    <xf numFmtId="4" fontId="63" fillId="88" borderId="48" applyNumberFormat="0" applyProtection="0">
      <alignment horizontal="left" vertical="center" indent="1"/>
    </xf>
    <xf numFmtId="182" fontId="69" fillId="49" borderId="55" applyNumberFormat="0" applyProtection="0">
      <alignment horizontal="left" vertical="top" indent="1"/>
    </xf>
    <xf numFmtId="4" fontId="70" fillId="100" borderId="56" applyNumberFormat="0" applyProtection="0">
      <alignment horizontal="left" vertical="center" indent="1"/>
    </xf>
    <xf numFmtId="182" fontId="63" fillId="101" borderId="18"/>
    <xf numFmtId="4" fontId="71" fillId="98" borderId="48" applyNumberFormat="0" applyProtection="0">
      <alignment horizontal="right" vertical="center"/>
    </xf>
    <xf numFmtId="182" fontId="72" fillId="0" borderId="0" applyNumberFormat="0" applyFill="0" applyBorder="0" applyAlignment="0" applyProtection="0"/>
    <xf numFmtId="182" fontId="3" fillId="102" borderId="0"/>
    <xf numFmtId="182" fontId="3" fillId="0" borderId="0" applyFont="0" applyFill="0" applyBorder="0" applyAlignment="0" applyProtection="0"/>
    <xf numFmtId="37" fontId="30" fillId="0" borderId="59" applyNumberFormat="0"/>
    <xf numFmtId="182" fontId="73" fillId="0" borderId="60" applyNumberFormat="0" applyAlignment="0" applyProtection="0"/>
    <xf numFmtId="182" fontId="72" fillId="0" borderId="0" applyNumberFormat="0" applyFill="0" applyBorder="0" applyAlignment="0" applyProtection="0"/>
    <xf numFmtId="182" fontId="72" fillId="0" borderId="0" applyNumberFormat="0" applyFill="0" applyBorder="0" applyAlignment="0" applyProtection="0"/>
    <xf numFmtId="189" fontId="30" fillId="0" borderId="31" applyFill="0"/>
    <xf numFmtId="182" fontId="51" fillId="0" borderId="61" applyNumberFormat="0" applyFill="0" applyAlignment="0" applyProtection="0"/>
    <xf numFmtId="182" fontId="51" fillId="0" borderId="61" applyNumberFormat="0" applyFill="0" applyAlignment="0" applyProtection="0"/>
    <xf numFmtId="37" fontId="30" fillId="0" borderId="46" applyNumberFormat="0" applyFill="0"/>
    <xf numFmtId="42" fontId="3" fillId="0" borderId="0" applyFont="0" applyFill="0" applyBorder="0" applyAlignment="0" applyProtection="0"/>
    <xf numFmtId="44" fontId="3" fillId="0" borderId="0" applyFont="0" applyFill="0" applyBorder="0" applyAlignment="0" applyProtection="0"/>
    <xf numFmtId="182" fontId="74" fillId="0" borderId="0" applyNumberFormat="0" applyFill="0" applyBorder="0" applyAlignment="0" applyProtection="0"/>
    <xf numFmtId="182" fontId="74" fillId="0" borderId="0" applyNumberFormat="0" applyFill="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182" fontId="3" fillId="82" borderId="0" applyNumberFormat="0" applyFont="0" applyBorder="0" applyAlignment="0" applyProtection="0"/>
    <xf numFmtId="0" fontId="2" fillId="0" borderId="0"/>
    <xf numFmtId="0" fontId="32" fillId="0" borderId="0"/>
    <xf numFmtId="0" fontId="78" fillId="0" borderId="0"/>
    <xf numFmtId="43" fontId="32" fillId="0" borderId="0" applyFont="0" applyFill="0" applyBorder="0" applyAlignment="0" applyProtection="0"/>
    <xf numFmtId="191" fontId="32" fillId="0" borderId="0"/>
    <xf numFmtId="0" fontId="32" fillId="0" borderId="0"/>
    <xf numFmtId="0" fontId="32" fillId="0" borderId="0"/>
    <xf numFmtId="0" fontId="32" fillId="0" borderId="0"/>
    <xf numFmtId="0" fontId="3" fillId="0" borderId="0"/>
    <xf numFmtId="183" fontId="32" fillId="0" borderId="0" applyFont="0" applyFill="0" applyBorder="0" applyAlignment="0" applyProtection="0"/>
    <xf numFmtId="183" fontId="32" fillId="0" borderId="0" applyFont="0" applyFill="0" applyBorder="0" applyAlignment="0" applyProtection="0"/>
    <xf numFmtId="183" fontId="32" fillId="0" borderId="0" applyFont="0" applyFill="0" applyBorder="0" applyAlignment="0" applyProtection="0"/>
    <xf numFmtId="0" fontId="2" fillId="0" borderId="0"/>
    <xf numFmtId="0" fontId="32" fillId="0" borderId="0" applyFont="0" applyFill="0" applyBorder="0" applyAlignment="0" applyProtection="0"/>
    <xf numFmtId="0" fontId="3" fillId="0" borderId="0"/>
    <xf numFmtId="0" fontId="3" fillId="0" borderId="0"/>
    <xf numFmtId="0" fontId="2" fillId="0" borderId="0"/>
    <xf numFmtId="0" fontId="2" fillId="0" borderId="0"/>
    <xf numFmtId="0" fontId="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186" fontId="2" fillId="46" borderId="18">
      <alignment vertical="center"/>
    </xf>
    <xf numFmtId="177" fontId="2" fillId="46" borderId="18">
      <alignment vertical="center"/>
    </xf>
    <xf numFmtId="185" fontId="2" fillId="46" borderId="18">
      <alignment vertical="center"/>
    </xf>
    <xf numFmtId="186" fontId="2" fillId="5" borderId="18">
      <alignment vertical="center"/>
      <protection locked="0"/>
    </xf>
    <xf numFmtId="177" fontId="2" fillId="5" borderId="18">
      <alignment vertical="center"/>
      <protection locked="0"/>
    </xf>
    <xf numFmtId="192" fontId="2" fillId="104" borderId="18">
      <alignment vertical="center"/>
    </xf>
    <xf numFmtId="177" fontId="2" fillId="104" borderId="18">
      <alignment vertical="center"/>
    </xf>
    <xf numFmtId="185" fontId="2" fillId="104" borderId="18">
      <alignment vertical="center"/>
    </xf>
    <xf numFmtId="186" fontId="2" fillId="104" borderId="18">
      <alignment vertical="center"/>
    </xf>
    <xf numFmtId="177" fontId="2" fillId="105" borderId="18">
      <alignment horizontal="right" vertical="center"/>
      <protection locked="0"/>
    </xf>
    <xf numFmtId="185" fontId="2" fillId="105" borderId="18">
      <alignment horizontal="right" vertical="center"/>
      <protection locked="0"/>
    </xf>
    <xf numFmtId="186" fontId="2" fillId="105" borderId="18">
      <alignment horizontal="right" vertical="center"/>
      <protection locked="0"/>
    </xf>
    <xf numFmtId="0" fontId="32" fillId="0" borderId="0"/>
    <xf numFmtId="0" fontId="32" fillId="0" borderId="0"/>
    <xf numFmtId="0" fontId="32" fillId="0" borderId="0"/>
    <xf numFmtId="0" fontId="32" fillId="0" borderId="0"/>
    <xf numFmtId="0" fontId="32" fillId="0" borderId="0"/>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2" fontId="63" fillId="98" borderId="65" applyNumberFormat="0">
      <protection locked="0"/>
    </xf>
    <xf numFmtId="189" fontId="30" fillId="0" borderId="62" applyFill="0"/>
    <xf numFmtId="0" fontId="32" fillId="0" borderId="0"/>
    <xf numFmtId="0" fontId="32" fillId="0" borderId="0"/>
    <xf numFmtId="183" fontId="2" fillId="0" borderId="0" applyFont="0" applyFill="0" applyBorder="0" applyAlignment="0" applyProtection="0"/>
    <xf numFmtId="186" fontId="2" fillId="104" borderId="18">
      <alignment vertical="center"/>
    </xf>
  </cellStyleXfs>
  <cellXfs count="601">
    <xf numFmtId="0" fontId="0" fillId="0" borderId="0" xfId="0"/>
    <xf numFmtId="168" fontId="17" fillId="0" borderId="0" xfId="0" applyNumberFormat="1" applyFont="1" applyAlignment="1">
      <alignment vertical="center"/>
    </xf>
    <xf numFmtId="168" fontId="7" fillId="0" borderId="0" xfId="0" applyNumberFormat="1" applyFont="1" applyFill="1" applyBorder="1" applyAlignment="1" applyProtection="1">
      <alignment horizontal="center" vertical="center" wrapText="1"/>
      <protection locked="0"/>
    </xf>
    <xf numFmtId="168" fontId="7" fillId="0" borderId="0" xfId="0" applyNumberFormat="1" applyFont="1" applyFill="1" applyBorder="1" applyAlignment="1">
      <alignment vertical="center"/>
    </xf>
    <xf numFmtId="170" fontId="5" fillId="0" borderId="0" xfId="0" applyNumberFormat="1" applyFont="1" applyFill="1" applyBorder="1" applyAlignment="1" applyProtection="1">
      <alignment horizontal="left" vertical="center"/>
    </xf>
    <xf numFmtId="168" fontId="6" fillId="8" borderId="0" xfId="0" applyNumberFormat="1" applyFont="1" applyFill="1" applyBorder="1" applyAlignment="1">
      <alignment vertical="center"/>
    </xf>
    <xf numFmtId="168" fontId="5" fillId="8" borderId="0" xfId="0" applyNumberFormat="1" applyFont="1" applyFill="1" applyBorder="1" applyAlignment="1">
      <alignment vertical="center"/>
    </xf>
    <xf numFmtId="0" fontId="7" fillId="8" borderId="0" xfId="0" applyFont="1" applyFill="1" applyBorder="1" applyAlignment="1">
      <alignment vertical="center"/>
    </xf>
    <xf numFmtId="168" fontId="11" fillId="8" borderId="0" xfId="0" applyNumberFormat="1" applyFont="1" applyFill="1" applyBorder="1" applyAlignment="1">
      <alignment vertical="center"/>
    </xf>
    <xf numFmtId="168" fontId="12" fillId="8" borderId="0" xfId="0" applyNumberFormat="1" applyFont="1" applyFill="1" applyBorder="1" applyAlignment="1">
      <alignment vertical="center"/>
    </xf>
    <xf numFmtId="168" fontId="7" fillId="8" borderId="0" xfId="0" applyNumberFormat="1" applyFont="1" applyFill="1" applyBorder="1" applyAlignment="1">
      <alignment vertical="center"/>
    </xf>
    <xf numFmtId="168" fontId="5" fillId="0" borderId="0" xfId="0" applyNumberFormat="1" applyFont="1" applyAlignment="1">
      <alignment vertical="center"/>
    </xf>
    <xf numFmtId="168" fontId="5" fillId="0" borderId="0" xfId="0" applyNumberFormat="1" applyFont="1" applyBorder="1" applyAlignment="1">
      <alignment vertical="center"/>
    </xf>
    <xf numFmtId="168" fontId="5" fillId="0" borderId="0" xfId="0" applyNumberFormat="1" applyFont="1" applyBorder="1" applyAlignment="1">
      <alignment horizontal="left" vertical="center"/>
    </xf>
    <xf numFmtId="168" fontId="5" fillId="0" borderId="0" xfId="0" applyNumberFormat="1" applyFont="1" applyBorder="1" applyAlignment="1">
      <alignment horizontal="center" vertical="center"/>
    </xf>
    <xf numFmtId="168" fontId="19" fillId="10" borderId="0" xfId="5" applyAlignment="1">
      <alignment vertical="center"/>
    </xf>
    <xf numFmtId="0" fontId="7" fillId="0" borderId="0" xfId="0" applyFont="1" applyFill="1" applyBorder="1" applyAlignment="1">
      <alignment vertical="center"/>
    </xf>
    <xf numFmtId="168" fontId="5" fillId="7" borderId="0" xfId="6" applyAlignment="1">
      <alignment vertical="center"/>
    </xf>
    <xf numFmtId="0" fontId="7" fillId="0" borderId="0" xfId="0" applyFont="1" applyFill="1" applyBorder="1" applyAlignment="1">
      <alignment horizontal="left" vertical="center"/>
    </xf>
    <xf numFmtId="170" fontId="7" fillId="0" borderId="0" xfId="0" applyNumberFormat="1" applyFont="1" applyFill="1" applyBorder="1" applyAlignment="1">
      <alignment vertical="center"/>
    </xf>
    <xf numFmtId="168" fontId="18" fillId="0" borderId="0" xfId="0" applyNumberFormat="1" applyFont="1" applyAlignment="1">
      <alignment vertical="center"/>
    </xf>
    <xf numFmtId="168" fontId="5" fillId="0" borderId="0" xfId="0" applyNumberFormat="1" applyFont="1" applyAlignment="1">
      <alignment horizontal="left" vertical="center"/>
    </xf>
    <xf numFmtId="168" fontId="5" fillId="0" borderId="0" xfId="0" applyNumberFormat="1" applyFont="1" applyAlignment="1">
      <alignment horizontal="center" vertical="center"/>
    </xf>
    <xf numFmtId="168" fontId="16" fillId="0" borderId="0" xfId="0" applyNumberFormat="1" applyFont="1" applyAlignment="1">
      <alignment vertical="center"/>
    </xf>
    <xf numFmtId="168" fontId="13" fillId="0" borderId="0" xfId="0" applyNumberFormat="1" applyFont="1" applyFill="1" applyBorder="1" applyAlignment="1">
      <alignment vertical="center"/>
    </xf>
    <xf numFmtId="168" fontId="7" fillId="0" borderId="0" xfId="0" applyNumberFormat="1" applyFont="1" applyAlignment="1">
      <alignment horizontal="left" vertical="center"/>
    </xf>
    <xf numFmtId="168" fontId="7" fillId="0" borderId="23" xfId="0" applyNumberFormat="1" applyFont="1" applyFill="1" applyBorder="1" applyAlignment="1">
      <alignment vertical="center"/>
    </xf>
    <xf numFmtId="168" fontId="7" fillId="6" borderId="0" xfId="0" applyNumberFormat="1" applyFont="1" applyFill="1" applyAlignment="1">
      <alignment horizontal="left" vertical="center"/>
    </xf>
    <xf numFmtId="168" fontId="7" fillId="6" borderId="0" xfId="0" applyNumberFormat="1" applyFont="1" applyFill="1" applyAlignment="1">
      <alignment horizontal="center" vertical="center"/>
    </xf>
    <xf numFmtId="168" fontId="7" fillId="6" borderId="0" xfId="0" applyNumberFormat="1" applyFont="1" applyFill="1" applyAlignment="1">
      <alignment vertical="center"/>
    </xf>
    <xf numFmtId="168" fontId="7" fillId="0" borderId="0" xfId="0" applyNumberFormat="1" applyFont="1" applyBorder="1" applyAlignment="1">
      <alignment horizontal="left" vertical="center"/>
    </xf>
    <xf numFmtId="168" fontId="7" fillId="0" borderId="0" xfId="0" applyNumberFormat="1" applyFont="1" applyBorder="1" applyAlignment="1">
      <alignment horizontal="center" vertical="center"/>
    </xf>
    <xf numFmtId="168" fontId="7" fillId="0" borderId="31" xfId="0" applyNumberFormat="1" applyFont="1" applyBorder="1" applyAlignment="1">
      <alignment vertical="center"/>
    </xf>
    <xf numFmtId="168" fontId="7" fillId="0" borderId="0" xfId="0" applyNumberFormat="1" applyFont="1" applyFill="1" applyBorder="1" applyAlignment="1">
      <alignment horizontal="center" vertical="center"/>
    </xf>
    <xf numFmtId="168" fontId="7" fillId="0" borderId="24" xfId="0" applyNumberFormat="1" applyFont="1" applyFill="1" applyBorder="1" applyAlignment="1">
      <alignment vertical="center"/>
    </xf>
    <xf numFmtId="168" fontId="7" fillId="0" borderId="0" xfId="0" applyNumberFormat="1" applyFont="1" applyFill="1" applyBorder="1" applyAlignment="1">
      <alignment horizontal="left" vertical="center"/>
    </xf>
    <xf numFmtId="168" fontId="7" fillId="6" borderId="0" xfId="7" applyAlignment="1">
      <alignment vertical="center"/>
    </xf>
    <xf numFmtId="168" fontId="9" fillId="0" borderId="0" xfId="0" applyNumberFormat="1" applyFont="1" applyFill="1" applyBorder="1" applyAlignment="1">
      <alignment vertical="center"/>
    </xf>
    <xf numFmtId="168" fontId="7" fillId="0" borderId="31" xfId="0" applyNumberFormat="1" applyFont="1" applyFill="1" applyBorder="1" applyAlignment="1">
      <alignment vertical="center"/>
    </xf>
    <xf numFmtId="168" fontId="7" fillId="0" borderId="0" xfId="0" quotePrefix="1" applyNumberFormat="1" applyFont="1" applyFill="1" applyBorder="1" applyAlignment="1">
      <alignment vertical="center"/>
    </xf>
    <xf numFmtId="164" fontId="11" fillId="0" borderId="0" xfId="0" applyNumberFormat="1" applyFont="1" applyFill="1" applyBorder="1" applyAlignment="1">
      <alignment vertical="center"/>
    </xf>
    <xf numFmtId="164" fontId="7" fillId="0" borderId="0" xfId="0" applyNumberFormat="1" applyFont="1" applyFill="1" applyBorder="1" applyAlignment="1">
      <alignment vertical="center"/>
    </xf>
    <xf numFmtId="168" fontId="7" fillId="0" borderId="11" xfId="0" applyNumberFormat="1" applyFont="1" applyFill="1" applyBorder="1" applyAlignment="1">
      <alignment vertical="center"/>
    </xf>
    <xf numFmtId="166" fontId="7" fillId="8" borderId="0" xfId="0" applyNumberFormat="1" applyFont="1" applyFill="1" applyBorder="1" applyAlignment="1">
      <alignment vertical="center"/>
    </xf>
    <xf numFmtId="168" fontId="5" fillId="0" borderId="0" xfId="0" applyNumberFormat="1" applyFont="1" applyFill="1" applyBorder="1" applyAlignment="1">
      <alignment vertical="center"/>
    </xf>
    <xf numFmtId="168" fontId="7" fillId="0" borderId="0" xfId="0" applyNumberFormat="1" applyFont="1" applyFill="1" applyBorder="1" applyAlignment="1">
      <alignment horizontal="right" vertical="center"/>
    </xf>
    <xf numFmtId="168" fontId="5" fillId="8" borderId="0" xfId="0" applyNumberFormat="1" applyFont="1" applyFill="1" applyBorder="1" applyAlignment="1">
      <alignment horizontal="center" vertical="center"/>
    </xf>
    <xf numFmtId="168" fontId="5" fillId="8" borderId="0" xfId="0" applyNumberFormat="1" applyFont="1" applyFill="1" applyAlignment="1">
      <alignment vertical="center"/>
    </xf>
    <xf numFmtId="0" fontId="11" fillId="0" borderId="0" xfId="0" applyFont="1" applyFill="1" applyBorder="1" applyAlignment="1">
      <alignment vertical="center"/>
    </xf>
    <xf numFmtId="168" fontId="5" fillId="0" borderId="11" xfId="0" applyNumberFormat="1" applyFont="1" applyFill="1" applyBorder="1" applyAlignment="1">
      <alignment vertical="center"/>
    </xf>
    <xf numFmtId="170" fontId="5" fillId="0" borderId="0" xfId="0" applyNumberFormat="1" applyFont="1" applyFill="1" applyBorder="1" applyAlignment="1">
      <alignment vertical="center"/>
    </xf>
    <xf numFmtId="168" fontId="5" fillId="0" borderId="31" xfId="0" applyNumberFormat="1" applyFont="1" applyBorder="1" applyAlignment="1">
      <alignment vertical="center"/>
    </xf>
    <xf numFmtId="168" fontId="11" fillId="0" borderId="0" xfId="0" applyNumberFormat="1" applyFont="1" applyAlignment="1">
      <alignment vertical="center"/>
    </xf>
    <xf numFmtId="164" fontId="7" fillId="0" borderId="0" xfId="0" applyNumberFormat="1" applyFont="1" applyAlignment="1">
      <alignment vertical="center"/>
    </xf>
    <xf numFmtId="170" fontId="5" fillId="0" borderId="0" xfId="0" applyNumberFormat="1" applyFont="1" applyAlignment="1">
      <alignment vertical="center"/>
    </xf>
    <xf numFmtId="170" fontId="5" fillId="0" borderId="0" xfId="0" applyNumberFormat="1" applyFont="1" applyBorder="1" applyAlignment="1">
      <alignment vertical="center"/>
    </xf>
    <xf numFmtId="170" fontId="7" fillId="0" borderId="0" xfId="0" applyNumberFormat="1" applyFont="1" applyBorder="1" applyAlignment="1" applyProtection="1">
      <alignment vertical="center"/>
      <protection locked="0"/>
    </xf>
    <xf numFmtId="170" fontId="9" fillId="0" borderId="0" xfId="0" applyNumberFormat="1" applyFont="1" applyFill="1" applyBorder="1" applyAlignment="1">
      <alignment vertical="center"/>
    </xf>
    <xf numFmtId="170" fontId="10" fillId="0" borderId="0" xfId="0" applyNumberFormat="1" applyFont="1" applyBorder="1" applyAlignment="1">
      <alignment vertical="center"/>
    </xf>
    <xf numFmtId="170" fontId="13" fillId="0" borderId="0" xfId="0" applyNumberFormat="1" applyFont="1" applyBorder="1" applyAlignment="1">
      <alignment vertical="center"/>
    </xf>
    <xf numFmtId="170" fontId="0" fillId="0" borderId="0" xfId="0" applyNumberFormat="1" applyAlignment="1">
      <alignment vertical="center"/>
    </xf>
    <xf numFmtId="168" fontId="10" fillId="0" borderId="0" xfId="0" applyNumberFormat="1" applyFont="1" applyAlignment="1">
      <alignment vertical="center"/>
    </xf>
    <xf numFmtId="168" fontId="10" fillId="0" borderId="0" xfId="0" applyNumberFormat="1" applyFont="1" applyAlignment="1">
      <alignment horizontal="right" vertical="center"/>
    </xf>
    <xf numFmtId="0" fontId="21" fillId="8" borderId="0" xfId="0" applyFont="1" applyFill="1" applyBorder="1" applyAlignment="1">
      <alignment horizontal="left" vertical="center"/>
    </xf>
    <xf numFmtId="0" fontId="5" fillId="8" borderId="0" xfId="0" applyFont="1" applyFill="1" applyBorder="1" applyAlignment="1">
      <alignment horizontal="left" vertical="center"/>
    </xf>
    <xf numFmtId="0" fontId="5" fillId="8" borderId="0" xfId="0" applyFont="1" applyFill="1" applyBorder="1" applyAlignment="1">
      <alignment vertical="center"/>
    </xf>
    <xf numFmtId="0" fontId="6" fillId="8" borderId="0" xfId="0" applyFont="1" applyFill="1" applyBorder="1" applyAlignment="1">
      <alignment horizontal="left" vertical="center"/>
    </xf>
    <xf numFmtId="0" fontId="20" fillId="8" borderId="0" xfId="0" applyFont="1" applyFill="1" applyBorder="1" applyAlignment="1">
      <alignment horizontal="left" vertical="center"/>
    </xf>
    <xf numFmtId="0" fontId="20" fillId="8" borderId="0" xfId="0" applyFont="1" applyFill="1" applyBorder="1" applyAlignment="1">
      <alignment vertical="center"/>
    </xf>
    <xf numFmtId="0" fontId="5" fillId="0" borderId="0" xfId="0" applyFont="1" applyAlignment="1">
      <alignment vertical="center"/>
    </xf>
    <xf numFmtId="0" fontId="5" fillId="0" borderId="0" xfId="0" applyFont="1" applyFill="1" applyAlignment="1">
      <alignment vertical="center"/>
    </xf>
    <xf numFmtId="0" fontId="7" fillId="0" borderId="0" xfId="0" applyFont="1" applyFill="1" applyAlignment="1">
      <alignment vertical="center"/>
    </xf>
    <xf numFmtId="166" fontId="5" fillId="0" borderId="0" xfId="0" applyNumberFormat="1" applyFont="1" applyAlignment="1">
      <alignment vertical="center"/>
    </xf>
    <xf numFmtId="164" fontId="7" fillId="5" borderId="0" xfId="0" applyNumberFormat="1" applyFont="1" applyFill="1" applyBorder="1" applyAlignment="1">
      <alignment vertical="center"/>
    </xf>
    <xf numFmtId="166" fontId="17" fillId="0" borderId="0" xfId="0" applyNumberFormat="1" applyFont="1" applyAlignment="1">
      <alignment vertical="center"/>
    </xf>
    <xf numFmtId="0" fontId="5" fillId="9" borderId="29" xfId="0" applyFont="1" applyFill="1" applyBorder="1" applyAlignment="1">
      <alignment vertical="center"/>
    </xf>
    <xf numFmtId="166" fontId="5" fillId="0" borderId="0" xfId="0" applyNumberFormat="1" applyFont="1" applyAlignment="1">
      <alignment horizontal="left" vertical="center"/>
    </xf>
    <xf numFmtId="166" fontId="17" fillId="0" borderId="0" xfId="0" applyNumberFormat="1" applyFont="1" applyAlignment="1">
      <alignment horizontal="left" vertical="center"/>
    </xf>
    <xf numFmtId="0" fontId="5" fillId="11" borderId="29" xfId="0" applyFont="1" applyFill="1" applyBorder="1" applyAlignment="1">
      <alignment vertical="center"/>
    </xf>
    <xf numFmtId="0" fontId="5" fillId="2" borderId="29" xfId="0" applyFont="1" applyFill="1" applyBorder="1" applyAlignment="1">
      <alignment vertical="center"/>
    </xf>
    <xf numFmtId="0" fontId="6" fillId="8" borderId="0" xfId="0" applyFont="1" applyFill="1" applyBorder="1" applyAlignment="1">
      <alignment vertical="center"/>
    </xf>
    <xf numFmtId="168" fontId="13" fillId="0" borderId="0" xfId="0" applyNumberFormat="1" applyFont="1" applyAlignment="1">
      <alignment vertical="center"/>
    </xf>
    <xf numFmtId="0" fontId="5" fillId="0" borderId="0" xfId="0" applyFont="1" applyBorder="1" applyAlignment="1">
      <alignment vertical="center"/>
    </xf>
    <xf numFmtId="0" fontId="22" fillId="0" borderId="0" xfId="0" applyFont="1" applyAlignment="1">
      <alignment horizontal="right" vertical="center"/>
    </xf>
    <xf numFmtId="168" fontId="19" fillId="10" borderId="0" xfId="5" applyFont="1" applyAlignment="1">
      <alignment vertical="center"/>
    </xf>
    <xf numFmtId="171" fontId="5" fillId="0" borderId="0" xfId="0" applyNumberFormat="1" applyFont="1" applyFill="1" applyBorder="1" applyAlignment="1">
      <alignment vertical="center"/>
    </xf>
    <xf numFmtId="168" fontId="15" fillId="0" borderId="0" xfId="0" applyNumberFormat="1" applyFont="1" applyAlignment="1">
      <alignment vertical="center"/>
    </xf>
    <xf numFmtId="170" fontId="5" fillId="0" borderId="0" xfId="0" applyNumberFormat="1" applyFont="1" applyAlignment="1">
      <alignment vertical="center"/>
    </xf>
    <xf numFmtId="170" fontId="7" fillId="0" borderId="0" xfId="0" applyNumberFormat="1" applyFont="1" applyFill="1" applyBorder="1" applyAlignment="1">
      <alignment horizontal="center" vertical="center"/>
    </xf>
    <xf numFmtId="170" fontId="7" fillId="0" borderId="0" xfId="0" quotePrefix="1" applyNumberFormat="1" applyFont="1" applyFill="1" applyBorder="1" applyAlignment="1">
      <alignment vertical="center"/>
    </xf>
    <xf numFmtId="170" fontId="11" fillId="0" borderId="0" xfId="0" applyNumberFormat="1" applyFont="1" applyFill="1" applyBorder="1" applyAlignment="1">
      <alignment vertical="center"/>
    </xf>
    <xf numFmtId="168" fontId="7" fillId="0" borderId="0" xfId="0" applyNumberFormat="1" applyFont="1" applyFill="1" applyBorder="1" applyAlignment="1">
      <alignment vertical="center"/>
    </xf>
    <xf numFmtId="168" fontId="5" fillId="0" borderId="0" xfId="0" applyNumberFormat="1" applyFont="1" applyFill="1" applyBorder="1" applyAlignment="1">
      <alignment horizontal="center" vertical="center"/>
    </xf>
    <xf numFmtId="168" fontId="7" fillId="0" borderId="0" xfId="0" applyNumberFormat="1" applyFont="1" applyFill="1" applyBorder="1" applyAlignment="1" applyProtection="1">
      <alignment vertical="center"/>
      <protection locked="0"/>
    </xf>
    <xf numFmtId="164" fontId="13" fillId="0" borderId="0" xfId="0" applyNumberFormat="1" applyFont="1" applyFill="1" applyBorder="1" applyAlignment="1">
      <alignment vertical="center"/>
    </xf>
    <xf numFmtId="168" fontId="5" fillId="0" borderId="0" xfId="0" applyNumberFormat="1" applyFont="1" applyFill="1" applyBorder="1" applyAlignment="1">
      <alignment vertical="center"/>
    </xf>
    <xf numFmtId="168" fontId="11" fillId="0" borderId="0" xfId="0" applyNumberFormat="1" applyFont="1" applyAlignment="1">
      <alignment vertical="center"/>
    </xf>
    <xf numFmtId="164" fontId="5" fillId="0" borderId="0" xfId="0" applyNumberFormat="1" applyFont="1" applyFill="1" applyBorder="1" applyAlignment="1">
      <alignment vertical="center"/>
    </xf>
    <xf numFmtId="170" fontId="5" fillId="0" borderId="0" xfId="0" applyNumberFormat="1" applyFont="1" applyBorder="1" applyAlignment="1">
      <alignment vertical="center"/>
    </xf>
    <xf numFmtId="164" fontId="5" fillId="0" borderId="0" xfId="0" applyNumberFormat="1" applyFont="1" applyAlignment="1">
      <alignment vertical="center"/>
    </xf>
    <xf numFmtId="168" fontId="5" fillId="7" borderId="0" xfId="6" applyAlignment="1">
      <alignment horizontal="center" vertical="center"/>
    </xf>
    <xf numFmtId="168" fontId="7" fillId="0" borderId="0" xfId="0" applyNumberFormat="1" applyFont="1" applyFill="1" applyBorder="1" applyAlignment="1">
      <alignment vertical="center"/>
    </xf>
    <xf numFmtId="171" fontId="7" fillId="0" borderId="0" xfId="0" applyNumberFormat="1" applyFont="1" applyFill="1" applyBorder="1" applyAlignment="1">
      <alignment vertical="center"/>
    </xf>
    <xf numFmtId="171" fontId="7" fillId="0" borderId="0" xfId="0" applyNumberFormat="1" applyFont="1" applyFill="1" applyBorder="1" applyAlignment="1">
      <alignment vertical="center"/>
    </xf>
    <xf numFmtId="168" fontId="5" fillId="0" borderId="0" xfId="0" applyNumberFormat="1" applyFont="1" applyFill="1" applyBorder="1" applyAlignment="1">
      <alignment horizontal="center" vertical="center"/>
    </xf>
    <xf numFmtId="168" fontId="7" fillId="0" borderId="32" xfId="0" applyNumberFormat="1" applyFont="1" applyFill="1" applyBorder="1" applyAlignment="1">
      <alignment vertical="center"/>
    </xf>
    <xf numFmtId="168" fontId="14" fillId="0" borderId="0" xfId="0" applyNumberFormat="1" applyFont="1" applyBorder="1" applyAlignment="1">
      <alignment vertical="center"/>
    </xf>
    <xf numFmtId="168" fontId="7" fillId="0" borderId="11" xfId="0" applyNumberFormat="1" applyFont="1" applyBorder="1" applyAlignment="1">
      <alignment vertical="center"/>
    </xf>
    <xf numFmtId="168" fontId="7" fillId="0" borderId="33" xfId="0" applyNumberFormat="1" applyFont="1" applyBorder="1" applyAlignment="1">
      <alignment vertical="center"/>
    </xf>
    <xf numFmtId="168" fontId="13" fillId="0" borderId="0" xfId="0" applyNumberFormat="1" applyFont="1" applyFill="1" applyAlignment="1">
      <alignment vertical="center"/>
    </xf>
    <xf numFmtId="168" fontId="7" fillId="0" borderId="28" xfId="0" applyNumberFormat="1" applyFont="1" applyFill="1" applyBorder="1" applyAlignment="1">
      <alignment vertical="center"/>
    </xf>
    <xf numFmtId="168" fontId="7" fillId="0" borderId="0" xfId="0" applyNumberFormat="1" applyFont="1" applyBorder="1" applyAlignment="1" applyProtection="1">
      <alignment vertical="center"/>
      <protection locked="0"/>
    </xf>
    <xf numFmtId="169" fontId="7" fillId="0" borderId="0" xfId="0" applyNumberFormat="1" applyFont="1" applyFill="1" applyBorder="1" applyAlignment="1">
      <alignment vertical="center"/>
    </xf>
    <xf numFmtId="165" fontId="7" fillId="0" borderId="0" xfId="0" applyNumberFormat="1" applyFont="1" applyFill="1" applyBorder="1" applyAlignment="1">
      <alignment vertical="center"/>
    </xf>
    <xf numFmtId="167" fontId="7" fillId="0" borderId="0" xfId="0" applyNumberFormat="1" applyFont="1" applyFill="1" applyBorder="1" applyAlignment="1">
      <alignment vertical="center"/>
    </xf>
    <xf numFmtId="9" fontId="7" fillId="0" borderId="0" xfId="0" applyNumberFormat="1" applyFont="1" applyFill="1" applyBorder="1" applyAlignment="1">
      <alignment vertical="center"/>
    </xf>
    <xf numFmtId="0" fontId="7" fillId="8" borderId="0" xfId="0" applyFont="1" applyFill="1" applyAlignment="1">
      <alignment vertical="center"/>
    </xf>
    <xf numFmtId="167" fontId="7" fillId="8" borderId="0" xfId="0" applyNumberFormat="1" applyFont="1" applyFill="1" applyAlignment="1">
      <alignment vertical="center"/>
    </xf>
    <xf numFmtId="0" fontId="7" fillId="8" borderId="1" xfId="0" applyFont="1" applyFill="1" applyBorder="1" applyAlignment="1">
      <alignment vertical="center"/>
    </xf>
    <xf numFmtId="167" fontId="7" fillId="8" borderId="1" xfId="0" applyNumberFormat="1" applyFont="1" applyFill="1" applyBorder="1" applyAlignment="1">
      <alignment vertical="center"/>
    </xf>
    <xf numFmtId="0" fontId="8" fillId="4" borderId="2" xfId="0" applyFont="1" applyFill="1" applyBorder="1" applyAlignment="1">
      <alignment horizontal="center" vertical="center" wrapText="1"/>
    </xf>
    <xf numFmtId="0" fontId="8" fillId="4" borderId="20" xfId="0" applyFont="1" applyFill="1" applyBorder="1" applyAlignment="1">
      <alignment horizontal="center" vertical="center"/>
    </xf>
    <xf numFmtId="0" fontId="7" fillId="4" borderId="5" xfId="0" applyFont="1" applyFill="1" applyBorder="1" applyAlignment="1">
      <alignment vertical="center"/>
    </xf>
    <xf numFmtId="0" fontId="7" fillId="3" borderId="20" xfId="0" applyFont="1" applyFill="1" applyBorder="1" applyAlignment="1">
      <alignment horizontal="center" vertical="center"/>
    </xf>
    <xf numFmtId="0" fontId="7" fillId="3" borderId="5" xfId="0" applyFont="1" applyFill="1" applyBorder="1" applyAlignment="1">
      <alignment vertical="center"/>
    </xf>
    <xf numFmtId="0" fontId="7" fillId="3" borderId="22" xfId="0" applyFont="1" applyFill="1" applyBorder="1" applyAlignment="1">
      <alignment vertical="center"/>
    </xf>
    <xf numFmtId="0" fontId="7" fillId="3" borderId="18" xfId="0" applyFont="1" applyFill="1" applyBorder="1" applyAlignment="1">
      <alignment vertical="center"/>
    </xf>
    <xf numFmtId="0" fontId="7" fillId="3" borderId="21" xfId="0" applyFont="1" applyFill="1" applyBorder="1" applyAlignment="1">
      <alignment vertical="center"/>
    </xf>
    <xf numFmtId="0" fontId="7" fillId="3" borderId="25" xfId="0" applyFont="1" applyFill="1" applyBorder="1" applyAlignment="1">
      <alignment vertical="center"/>
    </xf>
    <xf numFmtId="0" fontId="7" fillId="4" borderId="20" xfId="0" applyFont="1" applyFill="1" applyBorder="1" applyAlignment="1">
      <alignment horizontal="center" vertical="center"/>
    </xf>
    <xf numFmtId="168" fontId="7" fillId="4" borderId="25" xfId="0" applyNumberFormat="1" applyFont="1" applyFill="1" applyBorder="1" applyAlignment="1">
      <alignment vertical="center"/>
    </xf>
    <xf numFmtId="168" fontId="7" fillId="3" borderId="22" xfId="0" applyNumberFormat="1" applyFont="1" applyFill="1" applyBorder="1" applyAlignment="1">
      <alignment vertical="center"/>
    </xf>
    <xf numFmtId="168" fontId="7" fillId="3" borderId="18" xfId="0" applyNumberFormat="1" applyFont="1" applyFill="1" applyBorder="1" applyAlignment="1">
      <alignment vertical="center"/>
    </xf>
    <xf numFmtId="168" fontId="7" fillId="3" borderId="21" xfId="0" applyNumberFormat="1" applyFont="1" applyFill="1" applyBorder="1" applyAlignment="1">
      <alignment vertical="center"/>
    </xf>
    <xf numFmtId="168" fontId="7" fillId="3" borderId="25" xfId="0" applyNumberFormat="1" applyFont="1" applyFill="1" applyBorder="1" applyAlignment="1">
      <alignment vertical="center"/>
    </xf>
    <xf numFmtId="168" fontId="7" fillId="4" borderId="22" xfId="0" applyNumberFormat="1" applyFont="1" applyFill="1" applyBorder="1" applyAlignment="1">
      <alignment vertical="center"/>
    </xf>
    <xf numFmtId="168" fontId="7" fillId="4" borderId="18" xfId="0" applyNumberFormat="1" applyFont="1" applyFill="1" applyBorder="1" applyAlignment="1">
      <alignment vertical="center"/>
    </xf>
    <xf numFmtId="168" fontId="7" fillId="4" borderId="21" xfId="0" applyNumberFormat="1" applyFont="1" applyFill="1" applyBorder="1" applyAlignment="1">
      <alignment vertical="center"/>
    </xf>
    <xf numFmtId="168" fontId="7" fillId="3" borderId="19" xfId="0" applyNumberFormat="1" applyFont="1" applyFill="1" applyBorder="1" applyAlignment="1">
      <alignment vertical="center"/>
    </xf>
    <xf numFmtId="168" fontId="7" fillId="4" borderId="20" xfId="0" applyNumberFormat="1" applyFont="1" applyFill="1" applyBorder="1" applyAlignment="1">
      <alignment vertical="center"/>
    </xf>
    <xf numFmtId="0" fontId="7" fillId="4" borderId="6" xfId="0" applyFont="1" applyFill="1" applyBorder="1" applyAlignment="1">
      <alignment horizontal="center" vertical="center"/>
    </xf>
    <xf numFmtId="168" fontId="7" fillId="4" borderId="7" xfId="0" applyNumberFormat="1" applyFont="1" applyFill="1" applyBorder="1" applyAlignment="1">
      <alignment vertical="center"/>
    </xf>
    <xf numFmtId="168" fontId="5" fillId="8" borderId="0" xfId="0" applyNumberFormat="1" applyFont="1" applyFill="1" applyAlignment="1">
      <alignment vertical="center"/>
    </xf>
    <xf numFmtId="168" fontId="9" fillId="0" borderId="0" xfId="0" applyNumberFormat="1" applyFont="1" applyAlignment="1">
      <alignment vertical="center"/>
    </xf>
    <xf numFmtId="168" fontId="7" fillId="0" borderId="8" xfId="0" applyNumberFormat="1" applyFont="1" applyBorder="1" applyAlignment="1">
      <alignment vertical="center"/>
    </xf>
    <xf numFmtId="168" fontId="7" fillId="0" borderId="0" xfId="0" quotePrefix="1" applyNumberFormat="1" applyFont="1" applyFill="1" applyBorder="1" applyAlignment="1">
      <alignment vertical="center"/>
    </xf>
    <xf numFmtId="168" fontId="5" fillId="0" borderId="16" xfId="0" applyNumberFormat="1" applyFont="1" applyBorder="1" applyAlignment="1">
      <alignment vertical="center"/>
    </xf>
    <xf numFmtId="168" fontId="7" fillId="0" borderId="0" xfId="0" applyNumberFormat="1" applyFont="1" applyBorder="1" applyAlignment="1">
      <alignment vertical="center"/>
    </xf>
    <xf numFmtId="168" fontId="5" fillId="0" borderId="0" xfId="0" applyNumberFormat="1" applyFont="1" applyBorder="1" applyAlignment="1">
      <alignment vertical="center"/>
    </xf>
    <xf numFmtId="168" fontId="7" fillId="0" borderId="0" xfId="0" applyNumberFormat="1" applyFont="1" applyAlignment="1">
      <alignment vertical="center"/>
    </xf>
    <xf numFmtId="168" fontId="9" fillId="0" borderId="0" xfId="0" applyNumberFormat="1" applyFont="1" applyFill="1" applyBorder="1" applyAlignment="1">
      <alignment vertical="center"/>
    </xf>
    <xf numFmtId="168" fontId="5" fillId="0" borderId="0" xfId="0" applyNumberFormat="1" applyFont="1" applyBorder="1" applyAlignment="1">
      <alignment vertical="center"/>
    </xf>
    <xf numFmtId="168" fontId="7" fillId="0" borderId="0" xfId="0" applyNumberFormat="1" applyFont="1" applyFill="1" applyAlignment="1">
      <alignment vertical="center"/>
    </xf>
    <xf numFmtId="168" fontId="7" fillId="0" borderId="0" xfId="0" applyNumberFormat="1" applyFont="1" applyAlignment="1">
      <alignment horizontal="center" vertical="center"/>
    </xf>
    <xf numFmtId="168" fontId="5" fillId="0" borderId="0" xfId="0" applyNumberFormat="1" applyFont="1" applyFill="1" applyAlignment="1">
      <alignment vertical="center"/>
    </xf>
    <xf numFmtId="168" fontId="5" fillId="0" borderId="0" xfId="0" applyNumberFormat="1" applyFont="1" applyFill="1" applyBorder="1" applyAlignment="1">
      <alignment vertical="center"/>
    </xf>
    <xf numFmtId="168" fontId="5" fillId="0" borderId="0" xfId="0" applyNumberFormat="1" applyFont="1" applyFill="1" applyBorder="1" applyAlignment="1">
      <alignment vertical="center"/>
    </xf>
    <xf numFmtId="168" fontId="7" fillId="0" borderId="0" xfId="0" applyNumberFormat="1" applyFont="1" applyFill="1" applyBorder="1" applyAlignment="1">
      <alignment vertical="center"/>
    </xf>
    <xf numFmtId="168" fontId="5" fillId="0" borderId="0" xfId="0" applyNumberFormat="1" applyFont="1" applyAlignment="1">
      <alignment vertical="center"/>
    </xf>
    <xf numFmtId="168" fontId="7" fillId="0" borderId="9" xfId="0" applyNumberFormat="1" applyFont="1" applyFill="1" applyBorder="1" applyAlignment="1">
      <alignment vertical="center"/>
    </xf>
    <xf numFmtId="168" fontId="5" fillId="7" borderId="0" xfId="6"/>
    <xf numFmtId="168" fontId="19" fillId="10" borderId="0" xfId="5"/>
    <xf numFmtId="168" fontId="7" fillId="6" borderId="0" xfId="7"/>
    <xf numFmtId="170" fontId="7" fillId="0" borderId="0" xfId="0" applyNumberFormat="1" applyFont="1" applyAlignment="1">
      <alignment vertical="center"/>
    </xf>
    <xf numFmtId="164" fontId="7" fillId="12" borderId="0" xfId="0" applyNumberFormat="1" applyFont="1" applyFill="1" applyBorder="1" applyAlignment="1">
      <alignment vertical="center"/>
    </xf>
    <xf numFmtId="10" fontId="7" fillId="0" borderId="0" xfId="0" applyNumberFormat="1" applyFont="1" applyFill="1" applyBorder="1" applyAlignment="1">
      <alignment vertical="center"/>
    </xf>
    <xf numFmtId="168" fontId="7" fillId="13" borderId="0" xfId="8">
      <alignment vertical="center"/>
    </xf>
    <xf numFmtId="168" fontId="7" fillId="0" borderId="30" xfId="0" applyNumberFormat="1" applyFont="1" applyFill="1" applyBorder="1" applyAlignment="1">
      <alignment vertical="center"/>
    </xf>
    <xf numFmtId="168" fontId="7" fillId="0" borderId="30" xfId="0" applyNumberFormat="1" applyFont="1" applyBorder="1" applyAlignment="1">
      <alignment vertical="center"/>
    </xf>
    <xf numFmtId="168" fontId="5" fillId="7" borderId="0" xfId="6" quotePrefix="1" applyAlignment="1">
      <alignment vertical="center"/>
    </xf>
    <xf numFmtId="0" fontId="5" fillId="5" borderId="34" xfId="0" applyFont="1" applyFill="1" applyBorder="1" applyAlignment="1">
      <alignment vertical="center"/>
    </xf>
    <xf numFmtId="168" fontId="7" fillId="13" borderId="0" xfId="8" applyBorder="1">
      <alignment vertical="center"/>
    </xf>
    <xf numFmtId="164" fontId="7" fillId="14" borderId="0" xfId="0" applyNumberFormat="1" applyFont="1" applyFill="1" applyBorder="1" applyAlignment="1">
      <alignment vertical="center"/>
    </xf>
    <xf numFmtId="0" fontId="5" fillId="14" borderId="29" xfId="0" applyFont="1" applyFill="1" applyBorder="1" applyAlignment="1">
      <alignment vertical="center"/>
    </xf>
    <xf numFmtId="168" fontId="7" fillId="13" borderId="0" xfId="8" quotePrefix="1" applyBorder="1" applyAlignment="1">
      <alignment horizontal="left" vertical="center" indent="1"/>
    </xf>
    <xf numFmtId="168" fontId="7" fillId="13" borderId="0" xfId="8" applyBorder="1" applyAlignment="1">
      <alignment vertical="center"/>
    </xf>
    <xf numFmtId="0" fontId="7" fillId="0" borderId="0" xfId="0" applyFont="1" applyFill="1" applyAlignment="1">
      <alignment horizontal="right" vertical="center"/>
    </xf>
    <xf numFmtId="0" fontId="14" fillId="0" borderId="0" xfId="0" applyFont="1" applyBorder="1" applyAlignment="1">
      <alignment vertical="center"/>
    </xf>
    <xf numFmtId="171" fontId="11" fillId="0" borderId="0" xfId="0" applyNumberFormat="1" applyFont="1" applyAlignment="1">
      <alignment vertical="center"/>
    </xf>
    <xf numFmtId="168" fontId="5" fillId="0" borderId="0" xfId="0" applyNumberFormat="1" applyFont="1" applyFill="1" applyBorder="1" applyAlignment="1">
      <alignment horizontal="center" vertical="center"/>
    </xf>
    <xf numFmtId="171" fontId="7" fillId="0" borderId="0" xfId="0" applyNumberFormat="1" applyFont="1" applyBorder="1" applyAlignment="1">
      <alignment vertical="center"/>
    </xf>
    <xf numFmtId="174" fontId="5" fillId="8" borderId="0" xfId="0" applyNumberFormat="1" applyFont="1" applyFill="1" applyBorder="1" applyAlignment="1">
      <alignment vertical="center"/>
    </xf>
    <xf numFmtId="0" fontId="5" fillId="8" borderId="0" xfId="0" applyFont="1" applyFill="1" applyBorder="1" applyAlignment="1">
      <alignment vertical="center"/>
    </xf>
    <xf numFmtId="174" fontId="11" fillId="8" borderId="0" xfId="0" applyNumberFormat="1" applyFont="1" applyFill="1" applyBorder="1" applyAlignment="1">
      <alignment vertical="center"/>
    </xf>
    <xf numFmtId="174" fontId="7" fillId="0" borderId="0" xfId="0" applyNumberFormat="1" applyFont="1" applyAlignment="1">
      <alignment vertical="center"/>
    </xf>
    <xf numFmtId="174" fontId="7" fillId="4" borderId="15" xfId="0" applyNumberFormat="1" applyFont="1" applyFill="1" applyBorder="1" applyAlignment="1">
      <alignment horizontal="center" vertical="center"/>
    </xf>
    <xf numFmtId="174" fontId="7" fillId="4" borderId="3" xfId="0" applyNumberFormat="1" applyFont="1" applyFill="1" applyBorder="1" applyAlignment="1">
      <alignment horizontal="center" vertical="center"/>
    </xf>
    <xf numFmtId="174" fontId="7" fillId="4" borderId="4" xfId="0" applyNumberFormat="1" applyFont="1" applyFill="1" applyBorder="1" applyAlignment="1">
      <alignment horizontal="center" vertical="center"/>
    </xf>
    <xf numFmtId="0" fontId="7" fillId="4" borderId="13"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21" xfId="0" applyFont="1" applyFill="1" applyBorder="1" applyAlignment="1">
      <alignment horizontal="center" vertical="center"/>
    </xf>
    <xf numFmtId="0" fontId="7" fillId="4" borderId="25" xfId="0" applyFont="1" applyFill="1" applyBorder="1" applyAlignment="1">
      <alignment horizontal="center" vertical="center"/>
    </xf>
    <xf numFmtId="0" fontId="7" fillId="5" borderId="12" xfId="0" applyFont="1" applyFill="1" applyBorder="1" applyAlignment="1">
      <alignment vertical="center"/>
    </xf>
    <xf numFmtId="174" fontId="13" fillId="0" borderId="0" xfId="0" applyNumberFormat="1" applyFont="1" applyBorder="1" applyAlignment="1">
      <alignment horizontal="left" vertical="center"/>
    </xf>
    <xf numFmtId="0" fontId="7" fillId="0" borderId="0" xfId="0" applyFont="1" applyFill="1" applyBorder="1" applyAlignment="1">
      <alignment vertical="center"/>
    </xf>
    <xf numFmtId="168" fontId="12" fillId="13" borderId="0" xfId="8" applyFont="1">
      <alignment vertical="center"/>
    </xf>
    <xf numFmtId="168" fontId="7" fillId="13" borderId="0" xfId="8" applyFont="1">
      <alignment vertical="center"/>
    </xf>
    <xf numFmtId="168" fontId="7" fillId="6" borderId="0" xfId="7" applyFont="1"/>
    <xf numFmtId="168" fontId="7" fillId="13" borderId="0" xfId="8" applyFont="1" applyBorder="1">
      <alignment vertical="center"/>
    </xf>
    <xf numFmtId="168" fontId="5" fillId="7" borderId="0" xfId="6" applyFont="1"/>
    <xf numFmtId="168" fontId="7" fillId="6" borderId="0" xfId="7" applyFont="1" applyAlignment="1">
      <alignment vertical="center"/>
    </xf>
    <xf numFmtId="168" fontId="7" fillId="6" borderId="0" xfId="7" applyFont="1" applyBorder="1" applyAlignment="1">
      <alignment vertical="center"/>
    </xf>
    <xf numFmtId="168" fontId="7" fillId="3" borderId="18" xfId="0" applyNumberFormat="1" applyFont="1" applyFill="1" applyBorder="1" applyAlignment="1">
      <alignment horizontal="left" vertical="center"/>
    </xf>
    <xf numFmtId="168" fontId="5" fillId="0" borderId="26" xfId="0" applyNumberFormat="1" applyFont="1" applyBorder="1" applyAlignment="1">
      <alignment vertical="center"/>
    </xf>
    <xf numFmtId="168" fontId="12" fillId="0" borderId="0" xfId="0" applyNumberFormat="1" applyFont="1" applyAlignment="1">
      <alignment vertical="center"/>
    </xf>
    <xf numFmtId="174" fontId="7" fillId="4" borderId="5" xfId="0" applyNumberFormat="1" applyFont="1" applyFill="1" applyBorder="1" applyAlignment="1">
      <alignment horizontal="left" vertical="center" indent="1"/>
    </xf>
    <xf numFmtId="168" fontId="19" fillId="10" borderId="0" xfId="5" applyFont="1"/>
    <xf numFmtId="168" fontId="7" fillId="6" borderId="0" xfId="7" applyNumberFormat="1" applyFont="1"/>
    <xf numFmtId="168" fontId="7" fillId="13" borderId="0" xfId="8" applyNumberFormat="1" applyFont="1" applyBorder="1">
      <alignment vertical="center"/>
    </xf>
    <xf numFmtId="0" fontId="7" fillId="0" borderId="0" xfId="0" applyFont="1" applyAlignment="1">
      <alignment vertical="center"/>
    </xf>
    <xf numFmtId="0" fontId="5" fillId="5" borderId="26" xfId="0" applyFont="1" applyFill="1" applyBorder="1" applyAlignment="1">
      <alignment vertical="center"/>
    </xf>
    <xf numFmtId="0" fontId="5" fillId="5" borderId="17" xfId="0" applyFont="1" applyFill="1" applyBorder="1" applyAlignment="1">
      <alignment vertical="center"/>
    </xf>
    <xf numFmtId="174" fontId="5" fillId="5" borderId="26" xfId="0" applyNumberFormat="1" applyFont="1" applyFill="1" applyBorder="1" applyAlignment="1">
      <alignment vertical="center"/>
    </xf>
    <xf numFmtId="174" fontId="5" fillId="5" borderId="16" xfId="0" applyNumberFormat="1" applyFont="1" applyFill="1" applyBorder="1" applyAlignment="1">
      <alignment vertical="center"/>
    </xf>
    <xf numFmtId="174" fontId="5" fillId="5" borderId="17" xfId="0" applyNumberFormat="1" applyFont="1" applyFill="1" applyBorder="1" applyAlignment="1">
      <alignment vertical="center"/>
    </xf>
    <xf numFmtId="10" fontId="5" fillId="0" borderId="0" xfId="43" applyFont="1" applyFill="1" applyBorder="1" applyAlignment="1">
      <alignment vertical="center"/>
    </xf>
    <xf numFmtId="10" fontId="7" fillId="0" borderId="0" xfId="43" applyFont="1" applyFill="1" applyBorder="1" applyAlignment="1">
      <alignment vertical="center"/>
    </xf>
    <xf numFmtId="172" fontId="7" fillId="0" borderId="0" xfId="0" applyNumberFormat="1" applyFont="1" applyFill="1" applyBorder="1" applyAlignment="1">
      <alignment vertical="center"/>
    </xf>
    <xf numFmtId="168" fontId="5" fillId="0" borderId="0" xfId="0" quotePrefix="1" applyNumberFormat="1" applyFont="1" applyAlignment="1">
      <alignment vertical="center" wrapText="1"/>
    </xf>
    <xf numFmtId="168" fontId="7" fillId="13" borderId="0" xfId="8" applyAlignment="1">
      <alignment horizontal="left" vertical="center" indent="1"/>
    </xf>
    <xf numFmtId="168" fontId="7" fillId="12" borderId="0" xfId="0" applyNumberFormat="1" applyFont="1" applyFill="1" applyBorder="1" applyAlignment="1">
      <alignment vertical="center"/>
    </xf>
    <xf numFmtId="10" fontId="5" fillId="0" borderId="0" xfId="43" applyFont="1" applyBorder="1" applyAlignment="1">
      <alignment vertical="center"/>
    </xf>
    <xf numFmtId="168" fontId="9" fillId="0" borderId="0" xfId="0" applyNumberFormat="1" applyFont="1" applyAlignment="1">
      <alignment horizontal="right" vertical="center"/>
    </xf>
    <xf numFmtId="168" fontId="7" fillId="45" borderId="0" xfId="0" applyNumberFormat="1" applyFont="1" applyFill="1" applyBorder="1" applyAlignment="1" applyProtection="1">
      <alignment vertical="center"/>
      <protection locked="0"/>
    </xf>
    <xf numFmtId="164" fontId="7" fillId="45" borderId="0" xfId="0" applyNumberFormat="1" applyFont="1" applyFill="1" applyBorder="1" applyAlignment="1">
      <alignment vertical="center"/>
    </xf>
    <xf numFmtId="175" fontId="5" fillId="0" borderId="0" xfId="0" applyNumberFormat="1" applyFont="1" applyAlignment="1">
      <alignment vertical="center"/>
    </xf>
    <xf numFmtId="168" fontId="7" fillId="5" borderId="0" xfId="0" applyNumberFormat="1" applyFont="1" applyFill="1" applyAlignment="1">
      <alignment vertical="center"/>
    </xf>
    <xf numFmtId="168" fontId="7" fillId="0" borderId="10" xfId="0" applyNumberFormat="1" applyFont="1" applyFill="1" applyBorder="1" applyAlignment="1">
      <alignment vertical="center"/>
    </xf>
    <xf numFmtId="174" fontId="7" fillId="0" borderId="0" xfId="0" applyNumberFormat="1" applyFont="1" applyFill="1" applyBorder="1" applyAlignment="1">
      <alignment vertical="center"/>
    </xf>
    <xf numFmtId="10" fontId="7" fillId="45" borderId="0" xfId="0" applyNumberFormat="1" applyFont="1" applyFill="1" applyBorder="1" applyAlignment="1" applyProtection="1">
      <alignment vertical="center"/>
      <protection locked="0"/>
    </xf>
    <xf numFmtId="10" fontId="7" fillId="4" borderId="22" xfId="43" applyFont="1" applyFill="1" applyBorder="1" applyAlignment="1">
      <alignment vertical="center"/>
    </xf>
    <xf numFmtId="10" fontId="7" fillId="4" borderId="18" xfId="43" applyFont="1" applyFill="1" applyBorder="1" applyAlignment="1">
      <alignment vertical="center"/>
    </xf>
    <xf numFmtId="10" fontId="7" fillId="4" borderId="21" xfId="43" applyFont="1" applyFill="1" applyBorder="1" applyAlignment="1">
      <alignment vertical="center"/>
    </xf>
    <xf numFmtId="10" fontId="7" fillId="4" borderId="25" xfId="43" applyFont="1" applyFill="1" applyBorder="1" applyAlignment="1">
      <alignment vertical="center"/>
    </xf>
    <xf numFmtId="168" fontId="7" fillId="4" borderId="42" xfId="0" applyNumberFormat="1" applyFont="1" applyFill="1" applyBorder="1" applyAlignment="1">
      <alignment vertical="center"/>
    </xf>
    <xf numFmtId="168" fontId="7" fillId="5" borderId="0" xfId="0" applyNumberFormat="1" applyFont="1" applyFill="1" applyBorder="1" applyAlignment="1">
      <alignment vertical="center"/>
    </xf>
    <xf numFmtId="168" fontId="7" fillId="9" borderId="0" xfId="0" applyNumberFormat="1" applyFont="1" applyFill="1" applyAlignment="1">
      <alignment vertical="center"/>
    </xf>
    <xf numFmtId="176" fontId="7" fillId="5" borderId="0" xfId="0" applyNumberFormat="1" applyFont="1" applyFill="1" applyBorder="1" applyAlignment="1">
      <alignment vertical="center"/>
    </xf>
    <xf numFmtId="176" fontId="7" fillId="0" borderId="0" xfId="0" applyNumberFormat="1" applyFont="1" applyFill="1" applyBorder="1" applyAlignment="1">
      <alignment vertical="center"/>
    </xf>
    <xf numFmtId="176" fontId="5" fillId="0" borderId="0" xfId="0" applyNumberFormat="1" applyFont="1" applyAlignment="1">
      <alignment vertical="center"/>
    </xf>
    <xf numFmtId="176" fontId="7" fillId="0" borderId="0" xfId="0" applyNumberFormat="1" applyFont="1" applyFill="1" applyBorder="1" applyAlignment="1" applyProtection="1">
      <alignment horizontal="center" vertical="center" wrapText="1"/>
      <protection locked="0"/>
    </xf>
    <xf numFmtId="176" fontId="7" fillId="13" borderId="0" xfId="8" applyNumberFormat="1" applyFont="1" applyBorder="1">
      <alignment vertical="center"/>
    </xf>
    <xf numFmtId="176" fontId="7" fillId="0" borderId="0" xfId="43" applyNumberFormat="1" applyFont="1" applyFill="1" applyAlignment="1">
      <alignment vertical="center"/>
    </xf>
    <xf numFmtId="176" fontId="7" fillId="0" borderId="31" xfId="43" applyNumberFormat="1" applyFont="1" applyBorder="1" applyAlignment="1">
      <alignment vertical="center"/>
    </xf>
    <xf numFmtId="176" fontId="7" fillId="0" borderId="0" xfId="0" applyNumberFormat="1" applyFont="1" applyBorder="1" applyAlignment="1">
      <alignment vertical="center"/>
    </xf>
    <xf numFmtId="176" fontId="7" fillId="0" borderId="0" xfId="43" applyNumberFormat="1" applyFont="1" applyFill="1" applyBorder="1" applyAlignment="1">
      <alignment vertical="center"/>
    </xf>
    <xf numFmtId="176" fontId="7" fillId="0" borderId="5" xfId="0" applyNumberFormat="1" applyFont="1" applyFill="1" applyBorder="1" applyAlignment="1">
      <alignment vertical="center"/>
    </xf>
    <xf numFmtId="176" fontId="7" fillId="0" borderId="31" xfId="0" applyNumberFormat="1" applyFont="1" applyFill="1" applyBorder="1" applyAlignment="1">
      <alignment vertical="center"/>
    </xf>
    <xf numFmtId="176" fontId="7" fillId="0" borderId="0" xfId="0" applyNumberFormat="1" applyFont="1" applyFill="1" applyBorder="1" applyAlignment="1">
      <alignment horizontal="center" vertical="center"/>
    </xf>
    <xf numFmtId="176" fontId="7" fillId="0" borderId="11" xfId="0" applyNumberFormat="1" applyFont="1" applyFill="1" applyBorder="1" applyAlignment="1">
      <alignment vertical="center"/>
    </xf>
    <xf numFmtId="176" fontId="7" fillId="0" borderId="31" xfId="43" applyNumberFormat="1" applyFont="1" applyFill="1" applyBorder="1" applyAlignment="1">
      <alignment vertical="center"/>
    </xf>
    <xf numFmtId="0" fontId="7" fillId="14" borderId="0" xfId="0" applyFont="1" applyFill="1" applyBorder="1" applyAlignment="1">
      <alignment vertical="center"/>
    </xf>
    <xf numFmtId="0" fontId="7" fillId="4" borderId="13" xfId="0" applyFont="1" applyFill="1" applyBorder="1" applyAlignment="1">
      <alignment horizontal="center" vertical="center" wrapText="1"/>
    </xf>
    <xf numFmtId="168" fontId="7" fillId="3" borderId="31" xfId="0" applyNumberFormat="1" applyFont="1" applyFill="1" applyBorder="1" applyAlignment="1">
      <alignment vertical="center"/>
    </xf>
    <xf numFmtId="0" fontId="0" fillId="0" borderId="0" xfId="0" applyAlignment="1">
      <alignment horizontal="center" vertical="top"/>
    </xf>
    <xf numFmtId="0" fontId="7" fillId="0" borderId="0" xfId="0" applyFont="1" applyFill="1" applyBorder="1" applyAlignment="1">
      <alignment horizontal="center" vertical="center"/>
    </xf>
    <xf numFmtId="168" fontId="19" fillId="0" borderId="0" xfId="5" applyFill="1" applyAlignment="1">
      <alignment vertical="center"/>
    </xf>
    <xf numFmtId="3" fontId="7" fillId="0" borderId="0" xfId="0" applyNumberFormat="1" applyFont="1" applyFill="1" applyBorder="1" applyAlignment="1">
      <alignment vertical="center"/>
    </xf>
    <xf numFmtId="10" fontId="7" fillId="0" borderId="0" xfId="43" applyFont="1" applyAlignment="1">
      <alignment vertical="center"/>
    </xf>
    <xf numFmtId="10" fontId="7" fillId="0" borderId="0" xfId="43" applyFont="1" applyBorder="1" applyAlignment="1">
      <alignment vertical="center"/>
    </xf>
    <xf numFmtId="0" fontId="7" fillId="5" borderId="0" xfId="0" applyFont="1" applyFill="1" applyBorder="1" applyAlignment="1">
      <alignment horizontal="center" vertical="center"/>
    </xf>
    <xf numFmtId="10" fontId="7" fillId="45" borderId="0" xfId="43" applyFont="1" applyFill="1" applyBorder="1" applyAlignment="1" applyProtection="1">
      <alignment vertical="center"/>
      <protection locked="0"/>
    </xf>
    <xf numFmtId="0" fontId="0" fillId="0" borderId="0" xfId="0" applyAlignment="1">
      <alignment vertical="top"/>
    </xf>
    <xf numFmtId="20" fontId="0" fillId="0" borderId="0" xfId="0" applyNumberFormat="1" applyAlignment="1">
      <alignment vertical="top"/>
    </xf>
    <xf numFmtId="0" fontId="0" fillId="0" borderId="0" xfId="0" applyAlignment="1">
      <alignment vertical="top" wrapText="1"/>
    </xf>
    <xf numFmtId="0" fontId="0" fillId="0" borderId="0" xfId="0" applyBorder="1"/>
    <xf numFmtId="170" fontId="7" fillId="0" borderId="0" xfId="0" applyNumberFormat="1" applyFont="1" applyFill="1" applyAlignment="1">
      <alignment vertical="center"/>
    </xf>
    <xf numFmtId="168" fontId="5" fillId="0" borderId="0" xfId="0" applyNumberFormat="1" applyFont="1" applyAlignment="1">
      <alignment horizontal="left" vertical="center" indent="1"/>
    </xf>
    <xf numFmtId="178" fontId="7" fillId="0" borderId="0" xfId="0" applyNumberFormat="1" applyFont="1" applyFill="1" applyBorder="1" applyAlignment="1">
      <alignment vertical="center"/>
    </xf>
    <xf numFmtId="168" fontId="5" fillId="11" borderId="43" xfId="0" applyNumberFormat="1" applyFont="1" applyFill="1" applyBorder="1" applyAlignment="1">
      <alignment vertical="center"/>
    </xf>
    <xf numFmtId="168" fontId="5" fillId="11" borderId="44" xfId="0" applyNumberFormat="1" applyFont="1" applyFill="1" applyBorder="1" applyAlignment="1">
      <alignment vertical="center"/>
    </xf>
    <xf numFmtId="168" fontId="5" fillId="11" borderId="45" xfId="0" applyNumberFormat="1" applyFont="1" applyFill="1" applyBorder="1" applyAlignment="1">
      <alignment vertical="center"/>
    </xf>
    <xf numFmtId="0" fontId="34" fillId="0" borderId="0" xfId="0" applyFont="1" applyAlignment="1">
      <alignment horizontal="center" vertical="center" wrapText="1"/>
    </xf>
    <xf numFmtId="0" fontId="37" fillId="0" borderId="0" xfId="0" applyFont="1" applyAlignment="1">
      <alignment horizontal="left" vertical="center" wrapText="1"/>
    </xf>
    <xf numFmtId="14" fontId="0" fillId="0" borderId="0" xfId="0" applyNumberFormat="1" applyAlignment="1">
      <alignment vertical="top"/>
    </xf>
    <xf numFmtId="0" fontId="36" fillId="0" borderId="0" xfId="0" applyFont="1" applyAlignment="1">
      <alignment vertical="top"/>
    </xf>
    <xf numFmtId="168" fontId="7" fillId="0" borderId="46" xfId="0" applyNumberFormat="1" applyFont="1" applyBorder="1" applyAlignment="1">
      <alignment vertical="center"/>
    </xf>
    <xf numFmtId="168" fontId="7" fillId="0" borderId="46" xfId="0" applyNumberFormat="1" applyFont="1" applyFill="1" applyBorder="1" applyAlignment="1">
      <alignment vertical="center"/>
    </xf>
    <xf numFmtId="168" fontId="5" fillId="14" borderId="0" xfId="0" applyNumberFormat="1" applyFont="1" applyFill="1" applyAlignment="1">
      <alignment vertical="center"/>
    </xf>
    <xf numFmtId="180" fontId="7" fillId="0" borderId="0" xfId="0" applyNumberFormat="1" applyFont="1" applyFill="1" applyBorder="1" applyAlignment="1">
      <alignment vertical="center"/>
    </xf>
    <xf numFmtId="168" fontId="7" fillId="0" borderId="33" xfId="0" applyNumberFormat="1" applyFont="1" applyFill="1" applyBorder="1" applyAlignment="1">
      <alignment vertical="center"/>
    </xf>
    <xf numFmtId="168" fontId="7" fillId="4" borderId="47" xfId="0" applyNumberFormat="1" applyFont="1" applyFill="1" applyBorder="1" applyAlignment="1">
      <alignment vertical="center"/>
    </xf>
    <xf numFmtId="168" fontId="7" fillId="4" borderId="6" xfId="0" applyNumberFormat="1" applyFont="1" applyFill="1" applyBorder="1" applyAlignment="1">
      <alignment vertical="center"/>
    </xf>
    <xf numFmtId="166" fontId="39" fillId="0" borderId="0" xfId="55" applyNumberFormat="1" applyFont="1" applyAlignment="1" applyProtection="1">
      <alignment horizontal="left" vertical="center"/>
    </xf>
    <xf numFmtId="0" fontId="40" fillId="0" borderId="0" xfId="0" applyFont="1"/>
    <xf numFmtId="0" fontId="41" fillId="0" borderId="0" xfId="0" applyFont="1"/>
    <xf numFmtId="0" fontId="41" fillId="0" borderId="0" xfId="0" applyFont="1" applyAlignment="1">
      <alignment vertical="top"/>
    </xf>
    <xf numFmtId="0" fontId="7" fillId="5" borderId="0" xfId="0" applyFont="1" applyFill="1" applyBorder="1" applyAlignment="1">
      <alignment vertical="center"/>
    </xf>
    <xf numFmtId="10" fontId="7" fillId="0" borderId="0" xfId="43" applyNumberFormat="1" applyFont="1" applyFill="1" applyBorder="1" applyAlignment="1">
      <alignment vertical="center"/>
    </xf>
    <xf numFmtId="0" fontId="7" fillId="0" borderId="0" xfId="0" applyFont="1" applyBorder="1" applyAlignment="1">
      <alignment vertical="center"/>
    </xf>
    <xf numFmtId="190" fontId="7" fillId="0" borderId="0" xfId="0" applyNumberFormat="1" applyFont="1" applyFill="1" applyBorder="1" applyAlignment="1">
      <alignment vertical="center"/>
    </xf>
    <xf numFmtId="168" fontId="75" fillId="0" borderId="0" xfId="0" applyNumberFormat="1" applyFont="1" applyAlignment="1">
      <alignment vertical="center"/>
    </xf>
    <xf numFmtId="173" fontId="7" fillId="0" borderId="0" xfId="0" applyNumberFormat="1" applyFont="1" applyFill="1" applyBorder="1" applyAlignment="1">
      <alignment vertical="center"/>
    </xf>
    <xf numFmtId="168" fontId="7" fillId="12" borderId="0" xfId="0" applyNumberFormat="1" applyFont="1" applyFill="1" applyBorder="1" applyAlignment="1" applyProtection="1">
      <alignment vertical="center"/>
      <protection locked="0"/>
    </xf>
    <xf numFmtId="168" fontId="5" fillId="14" borderId="0" xfId="0" applyNumberFormat="1" applyFont="1" applyFill="1" applyBorder="1" applyAlignment="1">
      <alignment vertical="center"/>
    </xf>
    <xf numFmtId="168" fontId="5" fillId="0" borderId="0" xfId="0" applyNumberFormat="1" applyFont="1" applyAlignment="1">
      <alignment vertical="center" wrapText="1"/>
    </xf>
    <xf numFmtId="2" fontId="0" fillId="0" borderId="0" xfId="0" applyNumberFormat="1"/>
    <xf numFmtId="168" fontId="7" fillId="0" borderId="0" xfId="7" applyFill="1" applyAlignment="1">
      <alignment vertical="center"/>
    </xf>
    <xf numFmtId="168" fontId="79" fillId="0" borderId="0" xfId="0" applyNumberFormat="1" applyFont="1" applyAlignment="1">
      <alignment vertical="center"/>
    </xf>
    <xf numFmtId="0" fontId="0" fillId="0" borderId="0" xfId="0" applyFill="1" applyAlignment="1">
      <alignment horizontal="center" vertical="top"/>
    </xf>
    <xf numFmtId="168" fontId="5" fillId="103" borderId="0" xfId="0" applyNumberFormat="1" applyFont="1" applyFill="1" applyBorder="1" applyAlignment="1">
      <alignment vertical="center"/>
    </xf>
    <xf numFmtId="168" fontId="19" fillId="10" borderId="0" xfId="5" applyAlignment="1">
      <alignment horizontal="center" vertical="center"/>
    </xf>
    <xf numFmtId="168" fontId="7" fillId="0" borderId="10" xfId="0" applyNumberFormat="1" applyFont="1" applyBorder="1" applyAlignment="1">
      <alignment vertical="center"/>
    </xf>
    <xf numFmtId="176" fontId="7" fillId="0" borderId="11" xfId="0" applyNumberFormat="1" applyFont="1" applyBorder="1" applyAlignment="1">
      <alignment vertical="center"/>
    </xf>
    <xf numFmtId="176" fontId="7" fillId="0" borderId="0" xfId="0" applyNumberFormat="1" applyFont="1" applyBorder="1" applyAlignment="1">
      <alignment horizontal="center" vertical="center"/>
    </xf>
    <xf numFmtId="168" fontId="7" fillId="47" borderId="0" xfId="0" applyNumberFormat="1" applyFont="1" applyFill="1" applyAlignment="1">
      <alignment vertical="center"/>
    </xf>
    <xf numFmtId="174" fontId="7" fillId="0" borderId="0" xfId="0" applyNumberFormat="1" applyFont="1" applyFill="1" applyAlignment="1">
      <alignment vertical="center"/>
    </xf>
    <xf numFmtId="180" fontId="7" fillId="0" borderId="0" xfId="0" applyNumberFormat="1" applyFont="1" applyFill="1" applyBorder="1" applyAlignment="1">
      <alignment horizontal="center" vertical="center"/>
    </xf>
    <xf numFmtId="170" fontId="7" fillId="0" borderId="0" xfId="0" applyNumberFormat="1" applyFont="1" applyBorder="1" applyAlignment="1">
      <alignment vertical="center"/>
    </xf>
    <xf numFmtId="10" fontId="7" fillId="6" borderId="0" xfId="43" applyFont="1" applyFill="1" applyAlignment="1">
      <alignment vertical="center"/>
    </xf>
    <xf numFmtId="168" fontId="7" fillId="0" borderId="64" xfId="0" applyNumberFormat="1" applyFont="1" applyFill="1" applyBorder="1" applyAlignment="1">
      <alignment vertical="center"/>
    </xf>
    <xf numFmtId="174" fontId="7" fillId="0" borderId="0" xfId="0" applyNumberFormat="1" applyFont="1" applyBorder="1" applyAlignment="1">
      <alignment horizontal="left" vertical="center"/>
    </xf>
    <xf numFmtId="166" fontId="7" fillId="0" borderId="0" xfId="0" applyNumberFormat="1" applyFont="1" applyAlignment="1">
      <alignment vertical="center"/>
    </xf>
    <xf numFmtId="0" fontId="7" fillId="5" borderId="26" xfId="0" applyFont="1" applyFill="1" applyBorder="1" applyAlignment="1">
      <alignment vertical="center"/>
    </xf>
    <xf numFmtId="0" fontId="7" fillId="5" borderId="16" xfId="0" applyFont="1" applyFill="1" applyBorder="1" applyAlignment="1">
      <alignment vertical="center"/>
    </xf>
    <xf numFmtId="0" fontId="7" fillId="5" borderId="17" xfId="0" applyFont="1" applyFill="1" applyBorder="1" applyAlignment="1">
      <alignment vertical="center"/>
    </xf>
    <xf numFmtId="0" fontId="7" fillId="0" borderId="27" xfId="0" applyFont="1" applyFill="1" applyBorder="1" applyAlignment="1">
      <alignment vertical="center"/>
    </xf>
    <xf numFmtId="171" fontId="7" fillId="0" borderId="40" xfId="0" applyNumberFormat="1" applyFont="1" applyBorder="1" applyAlignment="1">
      <alignment vertical="center"/>
    </xf>
    <xf numFmtId="168" fontId="7" fillId="0" borderId="35" xfId="0" applyNumberFormat="1" applyFont="1" applyBorder="1" applyAlignment="1">
      <alignment vertical="center"/>
    </xf>
    <xf numFmtId="168" fontId="7" fillId="0" borderId="36" xfId="0" applyNumberFormat="1" applyFont="1" applyBorder="1" applyAlignment="1">
      <alignment vertical="center"/>
    </xf>
    <xf numFmtId="168" fontId="7" fillId="0" borderId="37" xfId="0" applyNumberFormat="1" applyFont="1" applyBorder="1" applyAlignment="1">
      <alignment vertical="center"/>
    </xf>
    <xf numFmtId="168" fontId="8" fillId="0" borderId="0" xfId="0" applyNumberFormat="1" applyFont="1" applyFill="1" applyAlignment="1">
      <alignment vertical="center"/>
    </xf>
    <xf numFmtId="164" fontId="7" fillId="0" borderId="31" xfId="0" applyNumberFormat="1" applyFont="1" applyFill="1" applyBorder="1" applyAlignment="1">
      <alignment vertical="center"/>
    </xf>
    <xf numFmtId="164" fontId="7" fillId="0" borderId="5" xfId="0" applyNumberFormat="1" applyFont="1" applyFill="1" applyBorder="1" applyAlignment="1">
      <alignment vertical="center"/>
    </xf>
    <xf numFmtId="176" fontId="7" fillId="12" borderId="0" xfId="0" applyNumberFormat="1" applyFont="1" applyFill="1" applyBorder="1" applyAlignment="1">
      <alignment vertical="center"/>
    </xf>
    <xf numFmtId="171" fontId="7" fillId="5" borderId="0" xfId="0" applyNumberFormat="1" applyFont="1" applyFill="1" applyAlignment="1">
      <alignment vertical="center"/>
    </xf>
    <xf numFmtId="168" fontId="7" fillId="5" borderId="11" xfId="0" applyNumberFormat="1" applyFont="1" applyFill="1" applyBorder="1" applyAlignment="1">
      <alignment vertical="center"/>
    </xf>
    <xf numFmtId="174" fontId="7" fillId="5" borderId="0" xfId="0" applyNumberFormat="1" applyFont="1" applyFill="1" applyBorder="1" applyAlignment="1">
      <alignment vertical="center"/>
    </xf>
    <xf numFmtId="176" fontId="7" fillId="5" borderId="0" xfId="43" applyNumberFormat="1" applyFont="1" applyFill="1" applyBorder="1" applyAlignment="1">
      <alignment vertical="center"/>
    </xf>
    <xf numFmtId="176" fontId="7" fillId="0" borderId="0" xfId="43" applyNumberFormat="1" applyFont="1" applyAlignment="1">
      <alignment vertical="center"/>
    </xf>
    <xf numFmtId="168" fontId="7" fillId="7" borderId="0" xfId="6" applyFont="1"/>
    <xf numFmtId="168" fontId="7" fillId="7" borderId="0" xfId="6" applyFont="1" applyAlignment="1">
      <alignment vertical="center"/>
    </xf>
    <xf numFmtId="176" fontId="7" fillId="6" borderId="0" xfId="7" applyNumberFormat="1" applyFont="1" applyAlignment="1">
      <alignment vertical="center"/>
    </xf>
    <xf numFmtId="168" fontId="7" fillId="10" borderId="0" xfId="5" applyFont="1" applyAlignment="1">
      <alignment vertical="center"/>
    </xf>
    <xf numFmtId="179" fontId="7" fillId="5" borderId="0" xfId="43" applyNumberFormat="1" applyFont="1" applyFill="1" applyBorder="1" applyAlignment="1">
      <alignment vertical="center"/>
    </xf>
    <xf numFmtId="168" fontId="7" fillId="0" borderId="0" xfId="5" applyFont="1" applyFill="1" applyAlignment="1">
      <alignment vertical="center"/>
    </xf>
    <xf numFmtId="176" fontId="7" fillId="0" borderId="23" xfId="0" applyNumberFormat="1" applyFont="1" applyFill="1" applyBorder="1" applyAlignment="1">
      <alignment vertical="center"/>
    </xf>
    <xf numFmtId="168" fontId="7" fillId="7" borderId="0" xfId="6" applyNumberFormat="1" applyFont="1"/>
    <xf numFmtId="173" fontId="7" fillId="0" borderId="0" xfId="0" applyNumberFormat="1" applyFont="1" applyAlignment="1">
      <alignment vertical="center"/>
    </xf>
    <xf numFmtId="176" fontId="7" fillId="0" borderId="0" xfId="0" applyNumberFormat="1" applyFont="1" applyAlignment="1">
      <alignment vertical="center"/>
    </xf>
    <xf numFmtId="164" fontId="7" fillId="0" borderId="0" xfId="0" applyNumberFormat="1" applyFont="1" applyFill="1" applyAlignment="1">
      <alignment vertical="center"/>
    </xf>
    <xf numFmtId="164" fontId="7" fillId="0" borderId="0" xfId="43" applyNumberFormat="1" applyFont="1" applyAlignment="1">
      <alignment vertical="center"/>
    </xf>
    <xf numFmtId="168" fontId="7" fillId="10" borderId="0" xfId="5" applyFont="1"/>
    <xf numFmtId="1" fontId="7" fillId="7" borderId="0" xfId="6" applyNumberFormat="1" applyFont="1" applyAlignment="1">
      <alignment vertical="center"/>
    </xf>
    <xf numFmtId="168" fontId="7" fillId="7" borderId="0" xfId="6" applyFont="1" applyAlignment="1">
      <alignment horizontal="center" vertical="center"/>
    </xf>
    <xf numFmtId="171" fontId="7" fillId="0" borderId="0" xfId="0" applyNumberFormat="1" applyFont="1" applyFill="1" applyAlignment="1">
      <alignment vertical="center"/>
    </xf>
    <xf numFmtId="168" fontId="7" fillId="6" borderId="0" xfId="7" applyFont="1" applyAlignment="1">
      <alignment horizontal="center" vertical="center"/>
    </xf>
    <xf numFmtId="168" fontId="7" fillId="0" borderId="63" xfId="0" applyNumberFormat="1" applyFont="1" applyBorder="1" applyAlignment="1">
      <alignment vertical="center"/>
    </xf>
    <xf numFmtId="168" fontId="82" fillId="8" borderId="0" xfId="0" applyNumberFormat="1" applyFont="1" applyFill="1" applyBorder="1" applyAlignment="1">
      <alignment vertical="center"/>
    </xf>
    <xf numFmtId="168" fontId="7" fillId="8" borderId="0" xfId="0" applyNumberFormat="1" applyFont="1" applyFill="1" applyBorder="1" applyAlignment="1">
      <alignment horizontal="center" vertical="center"/>
    </xf>
    <xf numFmtId="168" fontId="7" fillId="8" borderId="0" xfId="0" applyNumberFormat="1" applyFont="1" applyFill="1" applyAlignment="1">
      <alignment vertical="center"/>
    </xf>
    <xf numFmtId="174" fontId="7" fillId="8" borderId="0" xfId="0" applyNumberFormat="1" applyFont="1" applyFill="1" applyBorder="1" applyAlignment="1">
      <alignment vertical="center"/>
    </xf>
    <xf numFmtId="168" fontId="83" fillId="0" borderId="0" xfId="0" applyNumberFormat="1" applyFont="1" applyAlignment="1">
      <alignment vertical="center"/>
    </xf>
    <xf numFmtId="168" fontId="7" fillId="7" borderId="0" xfId="6" applyFont="1" applyBorder="1" applyAlignment="1">
      <alignment vertical="center"/>
    </xf>
    <xf numFmtId="168" fontId="7" fillId="103" borderId="0" xfId="0" applyNumberFormat="1" applyFont="1" applyFill="1" applyBorder="1" applyAlignment="1">
      <alignment vertical="center"/>
    </xf>
    <xf numFmtId="168" fontId="7" fillId="10" borderId="0" xfId="5" applyNumberFormat="1" applyFont="1" applyAlignment="1">
      <alignment vertical="center"/>
    </xf>
    <xf numFmtId="175" fontId="7" fillId="0" borderId="0" xfId="0" applyNumberFormat="1" applyFont="1" applyFill="1" applyBorder="1" applyAlignment="1">
      <alignment vertical="center"/>
    </xf>
    <xf numFmtId="168" fontId="7" fillId="10" borderId="0" xfId="0" applyNumberFormat="1" applyFont="1" applyFill="1" applyAlignment="1">
      <alignment vertical="center"/>
    </xf>
    <xf numFmtId="168" fontId="7" fillId="10" borderId="0" xfId="0" applyNumberFormat="1" applyFont="1" applyFill="1" applyBorder="1" applyAlignment="1">
      <alignment vertical="center"/>
    </xf>
    <xf numFmtId="168" fontId="7" fillId="10" borderId="0" xfId="0" applyNumberFormat="1" applyFont="1" applyFill="1" applyBorder="1" applyAlignment="1">
      <alignment horizontal="left" vertical="center"/>
    </xf>
    <xf numFmtId="168" fontId="7" fillId="10" borderId="0" xfId="0" applyNumberFormat="1" applyFont="1" applyFill="1" applyBorder="1" applyAlignment="1">
      <alignment horizontal="center" vertical="center"/>
    </xf>
    <xf numFmtId="168" fontId="8" fillId="0" borderId="0" xfId="0" applyNumberFormat="1" applyFont="1" applyAlignment="1">
      <alignment vertical="center"/>
    </xf>
    <xf numFmtId="168" fontId="7" fillId="0" borderId="24" xfId="0" applyNumberFormat="1" applyFont="1" applyBorder="1" applyAlignment="1">
      <alignment vertical="center"/>
    </xf>
    <xf numFmtId="168" fontId="7" fillId="6" borderId="0" xfId="0" applyNumberFormat="1" applyFont="1" applyFill="1" applyBorder="1" applyAlignment="1">
      <alignment horizontal="left" vertical="center"/>
    </xf>
    <xf numFmtId="168" fontId="7" fillId="6" borderId="0" xfId="0" applyNumberFormat="1" applyFont="1" applyFill="1" applyBorder="1" applyAlignment="1">
      <alignment vertical="center"/>
    </xf>
    <xf numFmtId="168" fontId="7" fillId="6" borderId="0" xfId="0" applyNumberFormat="1" applyFont="1" applyFill="1" applyBorder="1" applyAlignment="1">
      <alignment horizontal="center" vertical="center"/>
    </xf>
    <xf numFmtId="168" fontId="7" fillId="0" borderId="0" xfId="0" quotePrefix="1" applyNumberFormat="1" applyFont="1" applyBorder="1" applyAlignment="1">
      <alignment horizontal="center" vertical="center"/>
    </xf>
    <xf numFmtId="2" fontId="7" fillId="0" borderId="0" xfId="43" applyNumberFormat="1" applyFont="1" applyAlignment="1">
      <alignment vertical="center"/>
    </xf>
    <xf numFmtId="170" fontId="80" fillId="0" borderId="0" xfId="0" applyNumberFormat="1" applyFont="1" applyAlignment="1">
      <alignment vertical="center"/>
    </xf>
    <xf numFmtId="168" fontId="8" fillId="0" borderId="0" xfId="0" applyNumberFormat="1" applyFont="1" applyBorder="1" applyAlignment="1">
      <alignment vertical="center"/>
    </xf>
    <xf numFmtId="176" fontId="7" fillId="0" borderId="10" xfId="0" applyNumberFormat="1" applyFont="1" applyFill="1" applyBorder="1" applyAlignment="1">
      <alignment vertical="center"/>
    </xf>
    <xf numFmtId="10" fontId="7" fillId="0" borderId="0" xfId="0" applyNumberFormat="1" applyFont="1" applyBorder="1"/>
    <xf numFmtId="176" fontId="7" fillId="0" borderId="0" xfId="0" applyNumberFormat="1" applyFont="1" applyBorder="1"/>
    <xf numFmtId="176" fontId="7" fillId="0" borderId="9" xfId="0" applyNumberFormat="1" applyFont="1" applyBorder="1"/>
    <xf numFmtId="176" fontId="7" fillId="0" borderId="30" xfId="0" applyNumberFormat="1" applyFont="1" applyBorder="1"/>
    <xf numFmtId="168" fontId="7" fillId="10" borderId="0" xfId="5" applyFont="1" applyBorder="1" applyAlignment="1">
      <alignment vertical="center"/>
    </xf>
    <xf numFmtId="10" fontId="7" fillId="0" borderId="33" xfId="0" applyNumberFormat="1" applyFont="1" applyFill="1" applyBorder="1" applyAlignment="1">
      <alignment vertical="center"/>
    </xf>
    <xf numFmtId="168" fontId="7" fillId="0" borderId="28" xfId="0" applyNumberFormat="1" applyFont="1" applyBorder="1" applyAlignment="1">
      <alignment vertical="center"/>
    </xf>
    <xf numFmtId="170" fontId="7" fillId="0" borderId="11" xfId="0" applyNumberFormat="1" applyFont="1" applyBorder="1" applyAlignment="1">
      <alignment vertical="center"/>
    </xf>
    <xf numFmtId="170" fontId="7" fillId="0" borderId="31" xfId="0" applyNumberFormat="1" applyFont="1" applyFill="1" applyBorder="1" applyAlignment="1">
      <alignment vertical="center"/>
    </xf>
    <xf numFmtId="170" fontId="7" fillId="0" borderId="32" xfId="0" applyNumberFormat="1" applyFont="1" applyFill="1" applyBorder="1" applyAlignment="1">
      <alignment vertical="center"/>
    </xf>
    <xf numFmtId="168" fontId="7" fillId="7" borderId="0" xfId="6" applyNumberFormat="1" applyFont="1" applyAlignment="1">
      <alignment vertical="center"/>
    </xf>
    <xf numFmtId="168" fontId="7" fillId="10" borderId="0" xfId="5" applyNumberFormat="1" applyFont="1"/>
    <xf numFmtId="0" fontId="82" fillId="8" borderId="0" xfId="0" applyFont="1" applyFill="1" applyBorder="1" applyAlignment="1">
      <alignment vertical="center"/>
    </xf>
    <xf numFmtId="1" fontId="7" fillId="0" borderId="0" xfId="0" applyNumberFormat="1" applyFont="1" applyAlignment="1">
      <alignment vertical="center"/>
    </xf>
    <xf numFmtId="0" fontId="9" fillId="0" borderId="0" xfId="0" applyFont="1" applyAlignment="1">
      <alignment vertical="center"/>
    </xf>
    <xf numFmtId="0" fontId="12" fillId="8" borderId="0" xfId="0" applyFont="1" applyFill="1" applyAlignment="1">
      <alignment vertical="center"/>
    </xf>
    <xf numFmtId="174" fontId="7" fillId="8" borderId="1" xfId="0" applyNumberFormat="1" applyFont="1" applyFill="1" applyBorder="1" applyAlignment="1">
      <alignment horizontal="left" vertical="center"/>
    </xf>
    <xf numFmtId="3" fontId="82" fillId="8" borderId="0" xfId="0" applyNumberFormat="1" applyFont="1" applyFill="1" applyBorder="1" applyAlignment="1">
      <alignment vertical="center"/>
    </xf>
    <xf numFmtId="3" fontId="7" fillId="8" borderId="0" xfId="0" applyNumberFormat="1" applyFont="1" applyFill="1" applyBorder="1" applyAlignment="1">
      <alignment vertical="center"/>
    </xf>
    <xf numFmtId="0" fontId="80" fillId="0" borderId="0" xfId="0" applyFont="1" applyBorder="1" applyAlignment="1">
      <alignment vertical="center"/>
    </xf>
    <xf numFmtId="0" fontId="80" fillId="0" borderId="0" xfId="0" applyFont="1" applyAlignment="1">
      <alignment vertical="center"/>
    </xf>
    <xf numFmtId="166" fontId="12" fillId="0" borderId="0" xfId="0" applyNumberFormat="1" applyFont="1" applyAlignment="1">
      <alignment vertical="center"/>
    </xf>
    <xf numFmtId="3" fontId="7" fillId="0" borderId="0" xfId="0" applyNumberFormat="1" applyFont="1" applyAlignment="1">
      <alignment vertical="center"/>
    </xf>
    <xf numFmtId="0" fontId="80" fillId="0" borderId="0" xfId="0" applyFont="1"/>
    <xf numFmtId="168" fontId="9" fillId="0" borderId="0" xfId="0" applyNumberFormat="1" applyFont="1" applyFill="1" applyAlignment="1">
      <alignment vertical="center"/>
    </xf>
    <xf numFmtId="170" fontId="7" fillId="7" borderId="0" xfId="6" applyNumberFormat="1" applyFont="1" applyAlignment="1">
      <alignment vertical="center"/>
    </xf>
    <xf numFmtId="181" fontId="7" fillId="7" borderId="0" xfId="6" applyNumberFormat="1" applyFont="1" applyBorder="1" applyAlignment="1">
      <alignment vertical="center"/>
    </xf>
    <xf numFmtId="168" fontId="7" fillId="7" borderId="0" xfId="6" applyNumberFormat="1" applyFont="1" applyBorder="1" applyAlignment="1">
      <alignment vertical="center"/>
    </xf>
    <xf numFmtId="168" fontId="7" fillId="14" borderId="0" xfId="0" applyNumberFormat="1" applyFont="1" applyFill="1" applyAlignment="1">
      <alignment vertical="center"/>
    </xf>
    <xf numFmtId="182" fontId="7" fillId="0" borderId="0" xfId="0" applyNumberFormat="1" applyFont="1" applyAlignment="1">
      <alignment horizontal="left" vertical="center"/>
    </xf>
    <xf numFmtId="10" fontId="7" fillId="0" borderId="0" xfId="43" applyNumberFormat="1" applyFont="1" applyBorder="1" applyAlignment="1">
      <alignment vertical="center"/>
    </xf>
    <xf numFmtId="171" fontId="7" fillId="0" borderId="0" xfId="0" applyNumberFormat="1" applyFont="1" applyAlignment="1">
      <alignment vertical="center"/>
    </xf>
    <xf numFmtId="10" fontId="7" fillId="0" borderId="0" xfId="43" applyFont="1" applyFill="1" applyAlignment="1">
      <alignment vertical="center"/>
    </xf>
    <xf numFmtId="10" fontId="7" fillId="12" borderId="0" xfId="0" applyNumberFormat="1" applyFont="1" applyFill="1" applyBorder="1" applyAlignment="1">
      <alignment vertical="center"/>
    </xf>
    <xf numFmtId="10" fontId="7" fillId="5" borderId="0" xfId="0" applyNumberFormat="1" applyFont="1" applyFill="1" applyBorder="1" applyAlignment="1">
      <alignment vertical="center"/>
    </xf>
    <xf numFmtId="10" fontId="7" fillId="0" borderId="23" xfId="0" applyNumberFormat="1" applyFont="1" applyFill="1" applyBorder="1" applyAlignment="1">
      <alignment vertical="center"/>
    </xf>
    <xf numFmtId="167" fontId="80" fillId="0" borderId="0" xfId="271" applyNumberFormat="1" applyFont="1" applyFill="1"/>
    <xf numFmtId="170" fontId="9" fillId="0" borderId="0" xfId="0" applyNumberFormat="1" applyFont="1" applyBorder="1" applyAlignment="1">
      <alignment vertical="center"/>
    </xf>
    <xf numFmtId="168" fontId="7" fillId="0" borderId="0" xfId="0" applyNumberFormat="1" applyFont="1" applyAlignment="1">
      <alignment horizontal="left" vertical="center" indent="1"/>
    </xf>
    <xf numFmtId="170" fontId="7" fillId="0" borderId="0" xfId="0" applyNumberFormat="1" applyFont="1" applyFill="1" applyBorder="1" applyAlignment="1" applyProtection="1">
      <alignment horizontal="left" vertical="center"/>
    </xf>
    <xf numFmtId="168" fontId="7" fillId="12" borderId="0" xfId="0" applyNumberFormat="1" applyFont="1" applyFill="1" applyAlignment="1">
      <alignment vertical="center"/>
    </xf>
    <xf numFmtId="168" fontId="7" fillId="7" borderId="0" xfId="6" quotePrefix="1" applyFont="1" applyAlignment="1">
      <alignment vertical="center"/>
    </xf>
    <xf numFmtId="168" fontId="7" fillId="14" borderId="0" xfId="0" applyNumberFormat="1" applyFont="1" applyFill="1" applyBorder="1" applyAlignment="1">
      <alignment vertical="center"/>
    </xf>
    <xf numFmtId="0" fontId="80" fillId="0" borderId="0" xfId="0" applyFont="1" applyFill="1"/>
    <xf numFmtId="168" fontId="5" fillId="106" borderId="0" xfId="0" applyNumberFormat="1" applyFont="1" applyFill="1" applyAlignment="1">
      <alignment vertical="center"/>
    </xf>
    <xf numFmtId="170" fontId="7" fillId="0" borderId="30" xfId="0" applyNumberFormat="1" applyFont="1" applyBorder="1" applyAlignment="1">
      <alignment vertical="center"/>
    </xf>
    <xf numFmtId="170" fontId="7" fillId="5" borderId="0" xfId="0" applyNumberFormat="1" applyFont="1" applyFill="1" applyAlignment="1">
      <alignment vertical="center"/>
    </xf>
    <xf numFmtId="172" fontId="7" fillId="0" borderId="0" xfId="0" applyNumberFormat="1" applyFont="1" applyAlignment="1">
      <alignment vertical="center"/>
    </xf>
    <xf numFmtId="0" fontId="84" fillId="0" borderId="0" xfId="0" applyFont="1" applyFill="1" applyBorder="1" applyAlignment="1">
      <alignment vertical="center"/>
    </xf>
    <xf numFmtId="168" fontId="7" fillId="108" borderId="0" xfId="0" applyNumberFormat="1" applyFont="1" applyFill="1" applyBorder="1" applyAlignment="1" applyProtection="1">
      <alignment vertical="center"/>
      <protection locked="0"/>
    </xf>
    <xf numFmtId="168" fontId="84" fillId="0" borderId="0" xfId="0" applyNumberFormat="1" applyFont="1" applyAlignment="1">
      <alignment vertical="center"/>
    </xf>
    <xf numFmtId="0" fontId="85" fillId="0" borderId="0" xfId="0" applyFont="1"/>
    <xf numFmtId="10" fontId="0" fillId="0" borderId="0" xfId="0" applyNumberFormat="1"/>
    <xf numFmtId="168" fontId="7" fillId="0" borderId="41" xfId="0" applyNumberFormat="1" applyFont="1" applyFill="1" applyBorder="1" applyAlignment="1">
      <alignment vertical="center"/>
    </xf>
    <xf numFmtId="168" fontId="7" fillId="5" borderId="0" xfId="5" applyFont="1" applyFill="1" applyBorder="1" applyAlignment="1">
      <alignment vertical="center"/>
    </xf>
    <xf numFmtId="168" fontId="88" fillId="0" borderId="0" xfId="0" applyNumberFormat="1" applyFont="1" applyAlignment="1">
      <alignment vertical="center"/>
    </xf>
    <xf numFmtId="168" fontId="5" fillId="0" borderId="0" xfId="6" applyFill="1" applyAlignment="1">
      <alignment vertical="center"/>
    </xf>
    <xf numFmtId="0" fontId="0" fillId="0" borderId="0" xfId="0" applyFill="1"/>
    <xf numFmtId="170" fontId="84" fillId="0" borderId="0" xfId="0" applyNumberFormat="1" applyFont="1" applyFill="1" applyBorder="1" applyAlignment="1">
      <alignment vertical="center"/>
    </xf>
    <xf numFmtId="168" fontId="7" fillId="4" borderId="19" xfId="0" applyNumberFormat="1" applyFont="1" applyFill="1" applyBorder="1" applyAlignment="1">
      <alignment vertical="center"/>
    </xf>
    <xf numFmtId="168" fontId="13" fillId="13" borderId="0" xfId="8" applyFont="1">
      <alignment vertical="center"/>
    </xf>
    <xf numFmtId="10" fontId="7" fillId="5" borderId="0" xfId="43" applyFont="1" applyFill="1" applyBorder="1" applyAlignment="1">
      <alignment vertical="center"/>
    </xf>
    <xf numFmtId="168" fontId="7" fillId="13" borderId="0" xfId="8" applyFont="1" applyBorder="1" applyAlignment="1">
      <alignment vertical="center"/>
    </xf>
    <xf numFmtId="0" fontId="5" fillId="9" borderId="0" xfId="0" applyFont="1" applyFill="1" applyBorder="1" applyAlignment="1">
      <alignment vertical="center"/>
    </xf>
    <xf numFmtId="168" fontId="79" fillId="14" borderId="0" xfId="0" applyNumberFormat="1" applyFont="1" applyFill="1" applyAlignment="1">
      <alignment vertical="center"/>
    </xf>
    <xf numFmtId="168" fontId="7" fillId="0" borderId="0" xfId="0" applyNumberFormat="1" applyFont="1" applyAlignment="1">
      <alignment horizontal="center" vertical="center" wrapText="1"/>
    </xf>
    <xf numFmtId="10" fontId="7" fillId="7" borderId="0" xfId="43" applyFont="1" applyFill="1" applyAlignment="1">
      <alignment vertical="center"/>
    </xf>
    <xf numFmtId="195" fontId="7" fillId="0" borderId="0" xfId="0" applyNumberFormat="1" applyFont="1" applyFill="1" applyBorder="1" applyAlignment="1">
      <alignment vertical="center"/>
    </xf>
    <xf numFmtId="193" fontId="81" fillId="0" borderId="0" xfId="0" applyNumberFormat="1" applyFont="1" applyFill="1" applyBorder="1" applyAlignment="1">
      <alignment vertical="center"/>
    </xf>
    <xf numFmtId="0" fontId="89" fillId="0" borderId="0" xfId="0" applyFont="1" applyFill="1" applyBorder="1" applyAlignment="1">
      <alignment vertical="center"/>
    </xf>
    <xf numFmtId="194" fontId="7" fillId="5" borderId="0" xfId="43" applyNumberFormat="1" applyFont="1" applyFill="1" applyBorder="1" applyAlignment="1">
      <alignment vertical="center"/>
    </xf>
    <xf numFmtId="1" fontId="7" fillId="47" borderId="0" xfId="0" applyNumberFormat="1" applyFont="1" applyFill="1" applyAlignment="1">
      <alignment horizontal="left" vertical="center"/>
    </xf>
    <xf numFmtId="168" fontId="7" fillId="0" borderId="0" xfId="0" applyNumberFormat="1" applyFont="1" applyFill="1" applyAlignment="1">
      <alignment horizontal="right" vertical="center"/>
    </xf>
    <xf numFmtId="168" fontId="90" fillId="0" borderId="0" xfId="0" applyNumberFormat="1" applyFont="1" applyAlignment="1">
      <alignment vertical="center"/>
    </xf>
    <xf numFmtId="168" fontId="7" fillId="0" borderId="0" xfId="6" applyFont="1" applyFill="1" applyBorder="1" applyAlignment="1">
      <alignment vertical="center"/>
    </xf>
    <xf numFmtId="168" fontId="7" fillId="0" borderId="0" xfId="8" applyFont="1" applyFill="1">
      <alignment vertical="center"/>
    </xf>
    <xf numFmtId="168" fontId="7" fillId="0" borderId="0" xfId="8" applyFont="1" applyFill="1" applyBorder="1">
      <alignment vertical="center"/>
    </xf>
    <xf numFmtId="168" fontId="7" fillId="0" borderId="0" xfId="6" applyFont="1" applyFill="1" applyAlignment="1">
      <alignment vertical="center"/>
    </xf>
    <xf numFmtId="0" fontId="5" fillId="0" borderId="0" xfId="0" applyFont="1" applyFill="1" applyBorder="1" applyAlignment="1">
      <alignment vertical="center"/>
    </xf>
    <xf numFmtId="0" fontId="80" fillId="0" borderId="0" xfId="0" applyFont="1" applyAlignment="1">
      <alignment vertical="center" wrapText="1"/>
    </xf>
    <xf numFmtId="196" fontId="7" fillId="0" borderId="0" xfId="1343" applyNumberFormat="1" applyFont="1" applyFill="1" applyBorder="1" applyAlignment="1">
      <alignment vertical="center"/>
    </xf>
    <xf numFmtId="168" fontId="7" fillId="111" borderId="0" xfId="0" applyNumberFormat="1" applyFont="1" applyFill="1" applyAlignment="1">
      <alignment vertical="center"/>
    </xf>
    <xf numFmtId="4" fontId="0" fillId="5" borderId="0" xfId="0" applyNumberFormat="1" applyFill="1" applyBorder="1" applyAlignment="1">
      <alignment horizontal="right" vertical="center"/>
    </xf>
    <xf numFmtId="168" fontId="7" fillId="5" borderId="0" xfId="0" applyNumberFormat="1" applyFont="1" applyFill="1" applyBorder="1" applyAlignment="1">
      <alignment horizontal="right" vertical="center"/>
    </xf>
    <xf numFmtId="168" fontId="79" fillId="0" borderId="0" xfId="0" applyNumberFormat="1" applyFont="1" applyFill="1" applyBorder="1" applyAlignment="1">
      <alignment vertical="center"/>
    </xf>
    <xf numFmtId="168" fontId="84" fillId="0" borderId="0" xfId="0" applyNumberFormat="1" applyFont="1" applyFill="1" applyBorder="1" applyAlignment="1">
      <alignment vertical="center"/>
    </xf>
    <xf numFmtId="168" fontId="84" fillId="0" borderId="0" xfId="0" applyNumberFormat="1" applyFont="1" applyFill="1" applyBorder="1" applyAlignment="1" applyProtection="1">
      <alignment vertical="center"/>
      <protection locked="0"/>
    </xf>
    <xf numFmtId="0" fontId="80" fillId="0" borderId="0" xfId="0" applyFont="1" applyAlignment="1">
      <alignment vertical="center" wrapText="1"/>
    </xf>
    <xf numFmtId="0" fontId="0" fillId="110" borderId="0" xfId="0" applyFill="1" applyAlignment="1">
      <alignment vertical="top"/>
    </xf>
    <xf numFmtId="2" fontId="7" fillId="7" borderId="0" xfId="6" applyNumberFormat="1" applyFont="1" applyAlignment="1">
      <alignment vertical="center"/>
    </xf>
    <xf numFmtId="4" fontId="13" fillId="0" borderId="0" xfId="0" applyNumberFormat="1" applyFont="1" applyBorder="1" applyAlignment="1">
      <alignment horizontal="left" vertical="center"/>
    </xf>
    <xf numFmtId="1" fontId="0" fillId="0" borderId="0" xfId="0" applyNumberFormat="1" applyAlignment="1">
      <alignment vertical="top" wrapText="1"/>
    </xf>
    <xf numFmtId="168" fontId="7" fillId="107" borderId="0" xfId="8" applyFont="1" applyFill="1" applyAlignment="1">
      <alignment vertical="center"/>
    </xf>
    <xf numFmtId="0" fontId="80" fillId="107" borderId="0" xfId="0" applyFont="1" applyFill="1" applyAlignment="1">
      <alignment vertical="center" wrapText="1"/>
    </xf>
    <xf numFmtId="0" fontId="0" fillId="0" borderId="0" xfId="0" applyFill="1" applyAlignment="1">
      <alignment vertical="top"/>
    </xf>
    <xf numFmtId="0" fontId="92" fillId="4" borderId="14" xfId="0" applyFont="1" applyFill="1" applyBorder="1" applyAlignment="1">
      <alignment vertical="center"/>
    </xf>
    <xf numFmtId="0" fontId="0" fillId="0" borderId="0" xfId="0" applyFill="1" applyAlignment="1">
      <alignment vertical="top" wrapText="1"/>
    </xf>
    <xf numFmtId="0" fontId="7" fillId="0" borderId="0" xfId="0" applyNumberFormat="1" applyFont="1" applyFill="1" applyBorder="1" applyAlignment="1">
      <alignment vertical="center"/>
    </xf>
    <xf numFmtId="1" fontId="0" fillId="0" borderId="0" xfId="0" applyNumberFormat="1" applyFill="1" applyAlignment="1">
      <alignment vertical="top" wrapText="1"/>
    </xf>
    <xf numFmtId="170" fontId="7" fillId="0" borderId="30" xfId="0" applyNumberFormat="1" applyFont="1" applyFill="1" applyBorder="1" applyAlignment="1">
      <alignment vertical="center"/>
    </xf>
    <xf numFmtId="168" fontId="7" fillId="47" borderId="0" xfId="0" applyNumberFormat="1" applyFont="1" applyFill="1" applyAlignment="1">
      <alignment vertical="center"/>
    </xf>
    <xf numFmtId="168" fontId="7" fillId="47" borderId="0" xfId="0" applyNumberFormat="1" applyFont="1" applyFill="1" applyAlignment="1">
      <alignment vertical="center"/>
    </xf>
    <xf numFmtId="168" fontId="7" fillId="3" borderId="31" xfId="0" applyNumberFormat="1" applyFont="1" applyFill="1" applyBorder="1" applyAlignment="1">
      <alignment vertical="center"/>
    </xf>
    <xf numFmtId="168" fontId="7" fillId="47" borderId="0" xfId="0" applyNumberFormat="1" applyFont="1" applyFill="1" applyAlignment="1">
      <alignment vertical="center"/>
    </xf>
    <xf numFmtId="168" fontId="7" fillId="47" borderId="0" xfId="0" applyNumberFormat="1" applyFont="1" applyFill="1" applyAlignment="1">
      <alignment vertical="center"/>
    </xf>
    <xf numFmtId="168" fontId="7" fillId="47" borderId="0" xfId="0" applyNumberFormat="1" applyFont="1" applyFill="1" applyAlignment="1">
      <alignment vertical="center"/>
    </xf>
    <xf numFmtId="0" fontId="7" fillId="0" borderId="0" xfId="0" applyFont="1" applyFill="1" applyAlignment="1">
      <alignment vertical="center"/>
    </xf>
    <xf numFmtId="0" fontId="7" fillId="8" borderId="0" xfId="0" applyFont="1" applyFill="1" applyAlignment="1">
      <alignment vertical="center"/>
    </xf>
    <xf numFmtId="167" fontId="7" fillId="8" borderId="0" xfId="0" applyNumberFormat="1" applyFont="1" applyFill="1" applyAlignment="1">
      <alignment vertical="center"/>
    </xf>
    <xf numFmtId="0" fontId="8" fillId="4" borderId="2" xfId="0" applyFont="1" applyFill="1" applyBorder="1" applyAlignment="1">
      <alignment horizontal="center" vertical="center" wrapText="1"/>
    </xf>
    <xf numFmtId="0" fontId="8" fillId="4" borderId="20" xfId="0" applyFont="1" applyFill="1" applyBorder="1" applyAlignment="1">
      <alignment horizontal="center" vertical="center"/>
    </xf>
    <xf numFmtId="0" fontId="7" fillId="3" borderId="20" xfId="0" applyFont="1" applyFill="1" applyBorder="1" applyAlignment="1">
      <alignment horizontal="center" vertical="center"/>
    </xf>
    <xf numFmtId="0" fontId="7" fillId="3" borderId="22" xfId="0" applyFont="1" applyFill="1" applyBorder="1" applyAlignment="1">
      <alignment vertical="center"/>
    </xf>
    <xf numFmtId="0" fontId="7" fillId="3" borderId="18" xfId="0" applyFont="1" applyFill="1" applyBorder="1" applyAlignment="1">
      <alignment vertical="center"/>
    </xf>
    <xf numFmtId="0" fontId="7" fillId="3" borderId="21" xfId="0" applyFont="1" applyFill="1" applyBorder="1" applyAlignment="1">
      <alignment vertical="center"/>
    </xf>
    <xf numFmtId="0" fontId="7" fillId="4" borderId="20" xfId="0" applyFont="1" applyFill="1" applyBorder="1" applyAlignment="1">
      <alignment horizontal="center" vertical="center"/>
    </xf>
    <xf numFmtId="168" fontId="7" fillId="3" borderId="22" xfId="0" applyNumberFormat="1" applyFont="1" applyFill="1" applyBorder="1" applyAlignment="1">
      <alignment vertical="center"/>
    </xf>
    <xf numFmtId="168" fontId="7" fillId="3" borderId="18" xfId="0" applyNumberFormat="1" applyFont="1" applyFill="1" applyBorder="1" applyAlignment="1">
      <alignment vertical="center"/>
    </xf>
    <xf numFmtId="168" fontId="7" fillId="3" borderId="21" xfId="0" applyNumberFormat="1" applyFont="1" applyFill="1" applyBorder="1" applyAlignment="1">
      <alignment vertical="center"/>
    </xf>
    <xf numFmtId="168" fontId="7" fillId="4" borderId="22" xfId="0" applyNumberFormat="1" applyFont="1" applyFill="1" applyBorder="1" applyAlignment="1">
      <alignment vertical="center"/>
    </xf>
    <xf numFmtId="168" fontId="7" fillId="4" borderId="18" xfId="0" applyNumberFormat="1" applyFont="1" applyFill="1" applyBorder="1" applyAlignment="1">
      <alignment vertical="center"/>
    </xf>
    <xf numFmtId="168" fontId="7" fillId="4" borderId="21" xfId="0" applyNumberFormat="1" applyFont="1" applyFill="1" applyBorder="1" applyAlignment="1">
      <alignment vertical="center"/>
    </xf>
    <xf numFmtId="168" fontId="7" fillId="3" borderId="19" xfId="0" applyNumberFormat="1" applyFont="1" applyFill="1" applyBorder="1" applyAlignment="1">
      <alignment vertical="center"/>
    </xf>
    <xf numFmtId="168" fontId="7" fillId="4" borderId="20" xfId="0" applyNumberFormat="1" applyFont="1" applyFill="1" applyBorder="1" applyAlignment="1">
      <alignment vertical="center"/>
    </xf>
    <xf numFmtId="0" fontId="7" fillId="4" borderId="6" xfId="0" applyFont="1" applyFill="1" applyBorder="1" applyAlignment="1">
      <alignment horizontal="center" vertical="center"/>
    </xf>
    <xf numFmtId="168" fontId="7" fillId="4" borderId="7" xfId="0" applyNumberFormat="1" applyFont="1" applyFill="1" applyBorder="1" applyAlignment="1">
      <alignment vertical="center"/>
    </xf>
    <xf numFmtId="168" fontId="7" fillId="0" borderId="0" xfId="0" applyNumberFormat="1" applyFont="1" applyAlignment="1">
      <alignment vertical="center"/>
    </xf>
    <xf numFmtId="174" fontId="7" fillId="4" borderId="15" xfId="0" applyNumberFormat="1" applyFont="1" applyFill="1" applyBorder="1" applyAlignment="1">
      <alignment horizontal="center" vertical="center"/>
    </xf>
    <xf numFmtId="174" fontId="7" fillId="4" borderId="3" xfId="0" applyNumberFormat="1" applyFont="1" applyFill="1" applyBorder="1" applyAlignment="1">
      <alignment horizontal="center" vertical="center"/>
    </xf>
    <xf numFmtId="174" fontId="7" fillId="4" borderId="4" xfId="0" applyNumberFormat="1" applyFont="1" applyFill="1" applyBorder="1" applyAlignment="1">
      <alignment horizontal="center" vertical="center"/>
    </xf>
    <xf numFmtId="0" fontId="7" fillId="4" borderId="13"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21" xfId="0" applyFont="1" applyFill="1" applyBorder="1" applyAlignment="1">
      <alignment horizontal="center" vertical="center"/>
    </xf>
    <xf numFmtId="0" fontId="7" fillId="5" borderId="12" xfId="0" applyFont="1" applyFill="1" applyBorder="1" applyAlignment="1">
      <alignment vertical="center"/>
    </xf>
    <xf numFmtId="168" fontId="7" fillId="3" borderId="18" xfId="0" applyNumberFormat="1" applyFont="1" applyFill="1" applyBorder="1" applyAlignment="1">
      <alignment horizontal="left" vertical="center"/>
    </xf>
    <xf numFmtId="0" fontId="7" fillId="0" borderId="0" xfId="0" applyFont="1" applyAlignment="1">
      <alignment vertical="center"/>
    </xf>
    <xf numFmtId="10" fontId="7" fillId="4" borderId="22" xfId="43" applyFont="1" applyFill="1" applyBorder="1" applyAlignment="1">
      <alignment vertical="center"/>
    </xf>
    <xf numFmtId="10" fontId="7" fillId="4" borderId="18" xfId="43" applyFont="1" applyFill="1" applyBorder="1" applyAlignment="1">
      <alignment vertical="center"/>
    </xf>
    <xf numFmtId="10" fontId="7" fillId="4" borderId="21" xfId="43" applyFont="1" applyFill="1" applyBorder="1" applyAlignment="1">
      <alignment vertical="center"/>
    </xf>
    <xf numFmtId="168" fontId="7" fillId="4" borderId="42" xfId="0" applyNumberFormat="1" applyFont="1" applyFill="1" applyBorder="1" applyAlignment="1">
      <alignment vertical="center"/>
    </xf>
    <xf numFmtId="0" fontId="7" fillId="4" borderId="13" xfId="0" applyFont="1" applyFill="1" applyBorder="1" applyAlignment="1">
      <alignment horizontal="center" vertical="center" wrapText="1"/>
    </xf>
    <xf numFmtId="168" fontId="7" fillId="4" borderId="47" xfId="0" applyNumberFormat="1" applyFont="1" applyFill="1" applyBorder="1" applyAlignment="1">
      <alignment vertical="center"/>
    </xf>
    <xf numFmtId="168" fontId="7" fillId="4" borderId="6" xfId="0" applyNumberFormat="1" applyFont="1" applyFill="1" applyBorder="1" applyAlignment="1">
      <alignment vertical="center"/>
    </xf>
    <xf numFmtId="168" fontId="7" fillId="47" borderId="0" xfId="0" applyNumberFormat="1" applyFont="1" applyFill="1" applyAlignment="1">
      <alignment vertical="center"/>
    </xf>
    <xf numFmtId="168" fontId="7" fillId="7" borderId="0" xfId="6" applyFont="1"/>
    <xf numFmtId="0" fontId="12" fillId="8" borderId="0" xfId="0" applyFont="1" applyFill="1" applyAlignment="1">
      <alignment vertical="center"/>
    </xf>
    <xf numFmtId="168" fontId="7" fillId="4" borderId="19" xfId="0" applyNumberFormat="1" applyFont="1" applyFill="1" applyBorder="1" applyAlignment="1">
      <alignment vertical="center"/>
    </xf>
    <xf numFmtId="0" fontId="92" fillId="4" borderId="14" xfId="0" applyFont="1" applyFill="1" applyBorder="1" applyAlignment="1">
      <alignment vertical="center"/>
    </xf>
    <xf numFmtId="8" fontId="7" fillId="0" borderId="0" xfId="0" applyNumberFormat="1" applyFont="1" applyFill="1" applyBorder="1" applyAlignment="1">
      <alignment vertical="center"/>
    </xf>
    <xf numFmtId="0" fontId="93" fillId="0" borderId="0" xfId="0" applyFont="1"/>
    <xf numFmtId="181" fontId="7" fillId="0" borderId="0" xfId="0" applyNumberFormat="1" applyFont="1" applyFill="1" applyBorder="1" applyAlignment="1">
      <alignment vertical="center"/>
    </xf>
    <xf numFmtId="197" fontId="7" fillId="0" borderId="0" xfId="0" applyNumberFormat="1" applyFont="1" applyFill="1" applyBorder="1" applyAlignment="1">
      <alignment vertical="center"/>
    </xf>
    <xf numFmtId="0" fontId="94" fillId="0" borderId="0" xfId="0" applyFont="1"/>
    <xf numFmtId="0" fontId="7" fillId="8" borderId="0" xfId="0" applyFont="1" applyFill="1" applyBorder="1" applyAlignment="1">
      <alignment horizontal="center" vertical="center"/>
    </xf>
    <xf numFmtId="0" fontId="0" fillId="0" borderId="0" xfId="0" applyAlignment="1">
      <alignment horizontal="center"/>
    </xf>
    <xf numFmtId="181" fontId="7" fillId="0" borderId="0" xfId="0" applyNumberFormat="1" applyFont="1" applyAlignment="1">
      <alignment vertical="center"/>
    </xf>
    <xf numFmtId="0" fontId="0" fillId="0" borderId="0" xfId="0" applyAlignment="1">
      <alignment horizontal="left"/>
    </xf>
    <xf numFmtId="181" fontId="7" fillId="0" borderId="0" xfId="0" applyNumberFormat="1" applyFont="1" applyFill="1" applyAlignment="1">
      <alignment vertical="center"/>
    </xf>
    <xf numFmtId="0" fontId="0" fillId="5" borderId="0" xfId="0" applyFill="1"/>
    <xf numFmtId="10" fontId="0" fillId="0" borderId="0" xfId="43" applyFont="1" applyBorder="1" applyAlignment="1"/>
    <xf numFmtId="10" fontId="0" fillId="0" borderId="0" xfId="43" applyFont="1" applyFill="1" applyBorder="1" applyAlignment="1"/>
    <xf numFmtId="10" fontId="0" fillId="5" borderId="0" xfId="43" applyFont="1" applyFill="1" applyBorder="1" applyAlignment="1"/>
    <xf numFmtId="168" fontId="5" fillId="0" borderId="0" xfId="0" quotePrefix="1" applyNumberFormat="1" applyFont="1" applyAlignment="1">
      <alignment vertical="center"/>
    </xf>
    <xf numFmtId="0" fontId="80" fillId="0" borderId="0" xfId="0" applyFont="1" applyAlignment="1">
      <alignment vertical="center" wrapText="1"/>
    </xf>
    <xf numFmtId="168" fontId="7" fillId="0" borderId="0" xfId="8" applyFont="1" applyFill="1" applyAlignment="1">
      <alignment vertical="center"/>
    </xf>
    <xf numFmtId="0" fontId="80" fillId="0" borderId="0" xfId="0" applyFont="1" applyFill="1" applyAlignment="1">
      <alignment vertical="center" wrapText="1"/>
    </xf>
    <xf numFmtId="165" fontId="7" fillId="10" borderId="0" xfId="0" applyNumberFormat="1" applyFont="1" applyFill="1" applyBorder="1" applyAlignment="1">
      <alignment vertical="center"/>
    </xf>
    <xf numFmtId="0" fontId="7" fillId="10" borderId="0" xfId="0" applyFont="1" applyFill="1" applyBorder="1" applyAlignment="1">
      <alignment vertical="center"/>
    </xf>
    <xf numFmtId="173" fontId="0" fillId="5" borderId="0" xfId="0" applyNumberFormat="1" applyFill="1"/>
    <xf numFmtId="0" fontId="1" fillId="0" borderId="0" xfId="0" applyFont="1" applyAlignment="1">
      <alignment horizontal="left"/>
    </xf>
    <xf numFmtId="179" fontId="7" fillId="0" borderId="0" xfId="0" applyNumberFormat="1" applyFont="1" applyFill="1" applyBorder="1" applyAlignment="1">
      <alignment vertical="center"/>
    </xf>
    <xf numFmtId="10" fontId="7" fillId="0" borderId="59" xfId="43" applyFont="1" applyBorder="1" applyAlignment="1">
      <alignment vertical="center"/>
    </xf>
    <xf numFmtId="10" fontId="0" fillId="0" borderId="0" xfId="43" applyNumberFormat="1" applyFont="1" applyFill="1" applyBorder="1" applyAlignment="1"/>
    <xf numFmtId="10" fontId="5" fillId="0" borderId="33" xfId="43" applyFont="1" applyBorder="1" applyAlignment="1">
      <alignment vertical="center"/>
    </xf>
    <xf numFmtId="10" fontId="5" fillId="0" borderId="0" xfId="43" applyNumberFormat="1" applyFont="1" applyBorder="1" applyAlignment="1">
      <alignment vertical="center"/>
    </xf>
    <xf numFmtId="10" fontId="7" fillId="0" borderId="33" xfId="43" applyFont="1" applyBorder="1" applyAlignment="1">
      <alignment vertical="center"/>
    </xf>
    <xf numFmtId="170" fontId="5" fillId="12" borderId="0" xfId="0" applyNumberFormat="1" applyFont="1" applyFill="1" applyBorder="1" applyAlignment="1">
      <alignment vertical="center"/>
    </xf>
    <xf numFmtId="168" fontId="5" fillId="12" borderId="0" xfId="0" applyNumberFormat="1" applyFont="1" applyFill="1" applyAlignment="1">
      <alignment horizontal="left" vertical="center" indent="1"/>
    </xf>
    <xf numFmtId="170" fontId="7" fillId="12" borderId="0" xfId="0" applyNumberFormat="1" applyFont="1" applyFill="1" applyAlignment="1">
      <alignment vertical="center"/>
    </xf>
    <xf numFmtId="170" fontId="7" fillId="12" borderId="0" xfId="0" applyNumberFormat="1" applyFont="1" applyFill="1" applyBorder="1" applyAlignment="1" applyProtection="1">
      <alignment vertical="center"/>
      <protection locked="0"/>
    </xf>
    <xf numFmtId="168" fontId="7" fillId="12" borderId="0" xfId="0" applyNumberFormat="1" applyFont="1" applyFill="1" applyAlignment="1">
      <alignment horizontal="left" vertical="center" indent="1"/>
    </xf>
    <xf numFmtId="170" fontId="7" fillId="12" borderId="0" xfId="0" applyNumberFormat="1" applyFont="1" applyFill="1" applyBorder="1" applyAlignment="1">
      <alignment vertical="center"/>
    </xf>
    <xf numFmtId="170" fontId="7" fillId="6" borderId="0" xfId="7" applyNumberFormat="1" applyFont="1"/>
    <xf numFmtId="181" fontId="7" fillId="6" borderId="0" xfId="7" applyNumberFormat="1" applyFont="1"/>
    <xf numFmtId="168" fontId="95" fillId="0" borderId="0" xfId="0" applyNumberFormat="1" applyFont="1" applyAlignment="1">
      <alignment vertical="center"/>
    </xf>
    <xf numFmtId="181" fontId="7" fillId="0" borderId="0" xfId="0" applyNumberFormat="1" applyFont="1" applyBorder="1" applyAlignment="1">
      <alignment vertical="center"/>
    </xf>
    <xf numFmtId="172" fontId="7" fillId="0" borderId="0" xfId="0" applyNumberFormat="1" applyFont="1" applyBorder="1" applyAlignment="1">
      <alignment vertical="center"/>
    </xf>
    <xf numFmtId="180" fontId="7" fillId="0" borderId="0" xfId="0" applyNumberFormat="1" applyFont="1" applyBorder="1" applyAlignment="1">
      <alignment vertical="center"/>
    </xf>
    <xf numFmtId="175" fontId="7" fillId="0" borderId="0" xfId="0" applyNumberFormat="1" applyFont="1" applyFill="1" applyAlignment="1">
      <alignment vertical="center"/>
    </xf>
    <xf numFmtId="175" fontId="7" fillId="0" borderId="0" xfId="0" applyNumberFormat="1" applyFont="1" applyBorder="1" applyAlignment="1">
      <alignment vertical="center"/>
    </xf>
    <xf numFmtId="175" fontId="7" fillId="0" borderId="0" xfId="0" applyNumberFormat="1" applyFont="1" applyAlignment="1">
      <alignment vertical="center"/>
    </xf>
    <xf numFmtId="198" fontId="7" fillId="0" borderId="0" xfId="0" applyNumberFormat="1" applyFont="1" applyFill="1" applyBorder="1" applyAlignment="1">
      <alignment vertical="center"/>
    </xf>
    <xf numFmtId="0" fontId="0" fillId="107" borderId="0" xfId="0" applyFill="1"/>
    <xf numFmtId="0" fontId="0" fillId="107" borderId="0" xfId="0" applyFill="1" applyAlignment="1">
      <alignment vertical="center" wrapText="1"/>
    </xf>
    <xf numFmtId="168" fontId="7" fillId="107" borderId="0" xfId="0" applyNumberFormat="1" applyFont="1" applyFill="1" applyAlignment="1">
      <alignment vertical="center"/>
    </xf>
    <xf numFmtId="0" fontId="41" fillId="103" borderId="0" xfId="0" applyFont="1" applyFill="1"/>
    <xf numFmtId="14" fontId="0" fillId="0" borderId="0" xfId="0" applyNumberFormat="1" applyFill="1" applyAlignment="1">
      <alignment vertical="top"/>
    </xf>
    <xf numFmtId="20" fontId="0" fillId="0" borderId="0" xfId="0" applyNumberFormat="1" applyFill="1" applyAlignment="1">
      <alignment vertical="top"/>
    </xf>
    <xf numFmtId="0" fontId="36" fillId="0" borderId="0" xfId="0" applyFont="1" applyFill="1" applyAlignment="1">
      <alignment vertical="top"/>
    </xf>
    <xf numFmtId="0" fontId="0" fillId="0" borderId="0" xfId="0" quotePrefix="1" applyFill="1" applyAlignment="1">
      <alignment vertical="top" wrapText="1"/>
    </xf>
    <xf numFmtId="0" fontId="0" fillId="0" borderId="0" xfId="0" applyNumberFormat="1" applyFill="1" applyAlignment="1">
      <alignment vertical="top" wrapText="1"/>
    </xf>
    <xf numFmtId="0" fontId="0" fillId="0" borderId="0" xfId="0" applyFill="1" applyBorder="1" applyAlignment="1">
      <alignment vertical="top"/>
    </xf>
    <xf numFmtId="179" fontId="0" fillId="0" borderId="0" xfId="0" applyNumberFormat="1" applyFill="1" applyBorder="1" applyAlignment="1">
      <alignment horizontal="center" vertical="top"/>
    </xf>
    <xf numFmtId="0" fontId="0" fillId="0" borderId="0" xfId="0" applyFill="1" applyBorder="1" applyAlignment="1">
      <alignment horizontal="center" vertical="top"/>
    </xf>
    <xf numFmtId="0" fontId="0" fillId="0" borderId="0" xfId="0" applyFont="1" applyFill="1" applyBorder="1" applyAlignment="1">
      <alignment vertical="top"/>
    </xf>
    <xf numFmtId="14" fontId="0" fillId="0" borderId="0" xfId="0" applyNumberFormat="1" applyFill="1" applyBorder="1" applyAlignment="1">
      <alignment vertical="top"/>
    </xf>
    <xf numFmtId="20" fontId="0" fillId="0" borderId="0" xfId="0" applyNumberFormat="1" applyFill="1" applyBorder="1" applyAlignment="1">
      <alignment vertical="top"/>
    </xf>
    <xf numFmtId="0" fontId="0" fillId="0" borderId="0" xfId="0" applyFill="1" applyBorder="1" applyAlignment="1">
      <alignment vertical="top" wrapText="1"/>
    </xf>
    <xf numFmtId="0" fontId="36" fillId="0" borderId="0" xfId="0" applyFont="1" applyFill="1" applyBorder="1" applyAlignment="1">
      <alignment vertical="top"/>
    </xf>
    <xf numFmtId="0" fontId="35" fillId="0" borderId="0" xfId="0" applyFont="1" applyFill="1" applyBorder="1" applyAlignment="1">
      <alignment vertical="top" wrapText="1"/>
    </xf>
    <xf numFmtId="0" fontId="87" fillId="0" borderId="0" xfId="0" applyFont="1" applyFill="1" applyBorder="1" applyAlignment="1">
      <alignment vertical="top" wrapText="1"/>
    </xf>
    <xf numFmtId="0" fontId="31" fillId="0" borderId="0" xfId="0" applyFont="1" applyFill="1" applyBorder="1"/>
    <xf numFmtId="179" fontId="0" fillId="0" borderId="0" xfId="0" applyNumberFormat="1" applyBorder="1" applyAlignment="1">
      <alignment vertical="top"/>
    </xf>
    <xf numFmtId="0" fontId="0" fillId="0" borderId="0" xfId="0" applyBorder="1" applyAlignment="1">
      <alignment vertical="top"/>
    </xf>
    <xf numFmtId="0" fontId="77" fillId="0" borderId="0" xfId="0" applyFont="1" applyBorder="1" applyAlignment="1">
      <alignment horizontal="center" vertical="center" wrapText="1"/>
    </xf>
    <xf numFmtId="4" fontId="0" fillId="0" borderId="0" xfId="0" applyNumberFormat="1" applyBorder="1" applyAlignment="1">
      <alignment vertical="top"/>
    </xf>
    <xf numFmtId="194" fontId="7" fillId="0" borderId="23" xfId="0" applyNumberFormat="1" applyFont="1" applyFill="1" applyBorder="1" applyAlignment="1">
      <alignment vertical="center"/>
    </xf>
    <xf numFmtId="181" fontId="7" fillId="109" borderId="0" xfId="0" applyNumberFormat="1" applyFont="1" applyFill="1" applyBorder="1" applyAlignment="1">
      <alignment vertical="center"/>
    </xf>
    <xf numFmtId="194" fontId="13" fillId="0" borderId="0" xfId="43" applyNumberFormat="1" applyFont="1" applyFill="1" applyBorder="1" applyAlignment="1">
      <alignment vertical="center"/>
    </xf>
    <xf numFmtId="0" fontId="16" fillId="8" borderId="0" xfId="0" applyFont="1" applyFill="1" applyBorder="1" applyAlignment="1">
      <alignment horizontal="left" vertical="top" wrapText="1"/>
    </xf>
    <xf numFmtId="0" fontId="16" fillId="107" borderId="0" xfId="0" applyFont="1" applyFill="1" applyBorder="1" applyAlignment="1">
      <alignment horizontal="left" vertical="top" wrapText="1"/>
    </xf>
    <xf numFmtId="0" fontId="34" fillId="0" borderId="0" xfId="0" applyFont="1" applyBorder="1" applyAlignment="1">
      <alignment horizontal="center" vertical="center" wrapText="1"/>
    </xf>
    <xf numFmtId="0" fontId="0" fillId="0" borderId="0" xfId="0" applyBorder="1" applyAlignment="1">
      <alignment wrapText="1"/>
    </xf>
    <xf numFmtId="168" fontId="7" fillId="107" borderId="0" xfId="8" applyFont="1" applyFill="1" applyAlignment="1">
      <alignment vertical="center" wrapText="1"/>
    </xf>
    <xf numFmtId="0" fontId="80" fillId="0" borderId="0" xfId="0" applyFont="1" applyAlignment="1">
      <alignment vertical="center" wrapText="1"/>
    </xf>
    <xf numFmtId="168" fontId="7" fillId="13" borderId="0" xfId="8" applyFont="1" applyFill="1" applyAlignment="1">
      <alignment vertical="center" wrapText="1"/>
    </xf>
    <xf numFmtId="0" fontId="80" fillId="13" borderId="0" xfId="0" applyFont="1" applyFill="1" applyAlignment="1">
      <alignment vertical="center" wrapText="1"/>
    </xf>
    <xf numFmtId="0" fontId="0" fillId="107" borderId="0" xfId="0" applyFill="1" applyAlignment="1">
      <alignment vertical="center" wrapText="1"/>
    </xf>
  </cellXfs>
  <cellStyles count="1393">
    <cellStyle name="%" xfId="57"/>
    <cellStyle name="% 10" xfId="58"/>
    <cellStyle name="% 10 2" xfId="1344"/>
    <cellStyle name="% 2" xfId="59"/>
    <cellStyle name="% 2 2" xfId="60"/>
    <cellStyle name="% 2 2 2" xfId="61"/>
    <cellStyle name="% 2 2_3.1.2 DB Pension Detail" xfId="1345"/>
    <cellStyle name="% 3" xfId="62"/>
    <cellStyle name="% 4" xfId="63"/>
    <cellStyle name="% 4 2" xfId="64"/>
    <cellStyle name="% 4 3" xfId="65"/>
    <cellStyle name="% 4 4" xfId="66"/>
    <cellStyle name="% 4 5" xfId="67"/>
    <cellStyle name="% 4 6" xfId="68"/>
    <cellStyle name="% 4 7" xfId="69"/>
    <cellStyle name="% 4 8" xfId="70"/>
    <cellStyle name="%_3.3 Tax" xfId="71"/>
    <cellStyle name="%_3.3 Tax 2" xfId="72"/>
    <cellStyle name="%_4.2 Activity Indicators" xfId="1346"/>
    <cellStyle name="%_BP10+ GTO Capex Split CN" xfId="73"/>
    <cellStyle name="%_GTO Non Operational Capex Roll-over submission (FINAL with property)" xfId="74"/>
    <cellStyle name="%_NGG Opex PCRRP Tables 31 Mar 2009" xfId="1347"/>
    <cellStyle name="%_NGG TPCR4 MG Workings" xfId="75"/>
    <cellStyle name="%_Opex Input" xfId="76"/>
    <cellStyle name="%_Sch 2.1 Eng schedule 2009-10 Final @ 270710" xfId="1348"/>
    <cellStyle name="%_Transmission PCRRP tables_SPTL_200809 V1" xfId="77"/>
    <cellStyle name="%_VR NGET Opex tables" xfId="78"/>
    <cellStyle name="%_VR Pensions Opex tables" xfId="79"/>
    <cellStyle name="_070323 - 5yr opex BPQ (Final)" xfId="80"/>
    <cellStyle name="_0708 GSO Capex RRP (detail)" xfId="81"/>
    <cellStyle name="_0708 GSO Capex RRP (detail) 2" xfId="82"/>
    <cellStyle name="_0708 GSO Capex RRP (detail) 2 2" xfId="83"/>
    <cellStyle name="_0708 GSO Capex RRP (detail) 2 3" xfId="84"/>
    <cellStyle name="_0708 GSO Capex RRP (detail) 2 4" xfId="85"/>
    <cellStyle name="_0708 GSO Capex RRP (detail) 2 5" xfId="86"/>
    <cellStyle name="_0708 GSO Capex RRP (detail) 2 6" xfId="87"/>
    <cellStyle name="_0708 GSO Capex RRP (detail) 2 7" xfId="88"/>
    <cellStyle name="_0708 GSO Capex RRP (detail) 2 8" xfId="89"/>
    <cellStyle name="_0708 GSO Capex RRP (detail)_Opex Input" xfId="90"/>
    <cellStyle name="_0708 TO Non-Op Capex (detail)" xfId="91"/>
    <cellStyle name="_Book4" xfId="92"/>
    <cellStyle name="_Book4 2" xfId="93"/>
    <cellStyle name="_Book4 2 2" xfId="94"/>
    <cellStyle name="_Book4 2 3" xfId="95"/>
    <cellStyle name="_Book4 2 4" xfId="96"/>
    <cellStyle name="_Book4 2 5" xfId="97"/>
    <cellStyle name="_Book4 2 6" xfId="98"/>
    <cellStyle name="_Book4 2 7" xfId="99"/>
    <cellStyle name="_Book4 2 8" xfId="100"/>
    <cellStyle name="_BP10+ GTO Capex Split CN" xfId="101"/>
    <cellStyle name="_BP10+post TIC 1 Jun" xfId="102"/>
    <cellStyle name="_BP10+post TIC 1 Jun 2" xfId="103"/>
    <cellStyle name="_BP10+post TIC 1 Jun 2 2" xfId="104"/>
    <cellStyle name="_BP10+post TIC 1 Jun 2 3" xfId="105"/>
    <cellStyle name="_BP10+post TIC 1 Jun 2 4" xfId="106"/>
    <cellStyle name="_BP10+post TIC 1 Jun 2 5" xfId="107"/>
    <cellStyle name="_BP10+post TIC 1 Jun 2 6" xfId="108"/>
    <cellStyle name="_BP10+post TIC 1 Jun 2 7" xfId="109"/>
    <cellStyle name="_BP10+post TIC 1 Jun 2 8" xfId="110"/>
    <cellStyle name="_Capital Plan - IS UK" xfId="111"/>
    <cellStyle name="_Capital Plan - IS UK_0910 GSO Capex RRP - Final (Detail) v2 220710" xfId="112"/>
    <cellStyle name="_Capital Plan - IS UK_0910 GSO Capex RRP - Final (Detail) v2 220710 2" xfId="113"/>
    <cellStyle name="_Capital Plan - IS UK_0910 GSO Capex RRP - Final (Detail) v2 220710 2 2" xfId="114"/>
    <cellStyle name="_Capital Plan - IS UK_0910 GSO Capex RRP - Final (Detail) v2 220710 2 3" xfId="115"/>
    <cellStyle name="_Capital Plan - IS UK_0910 GSO Capex RRP - Final (Detail) v2 220710 2 4" xfId="116"/>
    <cellStyle name="_Capital Plan - IS UK_0910 GSO Capex RRP - Final (Detail) v2 220710 2 5" xfId="117"/>
    <cellStyle name="_Capital Plan - IS UK_0910 GSO Capex RRP - Final (Detail) v2 220710 2 6" xfId="118"/>
    <cellStyle name="_Capital Plan - IS UK_0910 GSO Capex RRP - Final (Detail) v2 220710 2 7" xfId="119"/>
    <cellStyle name="_Capital Plan - IS UK_0910 GSO Capex RRP - Final (Detail) v2 220710 2 8" xfId="120"/>
    <cellStyle name="_Capital Plan - IS UK_0910 GSO Capex RRP - Final (Detail) v2 220710_Opex Input" xfId="121"/>
    <cellStyle name="_Gas TO major Projects Forecast Jun-10" xfId="122"/>
    <cellStyle name="_Gas TO major Projects Forecast Jun-10 2" xfId="123"/>
    <cellStyle name="_Gas TO major Projects Forecast Jun-10 2 2" xfId="124"/>
    <cellStyle name="_Gas TO major Projects Forecast Jun-10 2 3" xfId="125"/>
    <cellStyle name="_Gas TO major Projects Forecast Jun-10 2 4" xfId="126"/>
    <cellStyle name="_Gas TO major Projects Forecast Jun-10 2 5" xfId="127"/>
    <cellStyle name="_Gas TO major Projects Forecast Jun-10 2 6" xfId="128"/>
    <cellStyle name="_Gas TO major Projects Forecast Jun-10 2 7" xfId="129"/>
    <cellStyle name="_Gas TO major Projects Forecast Jun-10 2 8" xfId="130"/>
    <cellStyle name="_Gas TO major Projects Forecast May-10 BP10+ v5" xfId="131"/>
    <cellStyle name="_Gas TO major Projects Forecast May-10 BP10+ v5 2" xfId="132"/>
    <cellStyle name="_Gas TO major Projects Forecast May-10 BP10+ v5 2 2" xfId="133"/>
    <cellStyle name="_Gas TO major Projects Forecast May-10 BP10+ v5 2 3" xfId="134"/>
    <cellStyle name="_Gas TO major Projects Forecast May-10 BP10+ v5 2 4" xfId="135"/>
    <cellStyle name="_Gas TO major Projects Forecast May-10 BP10+ v5 2 5" xfId="136"/>
    <cellStyle name="_Gas TO major Projects Forecast May-10 BP10+ v5 2 6" xfId="137"/>
    <cellStyle name="_Gas TO major Projects Forecast May-10 BP10+ v5 2 7" xfId="138"/>
    <cellStyle name="_Gas TO major Projects Forecast May-10 BP10+ v5 2 8" xfId="139"/>
    <cellStyle name="_GTO Non Operational Capex Roll-over submission (FINAL with property)" xfId="140"/>
    <cellStyle name="_Test scoring_UKGDx_20070924_Pilot (DV)" xfId="141"/>
    <cellStyle name="=C:\WINNT\SYSTEM32\COMMAND.COM" xfId="54"/>
    <cellStyle name="=C:\WINNT\SYSTEM32\COMMAND.COM 10" xfId="52"/>
    <cellStyle name="=C:\WINNT\SYSTEM32\COMMAND.COM 11" xfId="142"/>
    <cellStyle name="=C:\WINNT\SYSTEM32\COMMAND.COM 12" xfId="143"/>
    <cellStyle name="=C:\WINNT\SYSTEM32\COMMAND.COM 13" xfId="144"/>
    <cellStyle name="=C:\WINNT\SYSTEM32\COMMAND.COM 14" xfId="145"/>
    <cellStyle name="=C:\WINNT\SYSTEM32\COMMAND.COM 15" xfId="146"/>
    <cellStyle name="=C:\WINNT\SYSTEM32\COMMAND.COM 16" xfId="147"/>
    <cellStyle name="=C:\WINNT\SYSTEM32\COMMAND.COM 17" xfId="148"/>
    <cellStyle name="=C:\WINNT\SYSTEM32\COMMAND.COM 18" xfId="149"/>
    <cellStyle name="=C:\WINNT\SYSTEM32\COMMAND.COM 19" xfId="150"/>
    <cellStyle name="=C:\WINNT\SYSTEM32\COMMAND.COM 2" xfId="50"/>
    <cellStyle name="=C:\WINNT\SYSTEM32\COMMAND.COM 2 2" xfId="151"/>
    <cellStyle name="=C:\WINNT\SYSTEM32\COMMAND.COM 2 2 2" xfId="152"/>
    <cellStyle name="=C:\WINNT\SYSTEM32\COMMAND.COM 2 2 2 2" xfId="153"/>
    <cellStyle name="=C:\WINNT\SYSTEM32\COMMAND.COM 2 2 2 3" xfId="154"/>
    <cellStyle name="=C:\WINNT\SYSTEM32\COMMAND.COM 2 2 2_Opex Input" xfId="155"/>
    <cellStyle name="=C:\WINNT\SYSTEM32\COMMAND.COM 2 2 3" xfId="156"/>
    <cellStyle name="=C:\WINNT\SYSTEM32\COMMAND.COM 2 2_Opex Input" xfId="157"/>
    <cellStyle name="=C:\WINNT\SYSTEM32\COMMAND.COM 2 3" xfId="158"/>
    <cellStyle name="=C:\WINNT\SYSTEM32\COMMAND.COM 2 4" xfId="1374"/>
    <cellStyle name="=C:\WINNT\SYSTEM32\COMMAND.COM 2 5" xfId="1389"/>
    <cellStyle name="=C:\WINNT\SYSTEM32\COMMAND.COM 2 6" xfId="1375"/>
    <cellStyle name="=C:\WINNT\SYSTEM32\COMMAND.COM 2 7" xfId="1378"/>
    <cellStyle name="=C:\WINNT\SYSTEM32\COMMAND.COM 2 8" xfId="1376"/>
    <cellStyle name="=C:\WINNT\SYSTEM32\COMMAND.COM 2 9" xfId="1377"/>
    <cellStyle name="=C:\WINNT\SYSTEM32\COMMAND.COM 2_Opex Input" xfId="159"/>
    <cellStyle name="=C:\WINNT\SYSTEM32\COMMAND.COM 20" xfId="160"/>
    <cellStyle name="=C:\WINNT\SYSTEM32\COMMAND.COM 21" xfId="161"/>
    <cellStyle name="=C:\WINNT\SYSTEM32\COMMAND.COM 22" xfId="162"/>
    <cellStyle name="=C:\WINNT\SYSTEM32\COMMAND.COM 23" xfId="163"/>
    <cellStyle name="=C:\WINNT\SYSTEM32\COMMAND.COM 23 2" xfId="164"/>
    <cellStyle name="=C:\WINNT\SYSTEM32\COMMAND.COM 24" xfId="165"/>
    <cellStyle name="=C:\WINNT\SYSTEM32\COMMAND.COM 25" xfId="166"/>
    <cellStyle name="=C:\WINNT\SYSTEM32\COMMAND.COM 25 2" xfId="167"/>
    <cellStyle name="=C:\WINNT\SYSTEM32\COMMAND.COM 25 3" xfId="168"/>
    <cellStyle name="=C:\WINNT\SYSTEM32\COMMAND.COM 26" xfId="169"/>
    <cellStyle name="=C:\WINNT\SYSTEM32\COMMAND.COM 27" xfId="170"/>
    <cellStyle name="=C:\WINNT\SYSTEM32\COMMAND.COM 28" xfId="171"/>
    <cellStyle name="=C:\WINNT\SYSTEM32\COMMAND.COM 29" xfId="172"/>
    <cellStyle name="=C:\WINNT\SYSTEM32\COMMAND.COM 3" xfId="51"/>
    <cellStyle name="=C:\WINNT\SYSTEM32\COMMAND.COM 30" xfId="173"/>
    <cellStyle name="=C:\WINNT\SYSTEM32\COMMAND.COM 31" xfId="174"/>
    <cellStyle name="=C:\WINNT\SYSTEM32\COMMAND.COM 32" xfId="175"/>
    <cellStyle name="=C:\WINNT\SYSTEM32\COMMAND.COM 33" xfId="176"/>
    <cellStyle name="=C:\WINNT\SYSTEM32\COMMAND.COM 4" xfId="177"/>
    <cellStyle name="=C:\WINNT\SYSTEM32\COMMAND.COM 4 2" xfId="178"/>
    <cellStyle name="=C:\WINNT\SYSTEM32\COMMAND.COM 4 3" xfId="179"/>
    <cellStyle name="=C:\WINNT\SYSTEM32\COMMAND.COM 4_Opex Input" xfId="180"/>
    <cellStyle name="=C:\WINNT\SYSTEM32\COMMAND.COM 5" xfId="181"/>
    <cellStyle name="=C:\WINNT\SYSTEM32\COMMAND.COM 6" xfId="182"/>
    <cellStyle name="=C:\WINNT\SYSTEM32\COMMAND.COM 7" xfId="183"/>
    <cellStyle name="=C:\WINNT\SYSTEM32\COMMAND.COM 8" xfId="184"/>
    <cellStyle name="=C:\WINNT\SYSTEM32\COMMAND.COM 9" xfId="185"/>
    <cellStyle name="=C:\WINNT\SYSTEM32\COMMAND.COM_Model_run_060901" xfId="186"/>
    <cellStyle name="=C:\WINNT35\SYSTEM32\COMMAND.COM" xfId="187"/>
    <cellStyle name="20% - Accent1" xfId="13" builtinId="30" hidden="1"/>
    <cellStyle name="20% - Accent1 2" xfId="188"/>
    <cellStyle name="20% - Accent1 3" xfId="189"/>
    <cellStyle name="20% - Accent2" xfId="17" builtinId="34" hidden="1"/>
    <cellStyle name="20% - Accent2 2" xfId="190"/>
    <cellStyle name="20% - Accent2 3" xfId="191"/>
    <cellStyle name="20% - Accent3" xfId="21" builtinId="38" hidden="1"/>
    <cellStyle name="20% - Accent3 2" xfId="192"/>
    <cellStyle name="20% - Accent3 3" xfId="193"/>
    <cellStyle name="20% - Accent4" xfId="25" builtinId="42" hidden="1"/>
    <cellStyle name="20% - Accent4 2" xfId="194"/>
    <cellStyle name="20% - Accent4 3" xfId="195"/>
    <cellStyle name="20% - Accent5" xfId="29" builtinId="46" hidden="1"/>
    <cellStyle name="20% - Accent5 2" xfId="196"/>
    <cellStyle name="20% - Accent5 3" xfId="197"/>
    <cellStyle name="20% - Accent6" xfId="33" builtinId="50" hidden="1"/>
    <cellStyle name="20% - Accent6 2" xfId="198"/>
    <cellStyle name="20% - Accent6 3" xfId="199"/>
    <cellStyle name="40% - Accent1" xfId="14" builtinId="31" hidden="1"/>
    <cellStyle name="40% - Accent1 2" xfId="200"/>
    <cellStyle name="40% - Accent1 3" xfId="201"/>
    <cellStyle name="40% - Accent2" xfId="18" builtinId="35" hidden="1"/>
    <cellStyle name="40% - Accent2 2" xfId="202"/>
    <cellStyle name="40% - Accent2 3" xfId="203"/>
    <cellStyle name="40% - Accent3" xfId="22" builtinId="39" hidden="1"/>
    <cellStyle name="40% - Accent3 2" xfId="204"/>
    <cellStyle name="40% - Accent3 3" xfId="205"/>
    <cellStyle name="40% - Accent4" xfId="26" builtinId="43" hidden="1"/>
    <cellStyle name="40% - Accent4 2" xfId="206"/>
    <cellStyle name="40% - Accent4 3" xfId="207"/>
    <cellStyle name="40% - Accent5" xfId="30" builtinId="47" hidden="1"/>
    <cellStyle name="40% - Accent5 2" xfId="208"/>
    <cellStyle name="40% - Accent5 3" xfId="209"/>
    <cellStyle name="40% - Accent6" xfId="34" builtinId="51" hidden="1"/>
    <cellStyle name="40% - Accent6 2" xfId="210"/>
    <cellStyle name="40% - Accent6 3" xfId="211"/>
    <cellStyle name="60% - Accent1" xfId="15" builtinId="32" hidden="1"/>
    <cellStyle name="60% - Accent1 2" xfId="212"/>
    <cellStyle name="60% - Accent1 3" xfId="213"/>
    <cellStyle name="60% - Accent2" xfId="19" builtinId="36" hidden="1"/>
    <cellStyle name="60% - Accent2 2" xfId="214"/>
    <cellStyle name="60% - Accent2 3" xfId="215"/>
    <cellStyle name="60% - Accent3" xfId="23" builtinId="40" hidden="1"/>
    <cellStyle name="60% - Accent3 2" xfId="216"/>
    <cellStyle name="60% - Accent3 3" xfId="217"/>
    <cellStyle name="60% - Accent4" xfId="27" builtinId="44" hidden="1"/>
    <cellStyle name="60% - Accent4 2" xfId="218"/>
    <cellStyle name="60% - Accent4 3" xfId="219"/>
    <cellStyle name="60% - Accent5" xfId="31" builtinId="48" hidden="1"/>
    <cellStyle name="60% - Accent5 2" xfId="220"/>
    <cellStyle name="60% - Accent5 3" xfId="221"/>
    <cellStyle name="60% - Accent6" xfId="35" builtinId="52" hidden="1"/>
    <cellStyle name="60% - Accent6 2" xfId="222"/>
    <cellStyle name="60% - Accent6 3" xfId="223"/>
    <cellStyle name="Accent1" xfId="12" builtinId="29" hidden="1"/>
    <cellStyle name="Accent1 - 20%" xfId="224"/>
    <cellStyle name="Accent1 - 40%" xfId="225"/>
    <cellStyle name="Accent1 - 60%" xfId="226"/>
    <cellStyle name="Accent1 2" xfId="227"/>
    <cellStyle name="Accent1 3" xfId="228"/>
    <cellStyle name="Accent2" xfId="16" builtinId="33" hidden="1"/>
    <cellStyle name="Accent2 - 20%" xfId="229"/>
    <cellStyle name="Accent2 - 40%" xfId="230"/>
    <cellStyle name="Accent2 - 60%" xfId="231"/>
    <cellStyle name="Accent2 2" xfId="232"/>
    <cellStyle name="Accent2 3" xfId="233"/>
    <cellStyle name="Accent3" xfId="20" builtinId="37" hidden="1"/>
    <cellStyle name="Accent3 - 20%" xfId="234"/>
    <cellStyle name="Accent3 - 40%" xfId="235"/>
    <cellStyle name="Accent3 - 60%" xfId="236"/>
    <cellStyle name="Accent3 2" xfId="237"/>
    <cellStyle name="Accent3 3" xfId="238"/>
    <cellStyle name="Accent4" xfId="24" builtinId="41" hidden="1"/>
    <cellStyle name="Accent4 - 20%" xfId="239"/>
    <cellStyle name="Accent4 - 40%" xfId="240"/>
    <cellStyle name="Accent4 - 60%" xfId="241"/>
    <cellStyle name="Accent4 2" xfId="242"/>
    <cellStyle name="Accent4 3" xfId="243"/>
    <cellStyle name="Accent5" xfId="28" builtinId="45" hidden="1"/>
    <cellStyle name="Accent5 - 20%" xfId="244"/>
    <cellStyle name="Accent5 - 40%" xfId="245"/>
    <cellStyle name="Accent5 - 60%" xfId="246"/>
    <cellStyle name="Accent5 2" xfId="247"/>
    <cellStyle name="Accent5 3" xfId="248"/>
    <cellStyle name="Accent6" xfId="32" builtinId="49" hidden="1"/>
    <cellStyle name="Accent6 - 20%" xfId="249"/>
    <cellStyle name="Accent6 - 40%" xfId="250"/>
    <cellStyle name="Accent6 - 60%" xfId="251"/>
    <cellStyle name="Accent6 2" xfId="252"/>
    <cellStyle name="Accent6 3" xfId="253"/>
    <cellStyle name="Bad" xfId="37" builtinId="27" hidden="1"/>
    <cellStyle name="Bad 2" xfId="254"/>
    <cellStyle name="Bad 3" xfId="255"/>
    <cellStyle name="Calculation" xfId="40" builtinId="22" hidden="1"/>
    <cellStyle name="Calculation 2" xfId="256"/>
    <cellStyle name="Calculation 3" xfId="257"/>
    <cellStyle name="Check Cell 2" xfId="258"/>
    <cellStyle name="Check Cell 3" xfId="259"/>
    <cellStyle name="column Head Underlined" xfId="260"/>
    <cellStyle name="Column Heading" xfId="261"/>
    <cellStyle name="Comma" xfId="2" builtinId="3" hidden="1"/>
    <cellStyle name="Comma" xfId="1343" builtinId="3"/>
    <cellStyle name="Comma [0]" xfId="9" builtinId="6" hidden="1"/>
    <cellStyle name="Comma [1]" xfId="262"/>
    <cellStyle name="Comma [1] 2" xfId="263"/>
    <cellStyle name="Comma [1] 2 2" xfId="264"/>
    <cellStyle name="Comma [1] 2 3" xfId="265"/>
    <cellStyle name="Comma [1] 2 4" xfId="266"/>
    <cellStyle name="Comma [1] 2 5" xfId="267"/>
    <cellStyle name="Comma [1] 2 6" xfId="268"/>
    <cellStyle name="Comma [1] 2 7" xfId="269"/>
    <cellStyle name="Comma [1] 2 8" xfId="270"/>
    <cellStyle name="Comma 10" xfId="271"/>
    <cellStyle name="Comma 11" xfId="45"/>
    <cellStyle name="Comma 12" xfId="272"/>
    <cellStyle name="Comma 13" xfId="273"/>
    <cellStyle name="Comma 2" xfId="274"/>
    <cellStyle name="Comma 2 10" xfId="275"/>
    <cellStyle name="Comma 2 11" xfId="276"/>
    <cellStyle name="Comma 2 12" xfId="277"/>
    <cellStyle name="Comma 2 13" xfId="278"/>
    <cellStyle name="Comma 2 14" xfId="279"/>
    <cellStyle name="Comma 2 15" xfId="280"/>
    <cellStyle name="Comma 2 16" xfId="281"/>
    <cellStyle name="Comma 2 17" xfId="282"/>
    <cellStyle name="Comma 2 18" xfId="283"/>
    <cellStyle name="Comma 2 19" xfId="284"/>
    <cellStyle name="Comma 2 2" xfId="285"/>
    <cellStyle name="Comma 2 2 10" xfId="286"/>
    <cellStyle name="Comma 2 2 11" xfId="287"/>
    <cellStyle name="Comma 2 2 12" xfId="288"/>
    <cellStyle name="Comma 2 2 13" xfId="289"/>
    <cellStyle name="Comma 2 2 14" xfId="290"/>
    <cellStyle name="Comma 2 2 15" xfId="291"/>
    <cellStyle name="Comma 2 2 16" xfId="292"/>
    <cellStyle name="Comma 2 2 17" xfId="293"/>
    <cellStyle name="Comma 2 2 18" xfId="294"/>
    <cellStyle name="Comma 2 2 19" xfId="295"/>
    <cellStyle name="Comma 2 2 2" xfId="296"/>
    <cellStyle name="Comma 2 2 2 10" xfId="297"/>
    <cellStyle name="Comma 2 2 2 11" xfId="298"/>
    <cellStyle name="Comma 2 2 2 12" xfId="299"/>
    <cellStyle name="Comma 2 2 2 13" xfId="300"/>
    <cellStyle name="Comma 2 2 2 14" xfId="301"/>
    <cellStyle name="Comma 2 2 2 15" xfId="302"/>
    <cellStyle name="Comma 2 2 2 16" xfId="303"/>
    <cellStyle name="Comma 2 2 2 17" xfId="304"/>
    <cellStyle name="Comma 2 2 2 18" xfId="305"/>
    <cellStyle name="Comma 2 2 2 2" xfId="306"/>
    <cellStyle name="Comma 2 2 2 2 2" xfId="307"/>
    <cellStyle name="Comma 2 2 2 2 2 2" xfId="308"/>
    <cellStyle name="Comma 2 2 2 2 2 3" xfId="309"/>
    <cellStyle name="Comma 2 2 2 2 2 4" xfId="310"/>
    <cellStyle name="Comma 2 2 2 2 2 5" xfId="311"/>
    <cellStyle name="Comma 2 2 2 2 2 6" xfId="312"/>
    <cellStyle name="Comma 2 2 2 2 2 7" xfId="313"/>
    <cellStyle name="Comma 2 2 2 2 3" xfId="314"/>
    <cellStyle name="Comma 2 2 2 2 4" xfId="315"/>
    <cellStyle name="Comma 2 2 2 2 5" xfId="316"/>
    <cellStyle name="Comma 2 2 2 2 6" xfId="317"/>
    <cellStyle name="Comma 2 2 2 2 7" xfId="318"/>
    <cellStyle name="Comma 2 2 2 2 8" xfId="319"/>
    <cellStyle name="Comma 2 2 2 3" xfId="320"/>
    <cellStyle name="Comma 2 2 2 4" xfId="321"/>
    <cellStyle name="Comma 2 2 2 5" xfId="322"/>
    <cellStyle name="Comma 2 2 2 5 2" xfId="323"/>
    <cellStyle name="Comma 2 2 2 5 3" xfId="324"/>
    <cellStyle name="Comma 2 2 2 5 4" xfId="325"/>
    <cellStyle name="Comma 2 2 2 5 5" xfId="326"/>
    <cellStyle name="Comma 2 2 2 5 6" xfId="327"/>
    <cellStyle name="Comma 2 2 2 5 7" xfId="328"/>
    <cellStyle name="Comma 2 2 2 6" xfId="329"/>
    <cellStyle name="Comma 2 2 2 7" xfId="330"/>
    <cellStyle name="Comma 2 2 2 8" xfId="331"/>
    <cellStyle name="Comma 2 2 2 9" xfId="332"/>
    <cellStyle name="Comma 2 2 3" xfId="333"/>
    <cellStyle name="Comma 2 2 4" xfId="334"/>
    <cellStyle name="Comma 2 2 4 2" xfId="335"/>
    <cellStyle name="Comma 2 2 4 2 2" xfId="336"/>
    <cellStyle name="Comma 2 2 4 2 3" xfId="337"/>
    <cellStyle name="Comma 2 2 4 2 4" xfId="338"/>
    <cellStyle name="Comma 2 2 4 2 5" xfId="339"/>
    <cellStyle name="Comma 2 2 4 2 6" xfId="340"/>
    <cellStyle name="Comma 2 2 4 2 7" xfId="341"/>
    <cellStyle name="Comma 2 2 4 3" xfId="342"/>
    <cellStyle name="Comma 2 2 4 4" xfId="343"/>
    <cellStyle name="Comma 2 2 4 5" xfId="344"/>
    <cellStyle name="Comma 2 2 4 6" xfId="345"/>
    <cellStyle name="Comma 2 2 4 7" xfId="346"/>
    <cellStyle name="Comma 2 2 4 8" xfId="347"/>
    <cellStyle name="Comma 2 2 5" xfId="348"/>
    <cellStyle name="Comma 2 2 6" xfId="349"/>
    <cellStyle name="Comma 2 2 6 2" xfId="350"/>
    <cellStyle name="Comma 2 2 6 3" xfId="351"/>
    <cellStyle name="Comma 2 2 6 4" xfId="352"/>
    <cellStyle name="Comma 2 2 6 5" xfId="353"/>
    <cellStyle name="Comma 2 2 6 6" xfId="354"/>
    <cellStyle name="Comma 2 2 6 7" xfId="355"/>
    <cellStyle name="Comma 2 2 7" xfId="356"/>
    <cellStyle name="Comma 2 2 8" xfId="357"/>
    <cellStyle name="Comma 2 2 9" xfId="358"/>
    <cellStyle name="Comma 2 2_Opex Input" xfId="359"/>
    <cellStyle name="Comma 2 20" xfId="360"/>
    <cellStyle name="Comma 2 21" xfId="1391"/>
    <cellStyle name="Comma 2 3" xfId="361"/>
    <cellStyle name="Comma 2 3 2" xfId="362"/>
    <cellStyle name="Comma 2 3 2 2" xfId="363"/>
    <cellStyle name="Comma 2 3 3" xfId="364"/>
    <cellStyle name="Comma 2 4" xfId="365"/>
    <cellStyle name="Comma 2 5" xfId="366"/>
    <cellStyle name="Comma 2 6" xfId="367"/>
    <cellStyle name="Comma 2 7" xfId="368"/>
    <cellStyle name="Comma 2 8" xfId="369"/>
    <cellStyle name="Comma 2 9" xfId="370"/>
    <cellStyle name="Comma 2_2.11 Staff NG BS" xfId="1349"/>
    <cellStyle name="Comma 3" xfId="371"/>
    <cellStyle name="Comma 3 13" xfId="1350"/>
    <cellStyle name="Comma 3 2" xfId="372"/>
    <cellStyle name="Comma 3 2 2" xfId="373"/>
    <cellStyle name="Comma 3 2 3" xfId="374"/>
    <cellStyle name="Comma 3 3" xfId="375"/>
    <cellStyle name="Comma 3 3 2" xfId="1351"/>
    <cellStyle name="Comma 3_Asset Health Themes (2)" xfId="376"/>
    <cellStyle name="Comma 4" xfId="377"/>
    <cellStyle name="Comma 5" xfId="378"/>
    <cellStyle name="Comma 6" xfId="48"/>
    <cellStyle name="Comma 7" xfId="379"/>
    <cellStyle name="Comma 8" xfId="380"/>
    <cellStyle name="Comma 8 2" xfId="381"/>
    <cellStyle name="Comma 8 3" xfId="382"/>
    <cellStyle name="Comma 9" xfId="383"/>
    <cellStyle name="Comment" xfId="8"/>
    <cellStyle name="Currency" xfId="10" builtinId="4" hidden="1"/>
    <cellStyle name="Currency [0]" xfId="11" builtinId="7" hidden="1"/>
    <cellStyle name="Date" xfId="384"/>
    <cellStyle name="Date 2" xfId="385"/>
    <cellStyle name="Date_0910 GSO Capex RRP - Final (Detail) v2 220710" xfId="386"/>
    <cellStyle name="Dezimal [0]_Compiling Utility Macros" xfId="387"/>
    <cellStyle name="Dezimal_Compiling Utility Macros" xfId="388"/>
    <cellStyle name="Emphasis 1" xfId="389"/>
    <cellStyle name="Emphasis 2" xfId="390"/>
    <cellStyle name="Emphasis 3" xfId="391"/>
    <cellStyle name="Euro" xfId="392"/>
    <cellStyle name="Explanatory Text" xfId="42" builtinId="53" hidden="1"/>
    <cellStyle name="Explanatory Text 2" xfId="393"/>
    <cellStyle name="Explanatory Text 3" xfId="394"/>
    <cellStyle name="Good" xfId="36" builtinId="26" hidden="1"/>
    <cellStyle name="Good 2" xfId="395"/>
    <cellStyle name="Good 3" xfId="396"/>
    <cellStyle name="GreyOrWhite" xfId="397"/>
    <cellStyle name="GreyOrWhite 2" xfId="398"/>
    <cellStyle name="GreyOrWhite 2 2" xfId="399"/>
    <cellStyle name="GreyOrWhite 2 3" xfId="400"/>
    <cellStyle name="GreyOrWhite 2 4" xfId="401"/>
    <cellStyle name="GreyOrWhite 2 5" xfId="402"/>
    <cellStyle name="GreyOrWhite 2 6" xfId="403"/>
    <cellStyle name="GreyOrWhite 2 7" xfId="404"/>
    <cellStyle name="GreyOrWhite 2 8" xfId="405"/>
    <cellStyle name="Heading 1 2" xfId="406"/>
    <cellStyle name="Heading 1 3" xfId="407"/>
    <cellStyle name="Heading 2 2" xfId="408"/>
    <cellStyle name="Heading 2 3" xfId="409"/>
    <cellStyle name="Heading 3 2" xfId="410"/>
    <cellStyle name="Heading 3 3" xfId="411"/>
    <cellStyle name="Heading 4 2" xfId="412"/>
    <cellStyle name="Heading 4 3" xfId="413"/>
    <cellStyle name="Hyperlink" xfId="4" builtinId="8" hidden="1"/>
    <cellStyle name="Hyperlink" xfId="55" builtinId="8"/>
    <cellStyle name="Input" xfId="39" builtinId="20" hidden="1"/>
    <cellStyle name="Input 2" xfId="414"/>
    <cellStyle name="Input 3" xfId="415"/>
    <cellStyle name="InputData" xfId="416"/>
    <cellStyle name="Level 1" xfId="5"/>
    <cellStyle name="Level 2" xfId="6"/>
    <cellStyle name="Level 3" xfId="7"/>
    <cellStyle name="Level 4" xfId="3"/>
    <cellStyle name="Linked Cell 2" xfId="417"/>
    <cellStyle name="Linked Cell 3" xfId="418"/>
    <cellStyle name="Main Heading" xfId="419"/>
    <cellStyle name="Neutral" xfId="38" builtinId="28" hidden="1"/>
    <cellStyle name="Neutral 2" xfId="420"/>
    <cellStyle name="Neutral 3" xfId="421"/>
    <cellStyle name="Normal" xfId="0" builtinId="0"/>
    <cellStyle name="Normal 10" xfId="422"/>
    <cellStyle name="Normal 11" xfId="423"/>
    <cellStyle name="Normal 11 2" xfId="424"/>
    <cellStyle name="Normal 12" xfId="425"/>
    <cellStyle name="Normal 12 2" xfId="426"/>
    <cellStyle name="Normal 13" xfId="427"/>
    <cellStyle name="Normal 13 2" xfId="49"/>
    <cellStyle name="Normal 13 2 10" xfId="1340"/>
    <cellStyle name="Normal 13 2 2" xfId="1352"/>
    <cellStyle name="Normal 14" xfId="46"/>
    <cellStyle name="Normal 14 2 10" xfId="1341"/>
    <cellStyle name="Normal 15" xfId="44"/>
    <cellStyle name="Normal 16" xfId="428"/>
    <cellStyle name="Normal 17" xfId="429"/>
    <cellStyle name="Normal 18" xfId="430"/>
    <cellStyle name="Normal 19" xfId="431"/>
    <cellStyle name="Normal 2" xfId="432"/>
    <cellStyle name="Normal 2 10" xfId="433"/>
    <cellStyle name="Normal 2 11" xfId="434"/>
    <cellStyle name="Normal 2 12" xfId="435"/>
    <cellStyle name="Normal 2 13" xfId="436"/>
    <cellStyle name="Normal 2 14" xfId="437"/>
    <cellStyle name="Normal 2 15" xfId="438"/>
    <cellStyle name="Normal 2 16" xfId="439"/>
    <cellStyle name="Normal 2 17" xfId="440"/>
    <cellStyle name="Normal 2 18" xfId="441"/>
    <cellStyle name="Normal 2 19" xfId="442"/>
    <cellStyle name="Normal 2 2" xfId="443"/>
    <cellStyle name="Normal 2 2 10" xfId="444"/>
    <cellStyle name="Normal 2 2 11" xfId="445"/>
    <cellStyle name="Normal 2 2 11 2" xfId="446"/>
    <cellStyle name="Normal 2 2 11 2 2" xfId="447"/>
    <cellStyle name="Normal 2 2 11 2 3" xfId="448"/>
    <cellStyle name="Normal 2 2 11 2 4" xfId="449"/>
    <cellStyle name="Normal 2 2 11 2 5" xfId="450"/>
    <cellStyle name="Normal 2 2 11 2 6" xfId="451"/>
    <cellStyle name="Normal 2 2 11 2 7" xfId="452"/>
    <cellStyle name="Normal 2 2 11 3" xfId="453"/>
    <cellStyle name="Normal 2 2 11 4" xfId="454"/>
    <cellStyle name="Normal 2 2 11 5" xfId="455"/>
    <cellStyle name="Normal 2 2 11 6" xfId="456"/>
    <cellStyle name="Normal 2 2 11 7" xfId="457"/>
    <cellStyle name="Normal 2 2 11 8" xfId="458"/>
    <cellStyle name="Normal 2 2 12" xfId="459"/>
    <cellStyle name="Normal 2 2 13" xfId="460"/>
    <cellStyle name="Normal 2 2 13 2" xfId="461"/>
    <cellStyle name="Normal 2 2 13 3" xfId="462"/>
    <cellStyle name="Normal 2 2 13 4" xfId="463"/>
    <cellStyle name="Normal 2 2 13 5" xfId="464"/>
    <cellStyle name="Normal 2 2 13 6" xfId="465"/>
    <cellStyle name="Normal 2 2 13 7" xfId="466"/>
    <cellStyle name="Normal 2 2 14" xfId="467"/>
    <cellStyle name="Normal 2 2 15" xfId="468"/>
    <cellStyle name="Normal 2 2 16" xfId="469"/>
    <cellStyle name="Normal 2 2 17" xfId="470"/>
    <cellStyle name="Normal 2 2 18" xfId="471"/>
    <cellStyle name="Normal 2 2 19" xfId="472"/>
    <cellStyle name="Normal 2 2 2" xfId="473"/>
    <cellStyle name="Normal 2 2 2 10" xfId="474"/>
    <cellStyle name="Normal 2 2 2 11" xfId="475"/>
    <cellStyle name="Normal 2 2 2 11 2" xfId="476"/>
    <cellStyle name="Normal 2 2 2 11 2 2" xfId="477"/>
    <cellStyle name="Normal 2 2 2 11 2 3" xfId="478"/>
    <cellStyle name="Normal 2 2 2 11 2 4" xfId="479"/>
    <cellStyle name="Normal 2 2 2 11 2 5" xfId="480"/>
    <cellStyle name="Normal 2 2 2 11 2 6" xfId="481"/>
    <cellStyle name="Normal 2 2 2 11 2 7" xfId="482"/>
    <cellStyle name="Normal 2 2 2 11 3" xfId="483"/>
    <cellStyle name="Normal 2 2 2 11 4" xfId="484"/>
    <cellStyle name="Normal 2 2 2 11 5" xfId="485"/>
    <cellStyle name="Normal 2 2 2 11 6" xfId="486"/>
    <cellStyle name="Normal 2 2 2 11 7" xfId="487"/>
    <cellStyle name="Normal 2 2 2 11 8" xfId="488"/>
    <cellStyle name="Normal 2 2 2 12" xfId="489"/>
    <cellStyle name="Normal 2 2 2 13" xfId="490"/>
    <cellStyle name="Normal 2 2 2 13 2" xfId="491"/>
    <cellStyle name="Normal 2 2 2 13 3" xfId="492"/>
    <cellStyle name="Normal 2 2 2 13 4" xfId="493"/>
    <cellStyle name="Normal 2 2 2 13 5" xfId="494"/>
    <cellStyle name="Normal 2 2 2 13 6" xfId="495"/>
    <cellStyle name="Normal 2 2 2 13 7" xfId="496"/>
    <cellStyle name="Normal 2 2 2 14" xfId="497"/>
    <cellStyle name="Normal 2 2 2 15" xfId="498"/>
    <cellStyle name="Normal 2 2 2 16" xfId="499"/>
    <cellStyle name="Normal 2 2 2 17" xfId="500"/>
    <cellStyle name="Normal 2 2 2 18" xfId="501"/>
    <cellStyle name="Normal 2 2 2 19" xfId="502"/>
    <cellStyle name="Normal 2 2 2 2" xfId="503"/>
    <cellStyle name="Normal 2 2 2 2 10" xfId="504"/>
    <cellStyle name="Normal 2 2 2 2 11" xfId="505"/>
    <cellStyle name="Normal 2 2 2 2 11 2" xfId="506"/>
    <cellStyle name="Normal 2 2 2 2 11 3" xfId="507"/>
    <cellStyle name="Normal 2 2 2 2 11 4" xfId="508"/>
    <cellStyle name="Normal 2 2 2 2 11 5" xfId="509"/>
    <cellStyle name="Normal 2 2 2 2 11 6" xfId="510"/>
    <cellStyle name="Normal 2 2 2 2 11 7" xfId="511"/>
    <cellStyle name="Normal 2 2 2 2 12" xfId="512"/>
    <cellStyle name="Normal 2 2 2 2 13" xfId="513"/>
    <cellStyle name="Normal 2 2 2 2 14" xfId="514"/>
    <cellStyle name="Normal 2 2 2 2 15" xfId="515"/>
    <cellStyle name="Normal 2 2 2 2 16" xfId="516"/>
    <cellStyle name="Normal 2 2 2 2 17" xfId="517"/>
    <cellStyle name="Normal 2 2 2 2 18" xfId="518"/>
    <cellStyle name="Normal 2 2 2 2 19" xfId="519"/>
    <cellStyle name="Normal 2 2 2 2 2" xfId="520"/>
    <cellStyle name="Normal 2 2 2 2 2 10" xfId="521"/>
    <cellStyle name="Normal 2 2 2 2 2 11" xfId="522"/>
    <cellStyle name="Normal 2 2 2 2 2 11 2" xfId="523"/>
    <cellStyle name="Normal 2 2 2 2 2 11 3" xfId="524"/>
    <cellStyle name="Normal 2 2 2 2 2 11 4" xfId="525"/>
    <cellStyle name="Normal 2 2 2 2 2 11 5" xfId="526"/>
    <cellStyle name="Normal 2 2 2 2 2 11 6" xfId="527"/>
    <cellStyle name="Normal 2 2 2 2 2 11 7" xfId="528"/>
    <cellStyle name="Normal 2 2 2 2 2 12" xfId="529"/>
    <cellStyle name="Normal 2 2 2 2 2 13" xfId="530"/>
    <cellStyle name="Normal 2 2 2 2 2 14" xfId="531"/>
    <cellStyle name="Normal 2 2 2 2 2 15" xfId="532"/>
    <cellStyle name="Normal 2 2 2 2 2 16" xfId="533"/>
    <cellStyle name="Normal 2 2 2 2 2 17" xfId="534"/>
    <cellStyle name="Normal 2 2 2 2 2 18" xfId="535"/>
    <cellStyle name="Normal 2 2 2 2 2 19" xfId="536"/>
    <cellStyle name="Normal 2 2 2 2 2 2" xfId="537"/>
    <cellStyle name="Normal 2 2 2 2 2 2 10" xfId="538"/>
    <cellStyle name="Normal 2 2 2 2 2 2 10 2" xfId="539"/>
    <cellStyle name="Normal 2 2 2 2 2 2 10 3" xfId="540"/>
    <cellStyle name="Normal 2 2 2 2 2 2 10 4" xfId="541"/>
    <cellStyle name="Normal 2 2 2 2 2 2 10 5" xfId="542"/>
    <cellStyle name="Normal 2 2 2 2 2 2 10 6" xfId="543"/>
    <cellStyle name="Normal 2 2 2 2 2 2 10 7" xfId="544"/>
    <cellStyle name="Normal 2 2 2 2 2 2 11" xfId="545"/>
    <cellStyle name="Normal 2 2 2 2 2 2 12" xfId="546"/>
    <cellStyle name="Normal 2 2 2 2 2 2 13" xfId="547"/>
    <cellStyle name="Normal 2 2 2 2 2 2 14" xfId="548"/>
    <cellStyle name="Normal 2 2 2 2 2 2 15" xfId="549"/>
    <cellStyle name="Normal 2 2 2 2 2 2 16" xfId="550"/>
    <cellStyle name="Normal 2 2 2 2 2 2 17" xfId="551"/>
    <cellStyle name="Normal 2 2 2 2 2 2 18" xfId="552"/>
    <cellStyle name="Normal 2 2 2 2 2 2 19" xfId="553"/>
    <cellStyle name="Normal 2 2 2 2 2 2 2" xfId="554"/>
    <cellStyle name="Normal 2 2 2 2 2 2 2 10" xfId="555"/>
    <cellStyle name="Normal 2 2 2 2 2 2 2 10 2" xfId="556"/>
    <cellStyle name="Normal 2 2 2 2 2 2 2 10 3" xfId="557"/>
    <cellStyle name="Normal 2 2 2 2 2 2 2 10 4" xfId="558"/>
    <cellStyle name="Normal 2 2 2 2 2 2 2 10 5" xfId="559"/>
    <cellStyle name="Normal 2 2 2 2 2 2 2 10 6" xfId="560"/>
    <cellStyle name="Normal 2 2 2 2 2 2 2 10 7" xfId="561"/>
    <cellStyle name="Normal 2 2 2 2 2 2 2 11" xfId="562"/>
    <cellStyle name="Normal 2 2 2 2 2 2 2 12" xfId="563"/>
    <cellStyle name="Normal 2 2 2 2 2 2 2 13" xfId="564"/>
    <cellStyle name="Normal 2 2 2 2 2 2 2 14" xfId="565"/>
    <cellStyle name="Normal 2 2 2 2 2 2 2 15" xfId="566"/>
    <cellStyle name="Normal 2 2 2 2 2 2 2 16" xfId="567"/>
    <cellStyle name="Normal 2 2 2 2 2 2 2 17" xfId="568"/>
    <cellStyle name="Normal 2 2 2 2 2 2 2 18" xfId="569"/>
    <cellStyle name="Normal 2 2 2 2 2 2 2 19" xfId="570"/>
    <cellStyle name="Normal 2 2 2 2 2 2 2 2" xfId="571"/>
    <cellStyle name="Normal 2 2 2 2 2 2 2 2 10" xfId="572"/>
    <cellStyle name="Normal 2 2 2 2 2 2 2 2 11" xfId="573"/>
    <cellStyle name="Normal 2 2 2 2 2 2 2 2 12" xfId="574"/>
    <cellStyle name="Normal 2 2 2 2 2 2 2 2 13" xfId="575"/>
    <cellStyle name="Normal 2 2 2 2 2 2 2 2 14" xfId="576"/>
    <cellStyle name="Normal 2 2 2 2 2 2 2 2 15" xfId="577"/>
    <cellStyle name="Normal 2 2 2 2 2 2 2 2 16" xfId="578"/>
    <cellStyle name="Normal 2 2 2 2 2 2 2 2 17" xfId="579"/>
    <cellStyle name="Normal 2 2 2 2 2 2 2 2 18" xfId="580"/>
    <cellStyle name="Normal 2 2 2 2 2 2 2 2 19" xfId="581"/>
    <cellStyle name="Normal 2 2 2 2 2 2 2 2 2" xfId="582"/>
    <cellStyle name="Normal 2 2 2 2 2 2 2 2 2 10" xfId="583"/>
    <cellStyle name="Normal 2 2 2 2 2 2 2 2 2 11" xfId="584"/>
    <cellStyle name="Normal 2 2 2 2 2 2 2 2 2 12" xfId="585"/>
    <cellStyle name="Normal 2 2 2 2 2 2 2 2 2 13" xfId="586"/>
    <cellStyle name="Normal 2 2 2 2 2 2 2 2 2 14" xfId="587"/>
    <cellStyle name="Normal 2 2 2 2 2 2 2 2 2 15" xfId="588"/>
    <cellStyle name="Normal 2 2 2 2 2 2 2 2 2 16" xfId="589"/>
    <cellStyle name="Normal 2 2 2 2 2 2 2 2 2 17" xfId="590"/>
    <cellStyle name="Normal 2 2 2 2 2 2 2 2 2 18" xfId="591"/>
    <cellStyle name="Normal 2 2 2 2 2 2 2 2 2 19" xfId="592"/>
    <cellStyle name="Normal 2 2 2 2 2 2 2 2 2 2" xfId="593"/>
    <cellStyle name="Normal 2 2 2 2 2 2 2 2 2 2 10" xfId="594"/>
    <cellStyle name="Normal 2 2 2 2 2 2 2 2 2 2 11" xfId="595"/>
    <cellStyle name="Normal 2 2 2 2 2 2 2 2 2 2 12" xfId="596"/>
    <cellStyle name="Normal 2 2 2 2 2 2 2 2 2 2 13" xfId="597"/>
    <cellStyle name="Normal 2 2 2 2 2 2 2 2 2 2 14" xfId="598"/>
    <cellStyle name="Normal 2 2 2 2 2 2 2 2 2 2 15" xfId="599"/>
    <cellStyle name="Normal 2 2 2 2 2 2 2 2 2 2 16" xfId="600"/>
    <cellStyle name="Normal 2 2 2 2 2 2 2 2 2 2 17" xfId="601"/>
    <cellStyle name="Normal 2 2 2 2 2 2 2 2 2 2 18" xfId="602"/>
    <cellStyle name="Normal 2 2 2 2 2 2 2 2 2 2 2" xfId="603"/>
    <cellStyle name="Normal 2 2 2 2 2 2 2 2 2 2 2 2" xfId="604"/>
    <cellStyle name="Normal 2 2 2 2 2 2 2 2 2 2 2 2 2" xfId="605"/>
    <cellStyle name="Normal 2 2 2 2 2 2 2 2 2 2 2 2 3" xfId="606"/>
    <cellStyle name="Normal 2 2 2 2 2 2 2 2 2 2 2 2 4" xfId="607"/>
    <cellStyle name="Normal 2 2 2 2 2 2 2 2 2 2 2 2 5" xfId="608"/>
    <cellStyle name="Normal 2 2 2 2 2 2 2 2 2 2 2 2 6" xfId="609"/>
    <cellStyle name="Normal 2 2 2 2 2 2 2 2 2 2 2 2 7" xfId="610"/>
    <cellStyle name="Normal 2 2 2 2 2 2 2 2 2 2 2 3" xfId="611"/>
    <cellStyle name="Normal 2 2 2 2 2 2 2 2 2 2 2 4" xfId="612"/>
    <cellStyle name="Normal 2 2 2 2 2 2 2 2 2 2 2 5" xfId="613"/>
    <cellStyle name="Normal 2 2 2 2 2 2 2 2 2 2 2 6" xfId="614"/>
    <cellStyle name="Normal 2 2 2 2 2 2 2 2 2 2 2 7" xfId="615"/>
    <cellStyle name="Normal 2 2 2 2 2 2 2 2 2 2 2 8" xfId="616"/>
    <cellStyle name="Normal 2 2 2 2 2 2 2 2 2 2 3" xfId="617"/>
    <cellStyle name="Normal 2 2 2 2 2 2 2 2 2 2 4" xfId="618"/>
    <cellStyle name="Normal 2 2 2 2 2 2 2 2 2 2 5" xfId="619"/>
    <cellStyle name="Normal 2 2 2 2 2 2 2 2 2 2 5 2" xfId="620"/>
    <cellStyle name="Normal 2 2 2 2 2 2 2 2 2 2 5 3" xfId="621"/>
    <cellStyle name="Normal 2 2 2 2 2 2 2 2 2 2 5 4" xfId="622"/>
    <cellStyle name="Normal 2 2 2 2 2 2 2 2 2 2 5 5" xfId="623"/>
    <cellStyle name="Normal 2 2 2 2 2 2 2 2 2 2 5 6" xfId="624"/>
    <cellStyle name="Normal 2 2 2 2 2 2 2 2 2 2 5 7" xfId="625"/>
    <cellStyle name="Normal 2 2 2 2 2 2 2 2 2 2 6" xfId="626"/>
    <cellStyle name="Normal 2 2 2 2 2 2 2 2 2 2 7" xfId="627"/>
    <cellStyle name="Normal 2 2 2 2 2 2 2 2 2 2 8" xfId="628"/>
    <cellStyle name="Normal 2 2 2 2 2 2 2 2 2 2 9" xfId="629"/>
    <cellStyle name="Normal 2 2 2 2 2 2 2 2 2 3" xfId="630"/>
    <cellStyle name="Normal 2 2 2 2 2 2 2 2 2 4" xfId="631"/>
    <cellStyle name="Normal 2 2 2 2 2 2 2 2 2 4 2" xfId="632"/>
    <cellStyle name="Normal 2 2 2 2 2 2 2 2 2 4 2 2" xfId="633"/>
    <cellStyle name="Normal 2 2 2 2 2 2 2 2 2 4 2 3" xfId="634"/>
    <cellStyle name="Normal 2 2 2 2 2 2 2 2 2 4 2 4" xfId="635"/>
    <cellStyle name="Normal 2 2 2 2 2 2 2 2 2 4 2 5" xfId="636"/>
    <cellStyle name="Normal 2 2 2 2 2 2 2 2 2 4 2 6" xfId="637"/>
    <cellStyle name="Normal 2 2 2 2 2 2 2 2 2 4 2 7" xfId="638"/>
    <cellStyle name="Normal 2 2 2 2 2 2 2 2 2 4 3" xfId="639"/>
    <cellStyle name="Normal 2 2 2 2 2 2 2 2 2 4 4" xfId="640"/>
    <cellStyle name="Normal 2 2 2 2 2 2 2 2 2 4 5" xfId="641"/>
    <cellStyle name="Normal 2 2 2 2 2 2 2 2 2 4 6" xfId="642"/>
    <cellStyle name="Normal 2 2 2 2 2 2 2 2 2 4 7" xfId="643"/>
    <cellStyle name="Normal 2 2 2 2 2 2 2 2 2 4 8" xfId="644"/>
    <cellStyle name="Normal 2 2 2 2 2 2 2 2 2 5" xfId="645"/>
    <cellStyle name="Normal 2 2 2 2 2 2 2 2 2 6" xfId="646"/>
    <cellStyle name="Normal 2 2 2 2 2 2 2 2 2 6 2" xfId="647"/>
    <cellStyle name="Normal 2 2 2 2 2 2 2 2 2 6 3" xfId="648"/>
    <cellStyle name="Normal 2 2 2 2 2 2 2 2 2 6 4" xfId="649"/>
    <cellStyle name="Normal 2 2 2 2 2 2 2 2 2 6 5" xfId="650"/>
    <cellStyle name="Normal 2 2 2 2 2 2 2 2 2 6 6" xfId="651"/>
    <cellStyle name="Normal 2 2 2 2 2 2 2 2 2 6 7" xfId="652"/>
    <cellStyle name="Normal 2 2 2 2 2 2 2 2 2 7" xfId="653"/>
    <cellStyle name="Normal 2 2 2 2 2 2 2 2 2 8" xfId="654"/>
    <cellStyle name="Normal 2 2 2 2 2 2 2 2 2 9" xfId="655"/>
    <cellStyle name="Normal 2 2 2 2 2 2 2 2 2_Opex Input" xfId="656"/>
    <cellStyle name="Normal 2 2 2 2 2 2 2 2 20" xfId="657"/>
    <cellStyle name="Normal 2 2 2 2 2 2 2 2 3" xfId="658"/>
    <cellStyle name="Normal 2 2 2 2 2 2 2 2 4" xfId="659"/>
    <cellStyle name="Normal 2 2 2 2 2 2 2 2 5" xfId="660"/>
    <cellStyle name="Normal 2 2 2 2 2 2 2 2 5 2" xfId="661"/>
    <cellStyle name="Normal 2 2 2 2 2 2 2 2 5 2 2" xfId="662"/>
    <cellStyle name="Normal 2 2 2 2 2 2 2 2 5 2 3" xfId="663"/>
    <cellStyle name="Normal 2 2 2 2 2 2 2 2 5 2 4" xfId="664"/>
    <cellStyle name="Normal 2 2 2 2 2 2 2 2 5 2 5" xfId="665"/>
    <cellStyle name="Normal 2 2 2 2 2 2 2 2 5 2 6" xfId="666"/>
    <cellStyle name="Normal 2 2 2 2 2 2 2 2 5 2 7" xfId="667"/>
    <cellStyle name="Normal 2 2 2 2 2 2 2 2 5 3" xfId="668"/>
    <cellStyle name="Normal 2 2 2 2 2 2 2 2 5 4" xfId="669"/>
    <cellStyle name="Normal 2 2 2 2 2 2 2 2 5 5" xfId="670"/>
    <cellStyle name="Normal 2 2 2 2 2 2 2 2 5 6" xfId="671"/>
    <cellStyle name="Normal 2 2 2 2 2 2 2 2 5 7" xfId="672"/>
    <cellStyle name="Normal 2 2 2 2 2 2 2 2 5 8" xfId="673"/>
    <cellStyle name="Normal 2 2 2 2 2 2 2 2 6" xfId="674"/>
    <cellStyle name="Normal 2 2 2 2 2 2 2 2 7" xfId="675"/>
    <cellStyle name="Normal 2 2 2 2 2 2 2 2 7 2" xfId="676"/>
    <cellStyle name="Normal 2 2 2 2 2 2 2 2 7 3" xfId="677"/>
    <cellStyle name="Normal 2 2 2 2 2 2 2 2 7 4" xfId="678"/>
    <cellStyle name="Normal 2 2 2 2 2 2 2 2 7 5" xfId="679"/>
    <cellStyle name="Normal 2 2 2 2 2 2 2 2 7 6" xfId="680"/>
    <cellStyle name="Normal 2 2 2 2 2 2 2 2 7 7" xfId="681"/>
    <cellStyle name="Normal 2 2 2 2 2 2 2 2 8" xfId="682"/>
    <cellStyle name="Normal 2 2 2 2 2 2 2 2 9" xfId="683"/>
    <cellStyle name="Normal 2 2 2 2 2 2 2 2_ELEC SAP FCST UPLOAD" xfId="684"/>
    <cellStyle name="Normal 2 2 2 2 2 2 2 20" xfId="685"/>
    <cellStyle name="Normal 2 2 2 2 2 2 2 21" xfId="686"/>
    <cellStyle name="Normal 2 2 2 2 2 2 2 22" xfId="687"/>
    <cellStyle name="Normal 2 2 2 2 2 2 2 23" xfId="688"/>
    <cellStyle name="Normal 2 2 2 2 2 2 2 3" xfId="689"/>
    <cellStyle name="Normal 2 2 2 2 2 2 2 4" xfId="690"/>
    <cellStyle name="Normal 2 2 2 2 2 2 2 5" xfId="691"/>
    <cellStyle name="Normal 2 2 2 2 2 2 2 6" xfId="692"/>
    <cellStyle name="Normal 2 2 2 2 2 2 2 7" xfId="693"/>
    <cellStyle name="Normal 2 2 2 2 2 2 2 8" xfId="694"/>
    <cellStyle name="Normal 2 2 2 2 2 2 2 8 2" xfId="695"/>
    <cellStyle name="Normal 2 2 2 2 2 2 2 8 2 2" xfId="696"/>
    <cellStyle name="Normal 2 2 2 2 2 2 2 8 2 3" xfId="697"/>
    <cellStyle name="Normal 2 2 2 2 2 2 2 8 2 4" xfId="698"/>
    <cellStyle name="Normal 2 2 2 2 2 2 2 8 2 5" xfId="699"/>
    <cellStyle name="Normal 2 2 2 2 2 2 2 8 2 6" xfId="700"/>
    <cellStyle name="Normal 2 2 2 2 2 2 2 8 2 7" xfId="701"/>
    <cellStyle name="Normal 2 2 2 2 2 2 2 8 3" xfId="702"/>
    <cellStyle name="Normal 2 2 2 2 2 2 2 8 4" xfId="703"/>
    <cellStyle name="Normal 2 2 2 2 2 2 2 8 5" xfId="704"/>
    <cellStyle name="Normal 2 2 2 2 2 2 2 8 6" xfId="705"/>
    <cellStyle name="Normal 2 2 2 2 2 2 2 8 7" xfId="706"/>
    <cellStyle name="Normal 2 2 2 2 2 2 2 8 8" xfId="707"/>
    <cellStyle name="Normal 2 2 2 2 2 2 2 9" xfId="708"/>
    <cellStyle name="Normal 2 2 2 2 2 2 2_ELEC SAP FCST UPLOAD" xfId="709"/>
    <cellStyle name="Normal 2 2 2 2 2 2 20" xfId="710"/>
    <cellStyle name="Normal 2 2 2 2 2 2 21" xfId="711"/>
    <cellStyle name="Normal 2 2 2 2 2 2 22" xfId="712"/>
    <cellStyle name="Normal 2 2 2 2 2 2 23" xfId="713"/>
    <cellStyle name="Normal 2 2 2 2 2 2 3" xfId="714"/>
    <cellStyle name="Normal 2 2 2 2 2 2 3 2" xfId="715"/>
    <cellStyle name="Normal 2 2 2 2 2 2 3 3" xfId="716"/>
    <cellStyle name="Normal 2 2 2 2 2 2 3_ELEC SAP FCST UPLOAD" xfId="717"/>
    <cellStyle name="Normal 2 2 2 2 2 2 4" xfId="718"/>
    <cellStyle name="Normal 2 2 2 2 2 2 5" xfId="719"/>
    <cellStyle name="Normal 2 2 2 2 2 2 6" xfId="720"/>
    <cellStyle name="Normal 2 2 2 2 2 2 7" xfId="721"/>
    <cellStyle name="Normal 2 2 2 2 2 2 8" xfId="722"/>
    <cellStyle name="Normal 2 2 2 2 2 2 8 2" xfId="723"/>
    <cellStyle name="Normal 2 2 2 2 2 2 8 2 2" xfId="724"/>
    <cellStyle name="Normal 2 2 2 2 2 2 8 2 3" xfId="725"/>
    <cellStyle name="Normal 2 2 2 2 2 2 8 2 4" xfId="726"/>
    <cellStyle name="Normal 2 2 2 2 2 2 8 2 5" xfId="727"/>
    <cellStyle name="Normal 2 2 2 2 2 2 8 2 6" xfId="728"/>
    <cellStyle name="Normal 2 2 2 2 2 2 8 2 7" xfId="729"/>
    <cellStyle name="Normal 2 2 2 2 2 2 8 3" xfId="730"/>
    <cellStyle name="Normal 2 2 2 2 2 2 8 4" xfId="731"/>
    <cellStyle name="Normal 2 2 2 2 2 2 8 5" xfId="732"/>
    <cellStyle name="Normal 2 2 2 2 2 2 8 6" xfId="733"/>
    <cellStyle name="Normal 2 2 2 2 2 2 8 7" xfId="734"/>
    <cellStyle name="Normal 2 2 2 2 2 2 8 8" xfId="735"/>
    <cellStyle name="Normal 2 2 2 2 2 2 9" xfId="736"/>
    <cellStyle name="Normal 2 2 2 2 2 2_ELEC SAP FCST UPLOAD" xfId="737"/>
    <cellStyle name="Normal 2 2 2 2 2 20" xfId="738"/>
    <cellStyle name="Normal 2 2 2 2 2 21" xfId="739"/>
    <cellStyle name="Normal 2 2 2 2 2 22" xfId="740"/>
    <cellStyle name="Normal 2 2 2 2 2 23" xfId="741"/>
    <cellStyle name="Normal 2 2 2 2 2 24" xfId="742"/>
    <cellStyle name="Normal 2 2 2 2 2 3" xfId="743"/>
    <cellStyle name="Normal 2 2 2 2 2 3 2" xfId="744"/>
    <cellStyle name="Normal 2 2 2 2 2 3 3" xfId="745"/>
    <cellStyle name="Normal 2 2 2 2 2 3_ELEC SAP FCST UPLOAD" xfId="746"/>
    <cellStyle name="Normal 2 2 2 2 2 4" xfId="747"/>
    <cellStyle name="Normal 2 2 2 2 2 5" xfId="748"/>
    <cellStyle name="Normal 2 2 2 2 2 6" xfId="749"/>
    <cellStyle name="Normal 2 2 2 2 2 7" xfId="750"/>
    <cellStyle name="Normal 2 2 2 2 2 8" xfId="751"/>
    <cellStyle name="Normal 2 2 2 2 2 9" xfId="752"/>
    <cellStyle name="Normal 2 2 2 2 2 9 2" xfId="753"/>
    <cellStyle name="Normal 2 2 2 2 2 9 2 2" xfId="754"/>
    <cellStyle name="Normal 2 2 2 2 2 9 2 3" xfId="755"/>
    <cellStyle name="Normal 2 2 2 2 2 9 2 4" xfId="756"/>
    <cellStyle name="Normal 2 2 2 2 2 9 2 5" xfId="757"/>
    <cellStyle name="Normal 2 2 2 2 2 9 2 6" xfId="758"/>
    <cellStyle name="Normal 2 2 2 2 2 9 2 7" xfId="759"/>
    <cellStyle name="Normal 2 2 2 2 2 9 3" xfId="760"/>
    <cellStyle name="Normal 2 2 2 2 2 9 4" xfId="761"/>
    <cellStyle name="Normal 2 2 2 2 2 9 5" xfId="762"/>
    <cellStyle name="Normal 2 2 2 2 2 9 6" xfId="763"/>
    <cellStyle name="Normal 2 2 2 2 2 9 7" xfId="764"/>
    <cellStyle name="Normal 2 2 2 2 2 9 8" xfId="765"/>
    <cellStyle name="Normal 2 2 2 2 2_ELEC SAP FCST UPLOAD" xfId="766"/>
    <cellStyle name="Normal 2 2 2 2 20" xfId="767"/>
    <cellStyle name="Normal 2 2 2 2 21" xfId="768"/>
    <cellStyle name="Normal 2 2 2 2 22" xfId="769"/>
    <cellStyle name="Normal 2 2 2 2 23" xfId="770"/>
    <cellStyle name="Normal 2 2 2 2 24" xfId="771"/>
    <cellStyle name="Normal 2 2 2 2 3" xfId="772"/>
    <cellStyle name="Normal 2 2 2 2 3 2" xfId="773"/>
    <cellStyle name="Normal 2 2 2 2 3 2 2" xfId="774"/>
    <cellStyle name="Normal 2 2 2 2 3 2 3" xfId="775"/>
    <cellStyle name="Normal 2 2 2 2 3 2_ELEC SAP FCST UPLOAD" xfId="776"/>
    <cellStyle name="Normal 2 2 2 2 3 3" xfId="777"/>
    <cellStyle name="Normal 2 2 2 2 3 4" xfId="778"/>
    <cellStyle name="Normal 2 2 2 2 3 5" xfId="779"/>
    <cellStyle name="Normal 2 2 2 2 3 6" xfId="780"/>
    <cellStyle name="Normal 2 2 2 2 3_ELEC SAP FCST UPLOAD" xfId="781"/>
    <cellStyle name="Normal 2 2 2 2 4" xfId="782"/>
    <cellStyle name="Normal 2 2 2 2 4 2" xfId="783"/>
    <cellStyle name="Normal 2 2 2 2 4 3" xfId="784"/>
    <cellStyle name="Normal 2 2 2 2 4_ELEC SAP FCST UPLOAD" xfId="785"/>
    <cellStyle name="Normal 2 2 2 2 5" xfId="786"/>
    <cellStyle name="Normal 2 2 2 2 6" xfId="787"/>
    <cellStyle name="Normal 2 2 2 2 7" xfId="788"/>
    <cellStyle name="Normal 2 2 2 2 8" xfId="789"/>
    <cellStyle name="Normal 2 2 2 2 9" xfId="790"/>
    <cellStyle name="Normal 2 2 2 2 9 2" xfId="791"/>
    <cellStyle name="Normal 2 2 2 2 9 2 2" xfId="792"/>
    <cellStyle name="Normal 2 2 2 2 9 2 3" xfId="793"/>
    <cellStyle name="Normal 2 2 2 2 9 2 4" xfId="794"/>
    <cellStyle name="Normal 2 2 2 2 9 2 5" xfId="795"/>
    <cellStyle name="Normal 2 2 2 2 9 2 6" xfId="796"/>
    <cellStyle name="Normal 2 2 2 2 9 2 7" xfId="797"/>
    <cellStyle name="Normal 2 2 2 2 9 3" xfId="798"/>
    <cellStyle name="Normal 2 2 2 2 9 4" xfId="799"/>
    <cellStyle name="Normal 2 2 2 2 9 5" xfId="800"/>
    <cellStyle name="Normal 2 2 2 2 9 6" xfId="801"/>
    <cellStyle name="Normal 2 2 2 2 9 7" xfId="802"/>
    <cellStyle name="Normal 2 2 2 2 9 8" xfId="803"/>
    <cellStyle name="Normal 2 2 2 2_ELEC SAP FCST UPLOAD" xfId="804"/>
    <cellStyle name="Normal 2 2 2 20" xfId="805"/>
    <cellStyle name="Normal 2 2 2 21" xfId="806"/>
    <cellStyle name="Normal 2 2 2 22" xfId="807"/>
    <cellStyle name="Normal 2 2 2 23" xfId="808"/>
    <cellStyle name="Normal 2 2 2 24" xfId="809"/>
    <cellStyle name="Normal 2 2 2 25" xfId="810"/>
    <cellStyle name="Normal 2 2 2 26" xfId="811"/>
    <cellStyle name="Normal 2 2 2 3" xfId="812"/>
    <cellStyle name="Normal 2 2 2 4" xfId="813"/>
    <cellStyle name="Normal 2 2 2 4 2" xfId="814"/>
    <cellStyle name="Normal 2 2 2 4 2 2" xfId="815"/>
    <cellStyle name="Normal 2 2 2 4 2 2 2" xfId="816"/>
    <cellStyle name="Normal 2 2 2 4 2 2 3" xfId="817"/>
    <cellStyle name="Normal 2 2 2 4 2 2_ELEC SAP FCST UPLOAD" xfId="818"/>
    <cellStyle name="Normal 2 2 2 4 2 3" xfId="819"/>
    <cellStyle name="Normal 2 2 2 4 2 4" xfId="820"/>
    <cellStyle name="Normal 2 2 2 4 2 5" xfId="821"/>
    <cellStyle name="Normal 2 2 2 4 2 6" xfId="822"/>
    <cellStyle name="Normal 2 2 2 4 2_ELEC SAP FCST UPLOAD" xfId="823"/>
    <cellStyle name="Normal 2 2 2 4 3" xfId="824"/>
    <cellStyle name="Normal 2 2 2 4 3 2" xfId="825"/>
    <cellStyle name="Normal 2 2 2 4 3 3" xfId="826"/>
    <cellStyle name="Normal 2 2 2 4 3_ELEC SAP FCST UPLOAD" xfId="827"/>
    <cellStyle name="Normal 2 2 2 4 4" xfId="828"/>
    <cellStyle name="Normal 2 2 2 4 5" xfId="829"/>
    <cellStyle name="Normal 2 2 2 4 6" xfId="830"/>
    <cellStyle name="Normal 2 2 2 4_ELEC SAP FCST UPLOAD" xfId="831"/>
    <cellStyle name="Normal 2 2 2 5" xfId="832"/>
    <cellStyle name="Normal 2 2 2 5 2" xfId="833"/>
    <cellStyle name="Normal 2 2 2 5 3" xfId="834"/>
    <cellStyle name="Normal 2 2 2 5_ELEC SAP FCST UPLOAD" xfId="835"/>
    <cellStyle name="Normal 2 2 2 6" xfId="836"/>
    <cellStyle name="Normal 2 2 2 7" xfId="837"/>
    <cellStyle name="Normal 2 2 2 8" xfId="838"/>
    <cellStyle name="Normal 2 2 2 9" xfId="839"/>
    <cellStyle name="Normal 2 2 2_ELEC SAP FCST UPLOAD" xfId="840"/>
    <cellStyle name="Normal 2 2 20" xfId="841"/>
    <cellStyle name="Normal 2 2 21" xfId="842"/>
    <cellStyle name="Normal 2 2 22" xfId="843"/>
    <cellStyle name="Normal 2 2 23" xfId="844"/>
    <cellStyle name="Normal 2 2 24" xfId="845"/>
    <cellStyle name="Normal 2 2 25" xfId="846"/>
    <cellStyle name="Normal 2 2 26" xfId="847"/>
    <cellStyle name="Normal 2 2 3" xfId="848"/>
    <cellStyle name="Normal 2 2 3 2" xfId="849"/>
    <cellStyle name="Normal 2 2 3 2 2" xfId="850"/>
    <cellStyle name="Normal 2 2 3 2 2 2" xfId="851"/>
    <cellStyle name="Normal 2 2 3 2 2 2 2" xfId="852"/>
    <cellStyle name="Normal 2 2 3 2 2 2 2 2" xfId="853"/>
    <cellStyle name="Normal 2 2 3 2 2 2 2 3" xfId="854"/>
    <cellStyle name="Normal 2 2 3 2 2 2 2_ELEC SAP FCST UPLOAD" xfId="855"/>
    <cellStyle name="Normal 2 2 3 2 2 2 3" xfId="856"/>
    <cellStyle name="Normal 2 2 3 2 2 2 4" xfId="857"/>
    <cellStyle name="Normal 2 2 3 2 2 2 5" xfId="858"/>
    <cellStyle name="Normal 2 2 3 2 2 2 6" xfId="859"/>
    <cellStyle name="Normal 2 2 3 2 2 2_ELEC SAP FCST UPLOAD" xfId="860"/>
    <cellStyle name="Normal 2 2 3 2 2 3" xfId="861"/>
    <cellStyle name="Normal 2 2 3 2 2 3 2" xfId="862"/>
    <cellStyle name="Normal 2 2 3 2 2 3 3" xfId="863"/>
    <cellStyle name="Normal 2 2 3 2 2 3_ELEC SAP FCST UPLOAD" xfId="864"/>
    <cellStyle name="Normal 2 2 3 2 2 4" xfId="865"/>
    <cellStyle name="Normal 2 2 3 2 2 5" xfId="866"/>
    <cellStyle name="Normal 2 2 3 2 2 6" xfId="867"/>
    <cellStyle name="Normal 2 2 3 2 2_ELEC SAP FCST UPLOAD" xfId="868"/>
    <cellStyle name="Normal 2 2 3 2 3" xfId="869"/>
    <cellStyle name="Normal 2 2 3 2 3 2" xfId="870"/>
    <cellStyle name="Normal 2 2 3 2 3 3" xfId="871"/>
    <cellStyle name="Normal 2 2 3 2 3_ELEC SAP FCST UPLOAD" xfId="872"/>
    <cellStyle name="Normal 2 2 3 2 4" xfId="873"/>
    <cellStyle name="Normal 2 2 3 2 5" xfId="874"/>
    <cellStyle name="Normal 2 2 3 2 6" xfId="875"/>
    <cellStyle name="Normal 2 2 3 2 7" xfId="876"/>
    <cellStyle name="Normal 2 2 3 2_ELEC SAP FCST UPLOAD" xfId="877"/>
    <cellStyle name="Normal 2 2 3 3" xfId="878"/>
    <cellStyle name="Normal 2 2 3 3 2" xfId="879"/>
    <cellStyle name="Normal 2 2 3 3 2 2" xfId="880"/>
    <cellStyle name="Normal 2 2 3 3 2 3" xfId="881"/>
    <cellStyle name="Normal 2 2 3 3 2_ELEC SAP FCST UPLOAD" xfId="882"/>
    <cellStyle name="Normal 2 2 3 3 3" xfId="883"/>
    <cellStyle name="Normal 2 2 3 3 4" xfId="884"/>
    <cellStyle name="Normal 2 2 3 3 5" xfId="885"/>
    <cellStyle name="Normal 2 2 3 3 6" xfId="886"/>
    <cellStyle name="Normal 2 2 3 3_ELEC SAP FCST UPLOAD" xfId="887"/>
    <cellStyle name="Normal 2 2 3 4" xfId="888"/>
    <cellStyle name="Normal 2 2 3 4 2" xfId="889"/>
    <cellStyle name="Normal 2 2 3 4 3" xfId="890"/>
    <cellStyle name="Normal 2 2 3 4_ELEC SAP FCST UPLOAD" xfId="891"/>
    <cellStyle name="Normal 2 2 3 5" xfId="892"/>
    <cellStyle name="Normal 2 2 3 6" xfId="893"/>
    <cellStyle name="Normal 2 2 3 7" xfId="894"/>
    <cellStyle name="Normal 2 2 3_ELEC SAP FCST UPLOAD" xfId="895"/>
    <cellStyle name="Normal 2 2 4" xfId="896"/>
    <cellStyle name="Normal 2 2 4 2" xfId="897"/>
    <cellStyle name="Normal 2 2 4 2 2" xfId="898"/>
    <cellStyle name="Normal 2 2 4 2 2 2" xfId="899"/>
    <cellStyle name="Normal 2 2 4 2 2 3" xfId="900"/>
    <cellStyle name="Normal 2 2 4 2 2_ELEC SAP FCST UPLOAD" xfId="901"/>
    <cellStyle name="Normal 2 2 4 2 3" xfId="902"/>
    <cellStyle name="Normal 2 2 4 2 4" xfId="903"/>
    <cellStyle name="Normal 2 2 4 2 5" xfId="904"/>
    <cellStyle name="Normal 2 2 4 2 6" xfId="905"/>
    <cellStyle name="Normal 2 2 4 2_ELEC SAP FCST UPLOAD" xfId="906"/>
    <cellStyle name="Normal 2 2 4 3" xfId="907"/>
    <cellStyle name="Normal 2 2 4 3 2" xfId="908"/>
    <cellStyle name="Normal 2 2 4 3 3" xfId="909"/>
    <cellStyle name="Normal 2 2 4 3_ELEC SAP FCST UPLOAD" xfId="910"/>
    <cellStyle name="Normal 2 2 4 4" xfId="911"/>
    <cellStyle name="Normal 2 2 4 5" xfId="912"/>
    <cellStyle name="Normal 2 2 4 6" xfId="913"/>
    <cellStyle name="Normal 2 2 4_ELEC SAP FCST UPLOAD" xfId="914"/>
    <cellStyle name="Normal 2 2 5" xfId="915"/>
    <cellStyle name="Normal 2 2 5 2" xfId="916"/>
    <cellStyle name="Normal 2 2 5 3" xfId="917"/>
    <cellStyle name="Normal 2 2 5_ELEC SAP FCST UPLOAD" xfId="918"/>
    <cellStyle name="Normal 2 2 6" xfId="919"/>
    <cellStyle name="Normal 2 2 7" xfId="920"/>
    <cellStyle name="Normal 2 2 8" xfId="921"/>
    <cellStyle name="Normal 2 2 9" xfId="922"/>
    <cellStyle name="Normal 2 2_ELEC SAP FCST UPLOAD" xfId="923"/>
    <cellStyle name="Normal 2 20" xfId="924"/>
    <cellStyle name="Normal 2 21" xfId="925"/>
    <cellStyle name="Normal 2 22" xfId="926"/>
    <cellStyle name="Normal 2 23" xfId="927"/>
    <cellStyle name="Normal 2 24" xfId="928"/>
    <cellStyle name="Normal 2 25" xfId="929"/>
    <cellStyle name="Normal 2 26" xfId="930"/>
    <cellStyle name="Normal 2 27" xfId="931"/>
    <cellStyle name="Normal 2 3" xfId="932"/>
    <cellStyle name="Normal 2 3 2" xfId="933"/>
    <cellStyle name="Normal 2 3 2 2" xfId="934"/>
    <cellStyle name="Normal 2 3 2 2 2" xfId="935"/>
    <cellStyle name="Normal 2 3 2 2 2 2" xfId="936"/>
    <cellStyle name="Normal 2 3 2 2 2 2 2" xfId="937"/>
    <cellStyle name="Normal 2 3 2 2 2 2 3" xfId="938"/>
    <cellStyle name="Normal 2 3 2 2 2 2_ELEC SAP FCST UPLOAD" xfId="939"/>
    <cellStyle name="Normal 2 3 2 2 2 3" xfId="940"/>
    <cellStyle name="Normal 2 3 2 2 2 4" xfId="941"/>
    <cellStyle name="Normal 2 3 2 2 2 5" xfId="942"/>
    <cellStyle name="Normal 2 3 2 2 2 6" xfId="943"/>
    <cellStyle name="Normal 2 3 2 2 2_ELEC SAP FCST UPLOAD" xfId="944"/>
    <cellStyle name="Normal 2 3 2 2 3" xfId="945"/>
    <cellStyle name="Normal 2 3 2 2 3 2" xfId="946"/>
    <cellStyle name="Normal 2 3 2 2 3 3" xfId="947"/>
    <cellStyle name="Normal 2 3 2 2 3_ELEC SAP FCST UPLOAD" xfId="948"/>
    <cellStyle name="Normal 2 3 2 2 4" xfId="949"/>
    <cellStyle name="Normal 2 3 2 2 5" xfId="950"/>
    <cellStyle name="Normal 2 3 2 2 6" xfId="951"/>
    <cellStyle name="Normal 2 3 2 2_ELEC SAP FCST UPLOAD" xfId="952"/>
    <cellStyle name="Normal 2 3 2 3" xfId="953"/>
    <cellStyle name="Normal 2 3 2 3 2" xfId="954"/>
    <cellStyle name="Normal 2 3 2 3 3" xfId="955"/>
    <cellStyle name="Normal 2 3 2 3_ELEC SAP FCST UPLOAD" xfId="956"/>
    <cellStyle name="Normal 2 3 2 4" xfId="957"/>
    <cellStyle name="Normal 2 3 2 5" xfId="958"/>
    <cellStyle name="Normal 2 3 2 6" xfId="959"/>
    <cellStyle name="Normal 2 3 2 7" xfId="960"/>
    <cellStyle name="Normal 2 3 2_ELEC SAP FCST UPLOAD" xfId="961"/>
    <cellStyle name="Normal 2 3 3" xfId="962"/>
    <cellStyle name="Normal 2 3 3 2" xfId="963"/>
    <cellStyle name="Normal 2 3 3 2 2" xfId="964"/>
    <cellStyle name="Normal 2 3 3 2 3" xfId="965"/>
    <cellStyle name="Normal 2 3 3 2_ELEC SAP FCST UPLOAD" xfId="966"/>
    <cellStyle name="Normal 2 3 3 3" xfId="967"/>
    <cellStyle name="Normal 2 3 3 4" xfId="968"/>
    <cellStyle name="Normal 2 3 3 5" xfId="969"/>
    <cellStyle name="Normal 2 3 3 6" xfId="970"/>
    <cellStyle name="Normal 2 3 3_ELEC SAP FCST UPLOAD" xfId="971"/>
    <cellStyle name="Normal 2 3 4" xfId="972"/>
    <cellStyle name="Normal 2 3 4 2" xfId="973"/>
    <cellStyle name="Normal 2 3 4 3" xfId="974"/>
    <cellStyle name="Normal 2 3 4_ELEC SAP FCST UPLOAD" xfId="975"/>
    <cellStyle name="Normal 2 3 5" xfId="976"/>
    <cellStyle name="Normal 2 3 6" xfId="977"/>
    <cellStyle name="Normal 2 3 7" xfId="978"/>
    <cellStyle name="Normal 2 3_ELEC SAP FCST UPLOAD" xfId="979"/>
    <cellStyle name="Normal 2 4" xfId="980"/>
    <cellStyle name="Normal 2 4 2" xfId="1353"/>
    <cellStyle name="Normal 2 5" xfId="981"/>
    <cellStyle name="Normal 2 5 2" xfId="982"/>
    <cellStyle name="Normal 2 5 2 2" xfId="983"/>
    <cellStyle name="Normal 2 5 2 2 2" xfId="984"/>
    <cellStyle name="Normal 2 5 2 2 3" xfId="985"/>
    <cellStyle name="Normal 2 5 2 2_ELEC SAP FCST UPLOAD" xfId="986"/>
    <cellStyle name="Normal 2 5 2 3" xfId="987"/>
    <cellStyle name="Normal 2 5 2 4" xfId="988"/>
    <cellStyle name="Normal 2 5 2 5" xfId="989"/>
    <cellStyle name="Normal 2 5 2 6" xfId="990"/>
    <cellStyle name="Normal 2 5 2_ELEC SAP FCST UPLOAD" xfId="991"/>
    <cellStyle name="Normal 2 5 3" xfId="992"/>
    <cellStyle name="Normal 2 5 3 2" xfId="993"/>
    <cellStyle name="Normal 2 5 3 3" xfId="994"/>
    <cellStyle name="Normal 2 5 3_ELEC SAP FCST UPLOAD" xfId="995"/>
    <cellStyle name="Normal 2 5 4" xfId="996"/>
    <cellStyle name="Normal 2 5 5" xfId="997"/>
    <cellStyle name="Normal 2 5 6" xfId="998"/>
    <cellStyle name="Normal 2 5_ELEC SAP FCST UPLOAD" xfId="999"/>
    <cellStyle name="Normal 2 6" xfId="1000"/>
    <cellStyle name="Normal 2 6 2" xfId="1354"/>
    <cellStyle name="Normal 2 7" xfId="1001"/>
    <cellStyle name="Normal 2 8" xfId="1002"/>
    <cellStyle name="Normal 2 9" xfId="1003"/>
    <cellStyle name="Normal 20" xfId="1004"/>
    <cellStyle name="Normal 21" xfId="1005"/>
    <cellStyle name="Normal 22" xfId="1006"/>
    <cellStyle name="Normal 23" xfId="1007"/>
    <cellStyle name="Normal 24" xfId="1342"/>
    <cellStyle name="Normal 24 2" xfId="1390"/>
    <cellStyle name="Normal 3" xfId="1008"/>
    <cellStyle name="Normal 3 10" xfId="1009"/>
    <cellStyle name="Normal 3 10 2" xfId="1010"/>
    <cellStyle name="Normal 3 10 3" xfId="1011"/>
    <cellStyle name="Normal 3 10 4" xfId="1012"/>
    <cellStyle name="Normal 3 10 5" xfId="1013"/>
    <cellStyle name="Normal 3 10 6" xfId="1014"/>
    <cellStyle name="Normal 3 10 7" xfId="1015"/>
    <cellStyle name="Normal 3 11" xfId="1016"/>
    <cellStyle name="Normal 3 12" xfId="1017"/>
    <cellStyle name="Normal 3 13" xfId="1018"/>
    <cellStyle name="Normal 3 14" xfId="1019"/>
    <cellStyle name="Normal 3 15" xfId="1020"/>
    <cellStyle name="Normal 3 16" xfId="1021"/>
    <cellStyle name="Normal 3 17" xfId="1022"/>
    <cellStyle name="Normal 3 18" xfId="1023"/>
    <cellStyle name="Normal 3 19" xfId="1024"/>
    <cellStyle name="Normal 3 2" xfId="1025"/>
    <cellStyle name="Normal 3 2 10" xfId="1026"/>
    <cellStyle name="Normal 3 2 11" xfId="1027"/>
    <cellStyle name="Normal 3 2 12" xfId="1028"/>
    <cellStyle name="Normal 3 2 13" xfId="1029"/>
    <cellStyle name="Normal 3 2 14" xfId="1030"/>
    <cellStyle name="Normal 3 2 15" xfId="1031"/>
    <cellStyle name="Normal 3 2 16" xfId="1032"/>
    <cellStyle name="Normal 3 2 2" xfId="1033"/>
    <cellStyle name="Normal 3 2 2 2" xfId="1034"/>
    <cellStyle name="Normal 3 2 2 3" xfId="1035"/>
    <cellStyle name="Normal 3 2 2 4" xfId="1036"/>
    <cellStyle name="Normal 3 2 2 5" xfId="1037"/>
    <cellStyle name="Normal 3 2 2 6" xfId="1038"/>
    <cellStyle name="Normal 3 2 2 7" xfId="1039"/>
    <cellStyle name="Normal 3 2 3" xfId="1040"/>
    <cellStyle name="Normal 3 2 4" xfId="1041"/>
    <cellStyle name="Normal 3 2 5" xfId="1042"/>
    <cellStyle name="Normal 3 2 6" xfId="1043"/>
    <cellStyle name="Normal 3 2 7" xfId="1044"/>
    <cellStyle name="Normal 3 2 8" xfId="1045"/>
    <cellStyle name="Normal 3 2 9" xfId="1046"/>
    <cellStyle name="Normal 3 20" xfId="1047"/>
    <cellStyle name="Normal 3 3" xfId="1048"/>
    <cellStyle name="Normal 3 3 2" xfId="1049"/>
    <cellStyle name="Normal 3 3 2 2" xfId="1355"/>
    <cellStyle name="Normal 3 3 2 5" xfId="1356"/>
    <cellStyle name="Normal 3 3 3" xfId="1357"/>
    <cellStyle name="Normal 3 3_GTO Non Operational Capex Roll-over submission (FINAL with property)" xfId="1050"/>
    <cellStyle name="Normal 3 4" xfId="1051"/>
    <cellStyle name="Normal 3 5" xfId="1052"/>
    <cellStyle name="Normal 3 6" xfId="1053"/>
    <cellStyle name="Normal 3 7" xfId="1054"/>
    <cellStyle name="Normal 3 8" xfId="1055"/>
    <cellStyle name="Normal 3 9" xfId="1056"/>
    <cellStyle name="Normal 3_ELEC SAP FCST UPLOAD" xfId="1057"/>
    <cellStyle name="Normal 4" xfId="1058"/>
    <cellStyle name="Normal 4 2" xfId="1059"/>
    <cellStyle name="Normal 4 2 2" xfId="1060"/>
    <cellStyle name="Normal 4 2 2 2" xfId="1061"/>
    <cellStyle name="Normal 4 2 2 2 2" xfId="1062"/>
    <cellStyle name="Normal 4 2 2 2 2 2" xfId="1063"/>
    <cellStyle name="Normal 4 2 2 2 2 3" xfId="1064"/>
    <cellStyle name="Normal 4 2 2 2 2_ELEC SAP FCST UPLOAD" xfId="1065"/>
    <cellStyle name="Normal 4 2 2 2 3" xfId="1066"/>
    <cellStyle name="Normal 4 2 2 2 4" xfId="1067"/>
    <cellStyle name="Normal 4 2 2 2 5" xfId="1068"/>
    <cellStyle name="Normal 4 2 2 2 6" xfId="1069"/>
    <cellStyle name="Normal 4 2 2 2_ELEC SAP FCST UPLOAD" xfId="1070"/>
    <cellStyle name="Normal 4 2 2 3" xfId="1071"/>
    <cellStyle name="Normal 4 2 2 3 2" xfId="1072"/>
    <cellStyle name="Normal 4 2 2 3 3" xfId="1073"/>
    <cellStyle name="Normal 4 2 2 3_ELEC SAP FCST UPLOAD" xfId="1074"/>
    <cellStyle name="Normal 4 2 2 4" xfId="1075"/>
    <cellStyle name="Normal 4 2 2 5" xfId="1076"/>
    <cellStyle name="Normal 4 2 2 6" xfId="1077"/>
    <cellStyle name="Normal 4 2 2_ELEC SAP FCST UPLOAD" xfId="1078"/>
    <cellStyle name="Normal 4 2 3" xfId="1079"/>
    <cellStyle name="Normal 4 2 3 2" xfId="1080"/>
    <cellStyle name="Normal 4 2 3 3" xfId="1081"/>
    <cellStyle name="Normal 4 2 3_ELEC SAP FCST UPLOAD" xfId="1082"/>
    <cellStyle name="Normal 4 2 4" xfId="1083"/>
    <cellStyle name="Normal 4 2 5" xfId="1084"/>
    <cellStyle name="Normal 4 2 6" xfId="1085"/>
    <cellStyle name="Normal 4 2 7" xfId="1086"/>
    <cellStyle name="Normal 4 2_ELEC SAP FCST UPLOAD" xfId="1087"/>
    <cellStyle name="Normal 4 3" xfId="1088"/>
    <cellStyle name="Normal 4 3 2" xfId="1089"/>
    <cellStyle name="Normal 4 3 2 2" xfId="1090"/>
    <cellStyle name="Normal 4 3 2 3" xfId="1091"/>
    <cellStyle name="Normal 4 3 2_ELEC SAP FCST UPLOAD" xfId="1092"/>
    <cellStyle name="Normal 4 3 3" xfId="1093"/>
    <cellStyle name="Normal 4 3 4" xfId="1094"/>
    <cellStyle name="Normal 4 3 5" xfId="1095"/>
    <cellStyle name="Normal 4 3 6" xfId="1096"/>
    <cellStyle name="Normal 4 3_ELEC SAP FCST UPLOAD" xfId="1097"/>
    <cellStyle name="Normal 4 4" xfId="1098"/>
    <cellStyle name="Normal 4 5" xfId="1099"/>
    <cellStyle name="Normal 4 6" xfId="1100"/>
    <cellStyle name="Normal 4_ELEC SAP FCST UPLOAD" xfId="1101"/>
    <cellStyle name="Normal 5" xfId="1102"/>
    <cellStyle name="Normal 5 2" xfId="1103"/>
    <cellStyle name="Normal 5 2 2" xfId="1104"/>
    <cellStyle name="Normal 5 2 2 2" xfId="1105"/>
    <cellStyle name="Normal 5 2 2 3" xfId="1106"/>
    <cellStyle name="Normal 5 2 2_ELEC SAP FCST UPLOAD" xfId="1107"/>
    <cellStyle name="Normal 5 2 3" xfId="1108"/>
    <cellStyle name="Normal 5 2 4" xfId="1109"/>
    <cellStyle name="Normal 5 2 5" xfId="1110"/>
    <cellStyle name="Normal 5 2 6" xfId="1111"/>
    <cellStyle name="Normal 5 2_ELEC SAP FCST UPLOAD" xfId="1112"/>
    <cellStyle name="Normal 5 3" xfId="1113"/>
    <cellStyle name="Normal 5 4" xfId="1114"/>
    <cellStyle name="Normal 5 5" xfId="1115"/>
    <cellStyle name="Normal 5_ELEC SAP FCST UPLOAD" xfId="1116"/>
    <cellStyle name="Normal 54" xfId="1358"/>
    <cellStyle name="Normal 6" xfId="1117"/>
    <cellStyle name="Normal 7" xfId="1118"/>
    <cellStyle name="Normal 7 2" xfId="1359"/>
    <cellStyle name="Normal 8" xfId="1119"/>
    <cellStyle name="Normal 9" xfId="1120"/>
    <cellStyle name="Normal 9 2" xfId="1121"/>
    <cellStyle name="Normal 9_GTO Non Operational Capex Roll-over submission (FINAL with property)" xfId="1122"/>
    <cellStyle name="Normal U" xfId="1123"/>
    <cellStyle name="Note" xfId="41" builtinId="10" hidden="1"/>
    <cellStyle name="Note 2" xfId="1124"/>
    <cellStyle name="Note 3" xfId="1125"/>
    <cellStyle name="Note 3 2" xfId="1126"/>
    <cellStyle name="Note 3 3" xfId="1127"/>
    <cellStyle name="Note 3 4" xfId="1128"/>
    <cellStyle name="Note 3 5" xfId="1129"/>
    <cellStyle name="Note 3 6" xfId="1130"/>
    <cellStyle name="Note 3 7" xfId="1131"/>
    <cellStyle name="Note 3 8" xfId="1132"/>
    <cellStyle name="Output 2" xfId="1133"/>
    <cellStyle name="Output 3" xfId="1134"/>
    <cellStyle name="Percent" xfId="1" builtinId="5" hidden="1"/>
    <cellStyle name="Percent" xfId="43" builtinId="5"/>
    <cellStyle name="Percent 10" xfId="1135"/>
    <cellStyle name="Percent 11" xfId="1136"/>
    <cellStyle name="Percent 12" xfId="1137"/>
    <cellStyle name="Percent 13" xfId="1138"/>
    <cellStyle name="Percent 14" xfId="1139"/>
    <cellStyle name="Percent 2" xfId="1140"/>
    <cellStyle name="Percent 2 2" xfId="1141"/>
    <cellStyle name="Percent 2 2 2" xfId="1142"/>
    <cellStyle name="Percent 2 2 2 2" xfId="1360"/>
    <cellStyle name="Percent 2 2 3" xfId="1143"/>
    <cellStyle name="Percent 2 3" xfId="1144"/>
    <cellStyle name="Percent 2 3 2" xfId="1145"/>
    <cellStyle name="Percent 2 3 2 2" xfId="1361"/>
    <cellStyle name="Percent 2 4" xfId="1146"/>
    <cellStyle name="Percent 2 5" xfId="56"/>
    <cellStyle name="Percent 3" xfId="1147"/>
    <cellStyle name="Percent 4" xfId="1148"/>
    <cellStyle name="Percent 4 2" xfId="1149"/>
    <cellStyle name="Percent 4 2 2" xfId="1150"/>
    <cellStyle name="Percent 4 3" xfId="1151"/>
    <cellStyle name="Percent 5" xfId="1152"/>
    <cellStyle name="Percent 6" xfId="1153"/>
    <cellStyle name="Percent 6 2" xfId="1154"/>
    <cellStyle name="Percent 7" xfId="1155"/>
    <cellStyle name="Percent 8" xfId="1156"/>
    <cellStyle name="Percent 8 2" xfId="1157"/>
    <cellStyle name="Percent 9" xfId="47"/>
    <cellStyle name="Percent 9 2" xfId="1158"/>
    <cellStyle name="Pre-inputted cells" xfId="1159"/>
    <cellStyle name="Pre-inputted cells 2" xfId="1160"/>
    <cellStyle name="Pre-inputted cells 2 2" xfId="1161"/>
    <cellStyle name="Pre-inputted cells 3" xfId="1162"/>
    <cellStyle name="Pre-inputted cells 3 2" xfId="1163"/>
    <cellStyle name="Pre-inputted cells 4" xfId="1164"/>
    <cellStyle name="Pre-inputted cells 4 2" xfId="1165"/>
    <cellStyle name="Pre-inputted cells 5" xfId="1166"/>
    <cellStyle name="Pre-inputted cells 5 2" xfId="1167"/>
    <cellStyle name="Pre-inputted cells 5 2 2" xfId="1362"/>
    <cellStyle name="Pre-inputted cells 6" xfId="53"/>
    <cellStyle name="Pre-inputted cells 6 2" xfId="1363"/>
    <cellStyle name="Pre-inputted cells 7" xfId="1168"/>
    <cellStyle name="Pre-inputted cells 7 2" xfId="1364"/>
    <cellStyle name="RangeName" xfId="1169"/>
    <cellStyle name="RIGs" xfId="1170"/>
    <cellStyle name="RIGs 2" xfId="1171"/>
    <cellStyle name="RIGs input cells" xfId="1172"/>
    <cellStyle name="RIGs input cells 2" xfId="1173"/>
    <cellStyle name="RIGs input cells 2 2" xfId="1174"/>
    <cellStyle name="RIGs input cells 2 2 2" xfId="1175"/>
    <cellStyle name="RIGs input cells 2 3" xfId="1176"/>
    <cellStyle name="RIGs input cells 3" xfId="1177"/>
    <cellStyle name="RIGs input cells 3 2" xfId="1178"/>
    <cellStyle name="RIGs input cells 3 2 2" xfId="1179"/>
    <cellStyle name="RIGs input cells 3 3" xfId="1180"/>
    <cellStyle name="RIGs input cells 4" xfId="1181"/>
    <cellStyle name="RIGs input cells 4 2" xfId="1182"/>
    <cellStyle name="RIGs input cells 5" xfId="1183"/>
    <cellStyle name="RIGs input cells 5 2" xfId="1184"/>
    <cellStyle name="RIGs input cells 6" xfId="1185"/>
    <cellStyle name="RIGs input cells 6 2" xfId="1186"/>
    <cellStyle name="RIGs input cells 7" xfId="1187"/>
    <cellStyle name="RIGs input cells 7 2" xfId="1365"/>
    <cellStyle name="RIGs input cells 8" xfId="1366"/>
    <cellStyle name="RIGs input totals" xfId="1188"/>
    <cellStyle name="RIGs input totals 10" xfId="1392"/>
    <cellStyle name="RIGs input totals 2" xfId="1189"/>
    <cellStyle name="RIGs input totals 2 2" xfId="1190"/>
    <cellStyle name="RIGs input totals 2 2 2" xfId="1191"/>
    <cellStyle name="RIGs input totals 2 3" xfId="1192"/>
    <cellStyle name="RIGs input totals 2 3 2" xfId="1193"/>
    <cellStyle name="RIGs input totals 2 4" xfId="1194"/>
    <cellStyle name="RIGs input totals 2 4 2" xfId="1367"/>
    <cellStyle name="RIGs input totals 2 4 3" xfId="1368"/>
    <cellStyle name="RIGs input totals 2 5" xfId="1195"/>
    <cellStyle name="RIGs input totals 2 5 2" xfId="1369"/>
    <cellStyle name="RIGs input totals 3" xfId="1196"/>
    <cellStyle name="RIGs input totals 3 2" xfId="1197"/>
    <cellStyle name="RIGs input totals 4" xfId="1198"/>
    <cellStyle name="RIGs input totals 4 2" xfId="1199"/>
    <cellStyle name="RIGs input totals 5" xfId="1200"/>
    <cellStyle name="RIGs input totals 5 2" xfId="1201"/>
    <cellStyle name="RIGs input totals 5 2 2" xfId="1370"/>
    <cellStyle name="RIGs input totals 6" xfId="1202"/>
    <cellStyle name="RIGs input totals 7" xfId="1203"/>
    <cellStyle name="RIGs linked cells" xfId="1204"/>
    <cellStyle name="RIGs linked cells 2" xfId="1205"/>
    <cellStyle name="RIGs linked cells 2 2" xfId="1206"/>
    <cellStyle name="RIGs linked cells 3" xfId="1207"/>
    <cellStyle name="RIGs linked cells 3 2" xfId="1208"/>
    <cellStyle name="RIGs linked cells 3 2 2" xfId="1371"/>
    <cellStyle name="RIGs linked cells 3 3" xfId="1209"/>
    <cellStyle name="RIGs linked cells 3 3 2" xfId="1372"/>
    <cellStyle name="RIGs linked cells 4" xfId="1210"/>
    <cellStyle name="RIGs linked cells 4 2" xfId="1211"/>
    <cellStyle name="RIGs linked cells 4 2 2" xfId="1373"/>
    <cellStyle name="RIGs linked cells 5" xfId="1212"/>
    <cellStyle name="SAPBEXaggData" xfId="1213"/>
    <cellStyle name="SAPBEXaggDataEmph" xfId="1214"/>
    <cellStyle name="SAPBEXaggItem" xfId="1215"/>
    <cellStyle name="SAPBEXaggItemX" xfId="1216"/>
    <cellStyle name="SAPBEXchaText" xfId="1217"/>
    <cellStyle name="SAPBEXexcBad7" xfId="1218"/>
    <cellStyle name="SAPBEXexcBad8" xfId="1219"/>
    <cellStyle name="SAPBEXexcBad9" xfId="1220"/>
    <cellStyle name="SAPBEXexcCritical4" xfId="1221"/>
    <cellStyle name="SAPBEXexcCritical5" xfId="1222"/>
    <cellStyle name="SAPBEXexcCritical6" xfId="1223"/>
    <cellStyle name="SAPBEXexcGood1" xfId="1224"/>
    <cellStyle name="SAPBEXexcGood2" xfId="1225"/>
    <cellStyle name="SAPBEXexcGood3" xfId="1226"/>
    <cellStyle name="SAPBEXfilterDrill" xfId="1227"/>
    <cellStyle name="SAPBEXfilterItem" xfId="1228"/>
    <cellStyle name="SAPBEXfilterText" xfId="1229"/>
    <cellStyle name="SAPBEXformats" xfId="1230"/>
    <cellStyle name="SAPBEXheaderItem" xfId="1231"/>
    <cellStyle name="SAPBEXheaderItem 2" xfId="1232"/>
    <cellStyle name="SAPBEXheaderItem_0910 GSO Capex RRP - Final (Detail) v2 220710" xfId="1233"/>
    <cellStyle name="SAPBEXheaderText" xfId="1234"/>
    <cellStyle name="SAPBEXheaderText 2" xfId="1235"/>
    <cellStyle name="SAPBEXheaderText_0910 GSO Capex RRP - Final (Detail) v2 220710" xfId="1236"/>
    <cellStyle name="SAPBEXHLevel0" xfId="1237"/>
    <cellStyle name="SAPBEXHLevel0 2" xfId="1238"/>
    <cellStyle name="SAPBEXHLevel0_0910 GSO Capex RRP - Final (Detail) v2 220710" xfId="1239"/>
    <cellStyle name="SAPBEXHLevel0X" xfId="1240"/>
    <cellStyle name="SAPBEXHLevel0X 2" xfId="1241"/>
    <cellStyle name="SAPBEXHLevel0X 3" xfId="1242"/>
    <cellStyle name="SAPBEXHLevel0X 3 2" xfId="1243"/>
    <cellStyle name="SAPBEXHLevel0X 3 3" xfId="1244"/>
    <cellStyle name="SAPBEXHLevel0X 3 4" xfId="1245"/>
    <cellStyle name="SAPBEXHLevel0X 3 5" xfId="1246"/>
    <cellStyle name="SAPBEXHLevel0X 3 6" xfId="1247"/>
    <cellStyle name="SAPBEXHLevel0X 3 7" xfId="1248"/>
    <cellStyle name="SAPBEXHLevel0X 3 8" xfId="1249"/>
    <cellStyle name="SAPBEXHLevel0X_0910 GSO Capex RRP - Final (Detail) v2 220710" xfId="1250"/>
    <cellStyle name="SAPBEXHLevel1" xfId="1251"/>
    <cellStyle name="SAPBEXHLevel1 2" xfId="1252"/>
    <cellStyle name="SAPBEXHLevel1_0910 GSO Capex RRP - Final (Detail) v2 220710" xfId="1253"/>
    <cellStyle name="SAPBEXHLevel1X" xfId="1254"/>
    <cellStyle name="SAPBEXHLevel1X 2" xfId="1255"/>
    <cellStyle name="SAPBEXHLevel1X 3" xfId="1256"/>
    <cellStyle name="SAPBEXHLevel1X 3 2" xfId="1257"/>
    <cellStyle name="SAPBEXHLevel1X 3 3" xfId="1258"/>
    <cellStyle name="SAPBEXHLevel1X 3 4" xfId="1259"/>
    <cellStyle name="SAPBEXHLevel1X 3 5" xfId="1260"/>
    <cellStyle name="SAPBEXHLevel1X 3 6" xfId="1261"/>
    <cellStyle name="SAPBEXHLevel1X 3 7" xfId="1262"/>
    <cellStyle name="SAPBEXHLevel1X 3 8" xfId="1263"/>
    <cellStyle name="SAPBEXHLevel1X_0910 GSO Capex RRP - Final (Detail) v2 220710" xfId="1264"/>
    <cellStyle name="SAPBEXHLevel2" xfId="1265"/>
    <cellStyle name="SAPBEXHLevel2 2" xfId="1266"/>
    <cellStyle name="SAPBEXHLevel2_0910 GSO Capex RRP - Final (Detail) v2 220710" xfId="1267"/>
    <cellStyle name="SAPBEXHLevel2X" xfId="1268"/>
    <cellStyle name="SAPBEXHLevel2X 2" xfId="1269"/>
    <cellStyle name="SAPBEXHLevel2X 3" xfId="1270"/>
    <cellStyle name="SAPBEXHLevel2X 3 2" xfId="1271"/>
    <cellStyle name="SAPBEXHLevel2X 3 3" xfId="1272"/>
    <cellStyle name="SAPBEXHLevel2X 3 4" xfId="1273"/>
    <cellStyle name="SAPBEXHLevel2X 3 5" xfId="1274"/>
    <cellStyle name="SAPBEXHLevel2X 3 6" xfId="1275"/>
    <cellStyle name="SAPBEXHLevel2X 3 7" xfId="1276"/>
    <cellStyle name="SAPBEXHLevel2X 3 8" xfId="1277"/>
    <cellStyle name="SAPBEXHLevel2X_0910 GSO Capex RRP - Final (Detail) v2 220710" xfId="1278"/>
    <cellStyle name="SAPBEXHLevel3" xfId="1279"/>
    <cellStyle name="SAPBEXHLevel3 2" xfId="1280"/>
    <cellStyle name="SAPBEXHLevel3_0910 GSO Capex RRP - Final (Detail) v2 220710" xfId="1281"/>
    <cellStyle name="SAPBEXHLevel3X" xfId="1282"/>
    <cellStyle name="SAPBEXHLevel3X 2" xfId="1283"/>
    <cellStyle name="SAPBEXHLevel3X 3" xfId="1284"/>
    <cellStyle name="SAPBEXHLevel3X 3 2" xfId="1285"/>
    <cellStyle name="SAPBEXHLevel3X 3 3" xfId="1286"/>
    <cellStyle name="SAPBEXHLevel3X 3 4" xfId="1287"/>
    <cellStyle name="SAPBEXHLevel3X 3 5" xfId="1288"/>
    <cellStyle name="SAPBEXHLevel3X 3 6" xfId="1289"/>
    <cellStyle name="SAPBEXHLevel3X 3 7" xfId="1290"/>
    <cellStyle name="SAPBEXHLevel3X 3 8" xfId="1291"/>
    <cellStyle name="SAPBEXHLevel3X_0910 GSO Capex RRP - Final (Detail) v2 220710" xfId="1292"/>
    <cellStyle name="SAPBEXinputData" xfId="1293"/>
    <cellStyle name="SAPBEXinputData 2" xfId="1294"/>
    <cellStyle name="SAPBEXinputData 3" xfId="1295"/>
    <cellStyle name="SAPBEXinputData 3 2" xfId="1296"/>
    <cellStyle name="SAPBEXinputData 3 2 2" xfId="1381"/>
    <cellStyle name="SAPBEXinputData 3 3" xfId="1297"/>
    <cellStyle name="SAPBEXinputData 3 3 2" xfId="1382"/>
    <cellStyle name="SAPBEXinputData 3 4" xfId="1298"/>
    <cellStyle name="SAPBEXinputData 3 4 2" xfId="1383"/>
    <cellStyle name="SAPBEXinputData 3 5" xfId="1299"/>
    <cellStyle name="SAPBEXinputData 3 5 2" xfId="1384"/>
    <cellStyle name="SAPBEXinputData 3 6" xfId="1300"/>
    <cellStyle name="SAPBEXinputData 3 6 2" xfId="1385"/>
    <cellStyle name="SAPBEXinputData 3 7" xfId="1301"/>
    <cellStyle name="SAPBEXinputData 3 7 2" xfId="1386"/>
    <cellStyle name="SAPBEXinputData 3 8" xfId="1302"/>
    <cellStyle name="SAPBEXinputData 3 8 2" xfId="1387"/>
    <cellStyle name="SAPBEXinputData 3 9" xfId="1380"/>
    <cellStyle name="SAPBEXinputData 4" xfId="1379"/>
    <cellStyle name="SAPBEXinputData_0910 GSO Capex RRP - Final (Detail) v2 220710" xfId="1303"/>
    <cellStyle name="SAPBEXItemHeader" xfId="1304"/>
    <cellStyle name="SAPBEXresData" xfId="1305"/>
    <cellStyle name="SAPBEXresDataEmph" xfId="1306"/>
    <cellStyle name="SAPBEXresItem" xfId="1307"/>
    <cellStyle name="SAPBEXresItemX" xfId="1308"/>
    <cellStyle name="SAPBEXstdData" xfId="1309"/>
    <cellStyle name="SAPBEXstdDataEmph" xfId="1310"/>
    <cellStyle name="SAPBEXstdItem" xfId="1311"/>
    <cellStyle name="SAPBEXstdItemX" xfId="1312"/>
    <cellStyle name="SAPBEXtitle" xfId="1313"/>
    <cellStyle name="SAPBEXunassignedItem" xfId="1314"/>
    <cellStyle name="SAPBEXundefined" xfId="1315"/>
    <cellStyle name="Sheet Title" xfId="1316"/>
    <cellStyle name="Standard_Anpassen der Amortisation" xfId="1317"/>
    <cellStyle name="Style 1" xfId="1318"/>
    <cellStyle name="Sub-total" xfId="1319"/>
    <cellStyle name="swpBody01" xfId="1320"/>
    <cellStyle name="Title 2" xfId="1321"/>
    <cellStyle name="Title 3" xfId="1322"/>
    <cellStyle name="Total 1" xfId="1323"/>
    <cellStyle name="Total 1 2" xfId="1388"/>
    <cellStyle name="Total 2" xfId="1324"/>
    <cellStyle name="Total 3" xfId="1325"/>
    <cellStyle name="Totals" xfId="1326"/>
    <cellStyle name="Währung [0]_Compiling Utility Macros" xfId="1327"/>
    <cellStyle name="Währung_Compiling Utility Macros" xfId="1328"/>
    <cellStyle name="Warning Text 2" xfId="1329"/>
    <cellStyle name="Warning Text 3" xfId="1330"/>
    <cellStyle name="Yellow" xfId="1331"/>
    <cellStyle name="Yellow 2" xfId="1332"/>
    <cellStyle name="Yellow 2 2" xfId="1333"/>
    <cellStyle name="Yellow 2 3" xfId="1334"/>
    <cellStyle name="Yellow 2 4" xfId="1335"/>
    <cellStyle name="Yellow 2 5" xfId="1336"/>
    <cellStyle name="Yellow 2 6" xfId="1337"/>
    <cellStyle name="Yellow 2 7" xfId="1338"/>
    <cellStyle name="Yellow 2 8" xfId="1339"/>
  </cellStyles>
  <dxfs count="96">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strike val="0"/>
        <color theme="0" tint="-0.24994659260841701"/>
      </font>
    </dxf>
    <dxf>
      <font>
        <color theme="0" tint="-0.24994659260841701"/>
      </font>
    </dxf>
    <dxf>
      <font>
        <color theme="0" tint="-0.24994659260841701"/>
      </font>
    </dxf>
    <dxf>
      <font>
        <condense val="0"/>
        <extend val="0"/>
        <color rgb="FF9C0006"/>
      </font>
      <fill>
        <patternFill>
          <bgColor rgb="FFFFC7CE"/>
        </patternFill>
      </fill>
    </dxf>
    <dxf>
      <font>
        <condense val="0"/>
        <extend val="0"/>
        <color rgb="FF9C0006"/>
      </font>
      <fill>
        <patternFill>
          <bgColor rgb="FFFFC7CE"/>
        </patternFill>
      </fill>
    </dxf>
    <dxf>
      <font>
        <color theme="0" tint="-0.24994659260841701"/>
      </font>
    </dxf>
  </dxfs>
  <tableStyles count="0" defaultTableStyle="TableStyleMedium9" defaultPivotStyle="PivotStyleLight16"/>
  <colors>
    <mruColors>
      <color rgb="FFC5E1FF"/>
      <color rgb="FFFFFFCC"/>
      <color rgb="FF33CC33"/>
      <color rgb="FFFF99FF"/>
      <color rgb="FFFFC7CE"/>
      <color rgb="FFFF00FF"/>
      <color rgb="FFCCFFFF"/>
      <color rgb="FFFFCC99"/>
      <color rgb="FFFFFF66"/>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s>
</file>

<file path=xl/ctrlProps/ctrlProp1.xml><?xml version="1.0" encoding="utf-8"?>
<formControlPr xmlns="http://schemas.microsoft.com/office/spreadsheetml/2009/9/main" objectType="Drop" dropLines="14" dropStyle="combo" dx="16" fmlaLink="$E$63" fmlaRange="$E$49:$E$62" sel="9" val="0"/>
</file>

<file path=xl/ctrlProps/ctrlProp2.xml><?xml version="1.0" encoding="utf-8"?>
<formControlPr xmlns="http://schemas.microsoft.com/office/spreadsheetml/2009/9/main" objectType="Drop" dropLines="11" dropStyle="combo" dx="16" fmlaLink="$E$75" fmlaRange="$E$67:$E$74" val="0"/>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Drop" dropLines="4" dropStyle="combo" dx="16" fmlaLink="$E$81" fmlaRange="$E$79:$E$80" sel="2" val="0"/>
</file>

<file path=xl/ctrlProps/ctrlProp6.xml><?xml version="1.0" encoding="utf-8"?>
<formControlPr xmlns="http://schemas.microsoft.com/office/spreadsheetml/2009/9/main" objectType="Drop" dropLines="4" dropStyle="combo" dx="16" fmlaLink="$E$32" fmlaRange="$E$30:$E$31" val="0"/>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Drop" dropStyle="combo" dx="16" fmlaLink="UserInterface!$E$63" fmlaRange="UserInterface!$E$49:$E$62" noThreeD="1" sel="9" val="6"/>
</file>

<file path=xl/ctrlProps/ctrlProp9.xml><?xml version="1.0" encoding="utf-8"?>
<formControlPr xmlns="http://schemas.microsoft.com/office/spreadsheetml/2009/9/main" objectType="Drop" dropStyle="combo" dx="16" fmlaLink="UserInterface!$E$63" fmlaRange="UserInterface!$E$49:$E$62" noThreeD="1" sel="9" val="0"/>
</file>

<file path=xl/ctrlProps/ctrlProp10.xml><?xml version="1.0" encoding="utf-8"?>
<formControlPr xmlns="http://schemas.microsoft.com/office/spreadsheetml/2009/9/main" objectType="Drop" dropStyle="combo" dx="16" fmlaLink="UserInterface!$E$63" fmlaRange="UserInterface!$E$49:$E$62" noThreeD="1" sel="9" val="6"/>
</file>

<file path=xl/ctrlProps/ctrlProp11.xml><?xml version="1.0" encoding="utf-8"?>
<formControlPr xmlns="http://schemas.microsoft.com/office/spreadsheetml/2009/9/main" objectType="Drop" dropStyle="combo" dx="16" fmlaLink="UserInterface!$E$63" fmlaRange="UserInterface!$E$49:$E$62" noThreeD="1" sel="9" val="6"/>
</file>

<file path=xl/ctrlProps/ctrlProp12.xml><?xml version="1.0" encoding="utf-8"?>
<formControlPr xmlns="http://schemas.microsoft.com/office/spreadsheetml/2009/9/main" objectType="Drop" dropStyle="combo" dx="16" fmlaLink="UserInterface!$E$63" fmlaRange="UserInterface!$E$49:$E$62" noThreeD="1" sel="9" val="0"/>
</file>

<file path=xl/ctrlProps/ctrlProp13.xml><?xml version="1.0" encoding="utf-8"?>
<formControlPr xmlns="http://schemas.microsoft.com/office/spreadsheetml/2009/9/main" objectType="Drop" dropStyle="combo" dx="16" fmlaLink="UserInterface!$E$63" fmlaRange="UserInterface!$E$49:$E$62" noThreeD="1" sel="9" val="0"/>
</file>

<file path=xl/ctrlProps/ctrlProp14.xml><?xml version="1.0" encoding="utf-8"?>
<formControlPr xmlns="http://schemas.microsoft.com/office/spreadsheetml/2009/9/main" objectType="Drop" dropStyle="combo" dx="16" fmlaLink="UserInterface!$E$63" fmlaRange="UserInterface!$E$49:$E$62" noThreeD="1" sel="9" val="6"/>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Drop" dropStyle="combo" dx="16" fmlaLink="UserInterface!$E$63" fmlaRange="UserInterface!$E$49:$E$62" noThreeD="1" sel="9" val="6"/>
</file>

<file path=xl/ctrlProps/ctrlProp17.xml><?xml version="1.0" encoding="utf-8"?>
<formControlPr xmlns="http://schemas.microsoft.com/office/spreadsheetml/2009/9/main" objectType="Drop" dropStyle="combo" dx="16" fmlaLink="UserInterface!$E$63" fmlaRange="UserInterface!$E$49:$E$62" noThreeD="1" sel="9" val="0"/>
</file>

<file path=xl/ctrlProps/ctrlProp18.xml><?xml version="1.0" encoding="utf-8"?>
<formControlPr xmlns="http://schemas.microsoft.com/office/spreadsheetml/2009/9/main" objectType="Drop" dropStyle="combo" dx="16" fmlaLink="UserInterface!$E$63" fmlaRange="UserInterface!$E$49:$E$62" noThreeD="1" sel="9" val="6"/>
</file>

<file path=xl/ctrlProps/ctrlProp19.xml><?xml version="1.0" encoding="utf-8"?>
<formControlPr xmlns="http://schemas.microsoft.com/office/spreadsheetml/2009/9/main" objectType="Drop" dropLines="2" dropStyle="combo" dx="16" fmlaLink="UserInterface!#REF!" fmlaRange="UserInterface!#REF!" noThreeD="1" sel="0" val="0"/>
</file>

<file path=xl/ctrlProps/ctrlProp20.xml><?xml version="1.0" encoding="utf-8"?>
<formControlPr xmlns="http://schemas.microsoft.com/office/spreadsheetml/2009/9/main" objectType="Drop" dropStyle="combo" dx="16" fmlaLink="UserInterface!$E$63" fmlaRange="UserInterface!$E$49:$E$62" noThreeD="1" sel="9" val="0"/>
</file>

<file path=xl/ctrlProps/ctrlProp21.xml><?xml version="1.0" encoding="utf-8"?>
<formControlPr xmlns="http://schemas.microsoft.com/office/spreadsheetml/2009/9/main" objectType="Drop" dropLines="2" dropStyle="combo" dx="16" fmlaLink="UserInterface!#REF!" fmlaRange="UserInterface!#REF!" noThreeD="1" sel="0"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0</xdr:colOff>
          <xdr:row>21</xdr:row>
          <xdr:rowOff>0</xdr:rowOff>
        </xdr:from>
        <xdr:to>
          <xdr:col>7</xdr:col>
          <xdr:colOff>0</xdr:colOff>
          <xdr:row>22</xdr:row>
          <xdr:rowOff>9525</xdr:rowOff>
        </xdr:to>
        <xdr:sp macro="" textlink="">
          <xdr:nvSpPr>
            <xdr:cNvPr id="7169" name="Drop Down 1" hidden="1">
              <a:extLst>
                <a:ext uri="{63B3BB69-23CF-44E3-9099-C40C66FF867C}">
                  <a14:compatExt spid="_x0000_s71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13</xdr:row>
          <xdr:rowOff>180975</xdr:rowOff>
        </xdr:from>
        <xdr:to>
          <xdr:col>7</xdr:col>
          <xdr:colOff>0</xdr:colOff>
          <xdr:row>15</xdr:row>
          <xdr:rowOff>0</xdr:rowOff>
        </xdr:to>
        <xdr:sp macro="" textlink="">
          <xdr:nvSpPr>
            <xdr:cNvPr id="7222" name="Drop Down 54" hidden="1">
              <a:extLst>
                <a:ext uri="{63B3BB69-23CF-44E3-9099-C40C66FF867C}">
                  <a14:compatExt spid="_x0000_s72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37</xdr:row>
          <xdr:rowOff>19050</xdr:rowOff>
        </xdr:from>
        <xdr:to>
          <xdr:col>4</xdr:col>
          <xdr:colOff>3467100</xdr:colOff>
          <xdr:row>40</xdr:row>
          <xdr:rowOff>19050</xdr:rowOff>
        </xdr:to>
        <xdr:sp macro="" textlink="">
          <xdr:nvSpPr>
            <xdr:cNvPr id="7226" name="Button 58" hidden="1">
              <a:extLst>
                <a:ext uri="{63B3BB69-23CF-44E3-9099-C40C66FF867C}">
                  <a14:compatExt spid="_x0000_s7226"/>
                </a:ext>
              </a:extLst>
            </xdr:cNvPr>
            <xdr:cNvSpPr/>
          </xdr:nvSpPr>
          <xdr:spPr>
            <a:xfrm>
              <a:off x="0" y="0"/>
              <a:ext cx="0" cy="0"/>
            </a:xfrm>
            <a:prstGeom prst="rect">
              <a:avLst/>
            </a:prstGeom>
          </xdr:spPr>
          <xdr:txBody>
            <a:bodyPr vertOverflow="clip" wrap="square" lIns="27432" tIns="22860" rIns="27432" bIns="22860" anchor="ctr" upright="1"/>
            <a:lstStyle/>
            <a:p>
              <a:pPr algn="ctr" rtl="0">
                <a:defRPr sz="1000"/>
              </a:pPr>
              <a:r>
                <a:rPr lang="en-GB" sz="1000" b="0" i="0" u="none" strike="noStrike" baseline="0">
                  <a:solidFill>
                    <a:srgbClr val="FF0000"/>
                  </a:solidFill>
                  <a:latin typeface="Gill Sans MT"/>
                </a:rPr>
                <a:t>Run the "RunForOne" macro to save results for</a:t>
              </a:r>
            </a:p>
            <a:p>
              <a:pPr algn="ctr" rtl="0">
                <a:defRPr sz="1000"/>
              </a:pPr>
              <a:r>
                <a:rPr lang="en-GB" sz="1000" b="0" i="0" u="none" strike="noStrike" baseline="0">
                  <a:solidFill>
                    <a:srgbClr val="FF0000"/>
                  </a:solidFill>
                  <a:latin typeface="Gill Sans MT"/>
                </a:rPr>
                <a:t>the selected company (keyboard shortcut Ctrl+j)</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114300</xdr:colOff>
          <xdr:row>37</xdr:row>
          <xdr:rowOff>19050</xdr:rowOff>
        </xdr:from>
        <xdr:to>
          <xdr:col>6</xdr:col>
          <xdr:colOff>3448050</xdr:colOff>
          <xdr:row>40</xdr:row>
          <xdr:rowOff>19050</xdr:rowOff>
        </xdr:to>
        <xdr:sp macro="" textlink="">
          <xdr:nvSpPr>
            <xdr:cNvPr id="7227" name="Button 59" hidden="1">
              <a:extLst>
                <a:ext uri="{63B3BB69-23CF-44E3-9099-C40C66FF867C}">
                  <a14:compatExt spid="_x0000_s7227"/>
                </a:ext>
              </a:extLst>
            </xdr:cNvPr>
            <xdr:cNvSpPr/>
          </xdr:nvSpPr>
          <xdr:spPr>
            <a:xfrm>
              <a:off x="0" y="0"/>
              <a:ext cx="0" cy="0"/>
            </a:xfrm>
            <a:prstGeom prst="rect">
              <a:avLst/>
            </a:prstGeom>
          </xdr:spPr>
          <xdr:txBody>
            <a:bodyPr vertOverflow="clip" wrap="square" lIns="27432" tIns="22860" rIns="27432" bIns="22860" anchor="ctr" upright="1"/>
            <a:lstStyle/>
            <a:p>
              <a:pPr algn="ctr" rtl="0">
                <a:defRPr sz="1000"/>
              </a:pPr>
              <a:r>
                <a:rPr lang="en-GB" sz="1000" b="0" i="0" u="none" strike="noStrike" baseline="0">
                  <a:solidFill>
                    <a:srgbClr val="FF0000"/>
                  </a:solidFill>
                  <a:latin typeface="Gill Sans MT"/>
                </a:rPr>
                <a:t>Run the "RunForAll" macro to save results for</a:t>
              </a:r>
            </a:p>
            <a:p>
              <a:pPr algn="ctr" rtl="0">
                <a:defRPr sz="1000"/>
              </a:pPr>
              <a:r>
                <a:rPr lang="en-GB" sz="1000" b="0" i="0" u="none" strike="noStrike" baseline="0">
                  <a:solidFill>
                    <a:srgbClr val="FF0000"/>
                  </a:solidFill>
                  <a:latin typeface="Gill Sans MT"/>
                </a:rPr>
                <a:t>all companies (keyboard shortcut Ctrl+q)</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5</xdr:row>
          <xdr:rowOff>180975</xdr:rowOff>
        </xdr:from>
        <xdr:to>
          <xdr:col>7</xdr:col>
          <xdr:colOff>28575</xdr:colOff>
          <xdr:row>7</xdr:row>
          <xdr:rowOff>0</xdr:rowOff>
        </xdr:to>
        <xdr:sp macro="" textlink="">
          <xdr:nvSpPr>
            <xdr:cNvPr id="7236" name="Drop Down 68" hidden="1">
              <a:extLst>
                <a:ext uri="{63B3BB69-23CF-44E3-9099-C40C66FF867C}">
                  <a14:compatExt spid="_x0000_s7236"/>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26</xdr:row>
          <xdr:rowOff>9525</xdr:rowOff>
        </xdr:from>
        <xdr:to>
          <xdr:col>5</xdr:col>
          <xdr:colOff>9525</xdr:colOff>
          <xdr:row>27</xdr:row>
          <xdr:rowOff>133350</xdr:rowOff>
        </xdr:to>
        <xdr:sp macro="" textlink="">
          <xdr:nvSpPr>
            <xdr:cNvPr id="169003" name="Drop Down 43" hidden="1">
              <a:extLst>
                <a:ext uri="{63B3BB69-23CF-44E3-9099-C40C66FF867C}">
                  <a14:compatExt spid="_x0000_s1690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38</xdr:row>
          <xdr:rowOff>0</xdr:rowOff>
        </xdr:from>
        <xdr:to>
          <xdr:col>5</xdr:col>
          <xdr:colOff>0</xdr:colOff>
          <xdr:row>42</xdr:row>
          <xdr:rowOff>0</xdr:rowOff>
        </xdr:to>
        <xdr:sp macro="" textlink="">
          <xdr:nvSpPr>
            <xdr:cNvPr id="169024" name="Button 64" hidden="1">
              <a:extLst>
                <a:ext uri="{63B3BB69-23CF-44E3-9099-C40C66FF867C}">
                  <a14:compatExt spid="_x0000_s169024"/>
                </a:ext>
              </a:extLst>
            </xdr:cNvPr>
            <xdr:cNvSpPr/>
          </xdr:nvSpPr>
          <xdr:spPr>
            <a:xfrm>
              <a:off x="0" y="0"/>
              <a:ext cx="0" cy="0"/>
            </a:xfrm>
            <a:prstGeom prst="rect">
              <a:avLst/>
            </a:prstGeom>
          </xdr:spPr>
          <xdr:txBody>
            <a:bodyPr vertOverflow="clip" wrap="square" lIns="27432" tIns="22860" rIns="27432" bIns="22860" anchor="ctr" upright="1"/>
            <a:lstStyle/>
            <a:p>
              <a:pPr algn="ctr" rtl="0">
                <a:defRPr sz="1000"/>
              </a:pPr>
              <a:r>
                <a:rPr lang="en-GB" sz="1000" b="0" i="0" u="none" strike="noStrike" baseline="0">
                  <a:solidFill>
                    <a:srgbClr val="FF0000"/>
                  </a:solidFill>
                  <a:latin typeface="Gill Sans MT"/>
                </a:rPr>
                <a:t>Run the "TaxTrigger" macro to calculate the</a:t>
              </a:r>
            </a:p>
            <a:p>
              <a:pPr algn="ctr" rtl="0">
                <a:defRPr sz="1000"/>
              </a:pPr>
              <a:r>
                <a:rPr lang="en-GB" sz="1000" b="0" i="0" u="none" strike="noStrike" baseline="0">
                  <a:solidFill>
                    <a:srgbClr val="FF0000"/>
                  </a:solidFill>
                  <a:latin typeface="Gill Sans MT"/>
                </a:rPr>
                <a:t>Tax Trigger Adjustment for the selected company</a:t>
              </a:r>
            </a:p>
            <a:p>
              <a:pPr algn="ctr" rtl="0">
                <a:defRPr sz="1000"/>
              </a:pPr>
              <a:endParaRPr lang="en-GB" sz="1000" b="0" i="0" u="none" strike="noStrike" baseline="0">
                <a:solidFill>
                  <a:srgbClr val="FF0000"/>
                </a:solidFill>
                <a:latin typeface="Gill Sans MT"/>
              </a:endParaRP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1028700</xdr:colOff>
          <xdr:row>1</xdr:row>
          <xdr:rowOff>0</xdr:rowOff>
        </xdr:from>
        <xdr:to>
          <xdr:col>4</xdr:col>
          <xdr:colOff>3467100</xdr:colOff>
          <xdr:row>1</xdr:row>
          <xdr:rowOff>171450</xdr:rowOff>
        </xdr:to>
        <xdr:sp macro="" textlink="">
          <xdr:nvSpPr>
            <xdr:cNvPr id="208897" name="Drop Down 1" hidden="1">
              <a:extLst>
                <a:ext uri="{63B3BB69-23CF-44E3-9099-C40C66FF867C}">
                  <a14:compatExt spid="_x0000_s208897"/>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1028700</xdr:colOff>
          <xdr:row>1</xdr:row>
          <xdr:rowOff>0</xdr:rowOff>
        </xdr:from>
        <xdr:to>
          <xdr:col>4</xdr:col>
          <xdr:colOff>3467100</xdr:colOff>
          <xdr:row>2</xdr:row>
          <xdr:rowOff>9525</xdr:rowOff>
        </xdr:to>
        <xdr:sp macro="" textlink="">
          <xdr:nvSpPr>
            <xdr:cNvPr id="194561" name="Drop Down 1" hidden="1">
              <a:extLst>
                <a:ext uri="{63B3BB69-23CF-44E3-9099-C40C66FF867C}">
                  <a14:compatExt spid="_x0000_s194561"/>
                </a:ext>
              </a:extLst>
            </xdr:cNvPr>
            <xdr:cNvSpPr/>
          </xdr:nvSpPr>
          <xdr:spPr>
            <a:xfrm>
              <a:off x="0" y="0"/>
              <a:ext cx="0" cy="0"/>
            </a:xfrm>
            <a:prstGeom prst="rect">
              <a:avLst/>
            </a:prstGeom>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2390775</xdr:colOff>
          <xdr:row>0</xdr:row>
          <xdr:rowOff>114300</xdr:rowOff>
        </xdr:from>
        <xdr:to>
          <xdr:col>8</xdr:col>
          <xdr:colOff>561975</xdr:colOff>
          <xdr:row>1</xdr:row>
          <xdr:rowOff>95250</xdr:rowOff>
        </xdr:to>
        <xdr:sp macro="" textlink="">
          <xdr:nvSpPr>
            <xdr:cNvPr id="309249" name="Drop Down 1" hidden="1">
              <a:extLst>
                <a:ext uri="{63B3BB69-23CF-44E3-9099-C40C66FF867C}">
                  <a14:compatExt spid="_x0000_s309249"/>
                </a:ext>
              </a:extLst>
            </xdr:cNvPr>
            <xdr:cNvSpPr/>
          </xdr:nvSpPr>
          <xdr:spPr>
            <a:xfrm>
              <a:off x="0" y="0"/>
              <a:ext cx="0" cy="0"/>
            </a:xfrm>
            <a:prstGeom prst="rect">
              <a:avLst/>
            </a:prstGeom>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981075</xdr:colOff>
          <xdr:row>0</xdr:row>
          <xdr:rowOff>114300</xdr:rowOff>
        </xdr:from>
        <xdr:to>
          <xdr:col>4</xdr:col>
          <xdr:colOff>3419475</xdr:colOff>
          <xdr:row>1</xdr:row>
          <xdr:rowOff>95250</xdr:rowOff>
        </xdr:to>
        <xdr:sp macro="" textlink="">
          <xdr:nvSpPr>
            <xdr:cNvPr id="325633" name="Drop Down 1" hidden="1">
              <a:extLst>
                <a:ext uri="{63B3BB69-23CF-44E3-9099-C40C66FF867C}">
                  <a14:compatExt spid="_x0000_s325633"/>
                </a:ext>
              </a:extLst>
            </xdr:cNvPr>
            <xdr:cNvSpPr/>
          </xdr:nvSpPr>
          <xdr:spPr>
            <a:xfrm>
              <a:off x="0" y="0"/>
              <a:ext cx="0" cy="0"/>
            </a:xfrm>
            <a:prstGeom prst="rect">
              <a:avLst/>
            </a:prstGeom>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561975</xdr:colOff>
          <xdr:row>1</xdr:row>
          <xdr:rowOff>0</xdr:rowOff>
        </xdr:from>
        <xdr:to>
          <xdr:col>4</xdr:col>
          <xdr:colOff>3000375</xdr:colOff>
          <xdr:row>2</xdr:row>
          <xdr:rowOff>9525</xdr:rowOff>
        </xdr:to>
        <xdr:sp macro="" textlink="">
          <xdr:nvSpPr>
            <xdr:cNvPr id="183297" name="Drop Down 1" hidden="1">
              <a:extLst>
                <a:ext uri="{63B3BB69-23CF-44E3-9099-C40C66FF867C}">
                  <a14:compatExt spid="_x0000_s183297"/>
                </a:ext>
              </a:extLst>
            </xdr:cNvPr>
            <xdr:cNvSpPr/>
          </xdr:nvSpPr>
          <xdr:spPr>
            <a:xfrm>
              <a:off x="0" y="0"/>
              <a:ext cx="0" cy="0"/>
            </a:xfrm>
            <a:prstGeom prst="rect">
              <a:avLst/>
            </a:prstGeom>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581025</xdr:colOff>
          <xdr:row>1</xdr:row>
          <xdr:rowOff>0</xdr:rowOff>
        </xdr:from>
        <xdr:to>
          <xdr:col>4</xdr:col>
          <xdr:colOff>3019425</xdr:colOff>
          <xdr:row>2</xdr:row>
          <xdr:rowOff>0</xdr:rowOff>
        </xdr:to>
        <xdr:sp macro="" textlink="">
          <xdr:nvSpPr>
            <xdr:cNvPr id="220161" name="Drop Down 1" hidden="1">
              <a:extLst>
                <a:ext uri="{63B3BB69-23CF-44E3-9099-C40C66FF867C}">
                  <a14:compatExt spid="_x0000_s220161"/>
                </a:ext>
              </a:extLst>
            </xdr:cNvPr>
            <xdr:cNvSpPr/>
          </xdr:nvSpPr>
          <xdr:spPr>
            <a:xfrm>
              <a:off x="0" y="0"/>
              <a:ext cx="0" cy="0"/>
            </a:xfrm>
            <a:prstGeom prst="rect">
              <a:avLst/>
            </a:prstGeom>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561975</xdr:colOff>
          <xdr:row>1</xdr:row>
          <xdr:rowOff>0</xdr:rowOff>
        </xdr:from>
        <xdr:to>
          <xdr:col>4</xdr:col>
          <xdr:colOff>3000375</xdr:colOff>
          <xdr:row>2</xdr:row>
          <xdr:rowOff>9525</xdr:rowOff>
        </xdr:to>
        <xdr:sp macro="" textlink="">
          <xdr:nvSpPr>
            <xdr:cNvPr id="369665" name="Drop Down 1" hidden="1">
              <a:extLst>
                <a:ext uri="{63B3BB69-23CF-44E3-9099-C40C66FF867C}">
                  <a14:compatExt spid="_x0000_s3696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44</xdr:col>
          <xdr:colOff>152400</xdr:colOff>
          <xdr:row>272</xdr:row>
          <xdr:rowOff>9525</xdr:rowOff>
        </xdr:from>
        <xdr:to>
          <xdr:col>46</xdr:col>
          <xdr:colOff>276225</xdr:colOff>
          <xdr:row>273</xdr:row>
          <xdr:rowOff>142875</xdr:rowOff>
        </xdr:to>
        <xdr:sp macro="" textlink="">
          <xdr:nvSpPr>
            <xdr:cNvPr id="369676" name="Button 12" hidden="1">
              <a:extLst>
                <a:ext uri="{63B3BB69-23CF-44E3-9099-C40C66FF867C}">
                  <a14:compatExt spid="_x0000_s369676"/>
                </a:ext>
              </a:extLst>
            </xdr:cNvPr>
            <xdr:cNvSpPr/>
          </xdr:nvSpPr>
          <xdr:spPr>
            <a:xfrm>
              <a:off x="0" y="0"/>
              <a:ext cx="0" cy="0"/>
            </a:xfrm>
            <a:prstGeom prst="rect">
              <a:avLst/>
            </a:prstGeom>
          </xdr:spPr>
          <xdr:txBody>
            <a:bodyPr vertOverflow="clip" wrap="square" lIns="27432" tIns="22860" rIns="27432" bIns="22860" anchor="ctr" upright="1"/>
            <a:lstStyle/>
            <a:p>
              <a:pPr algn="ctr" rtl="0">
                <a:defRPr sz="1000"/>
              </a:pPr>
              <a:r>
                <a:rPr lang="en-GB" sz="1000" b="0" i="0" u="none" strike="noStrike" baseline="0">
                  <a:solidFill>
                    <a:srgbClr val="000000"/>
                  </a:solidFill>
                  <a:latin typeface="Verdana"/>
                  <a:ea typeface="Verdana"/>
                  <a:cs typeface="Verdana"/>
                </a:rPr>
                <a:t>Copy Paste TVM macro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35</xdr:col>
          <xdr:colOff>390525</xdr:colOff>
          <xdr:row>231</xdr:row>
          <xdr:rowOff>0</xdr:rowOff>
        </xdr:from>
        <xdr:to>
          <xdr:col>38</xdr:col>
          <xdr:colOff>400050</xdr:colOff>
          <xdr:row>231</xdr:row>
          <xdr:rowOff>161925</xdr:rowOff>
        </xdr:to>
        <xdr:sp macro="" textlink="">
          <xdr:nvSpPr>
            <xdr:cNvPr id="369678" name="Drop Down 14" hidden="1">
              <a:extLst>
                <a:ext uri="{63B3BB69-23CF-44E3-9099-C40C66FF867C}">
                  <a14:compatExt spid="_x0000_s369678"/>
                </a:ext>
              </a:extLst>
            </xdr:cNvPr>
            <xdr:cNvSpPr/>
          </xdr:nvSpPr>
          <xdr:spPr>
            <a:xfrm>
              <a:off x="0" y="0"/>
              <a:ext cx="0" cy="0"/>
            </a:xfrm>
            <a:prstGeom prst="rect">
              <a:avLst/>
            </a:prstGeom>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142875</xdr:colOff>
          <xdr:row>9</xdr:row>
          <xdr:rowOff>0</xdr:rowOff>
        </xdr:from>
        <xdr:to>
          <xdr:col>9</xdr:col>
          <xdr:colOff>657225</xdr:colOff>
          <xdr:row>9</xdr:row>
          <xdr:rowOff>161925</xdr:rowOff>
        </xdr:to>
        <xdr:sp macro="" textlink="">
          <xdr:nvSpPr>
            <xdr:cNvPr id="424961" name="Drop Down 1" hidden="1">
              <a:extLst>
                <a:ext uri="{63B3BB69-23CF-44E3-9099-C40C66FF867C}">
                  <a14:compatExt spid="_x0000_s424961"/>
                </a:ext>
              </a:extLst>
            </xdr:cNvPr>
            <xdr:cNvSpPr/>
          </xdr:nvSpPr>
          <xdr:spPr>
            <a:xfrm>
              <a:off x="0" y="0"/>
              <a:ext cx="0" cy="0"/>
            </a:xfrm>
            <a:prstGeom prst="rect">
              <a:avLst/>
            </a:prstGeom>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581025</xdr:colOff>
          <xdr:row>1</xdr:row>
          <xdr:rowOff>0</xdr:rowOff>
        </xdr:from>
        <xdr:to>
          <xdr:col>4</xdr:col>
          <xdr:colOff>3019425</xdr:colOff>
          <xdr:row>2</xdr:row>
          <xdr:rowOff>0</xdr:rowOff>
        </xdr:to>
        <xdr:sp macro="" textlink="">
          <xdr:nvSpPr>
            <xdr:cNvPr id="175105" name="Drop Down 1" hidden="1">
              <a:extLst>
                <a:ext uri="{63B3BB69-23CF-44E3-9099-C40C66FF867C}">
                  <a14:compatExt spid="_x0000_s175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3276600</xdr:colOff>
          <xdr:row>1</xdr:row>
          <xdr:rowOff>0</xdr:rowOff>
        </xdr:from>
        <xdr:to>
          <xdr:col>8</xdr:col>
          <xdr:colOff>647700</xdr:colOff>
          <xdr:row>2</xdr:row>
          <xdr:rowOff>0</xdr:rowOff>
        </xdr:to>
        <xdr:sp macro="" textlink="">
          <xdr:nvSpPr>
            <xdr:cNvPr id="175106" name="Drop Down 2" hidden="1">
              <a:extLst>
                <a:ext uri="{63B3BB69-23CF-44E3-9099-C40C66FF867C}">
                  <a14:compatExt spid="_x0000_s175106"/>
                </a:ext>
              </a:extLst>
            </xdr:cNvPr>
            <xdr:cNvSpPr/>
          </xdr:nvSpPr>
          <xdr:spPr>
            <a:xfrm>
              <a:off x="0" y="0"/>
              <a:ext cx="0" cy="0"/>
            </a:xfrm>
            <a:prstGeom prst="rect">
              <a:avLst/>
            </a:prstGeom>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600075</xdr:colOff>
          <xdr:row>1</xdr:row>
          <xdr:rowOff>0</xdr:rowOff>
        </xdr:from>
        <xdr:to>
          <xdr:col>4</xdr:col>
          <xdr:colOff>3038475</xdr:colOff>
          <xdr:row>2</xdr:row>
          <xdr:rowOff>9525</xdr:rowOff>
        </xdr:to>
        <xdr:sp macro="" textlink="">
          <xdr:nvSpPr>
            <xdr:cNvPr id="181249" name="Drop Down 1" hidden="1">
              <a:extLst>
                <a:ext uri="{63B3BB69-23CF-44E3-9099-C40C66FF867C}">
                  <a14:compatExt spid="_x0000_s1812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3305175</xdr:colOff>
          <xdr:row>1</xdr:row>
          <xdr:rowOff>9525</xdr:rowOff>
        </xdr:from>
        <xdr:to>
          <xdr:col>8</xdr:col>
          <xdr:colOff>609600</xdr:colOff>
          <xdr:row>2</xdr:row>
          <xdr:rowOff>19050</xdr:rowOff>
        </xdr:to>
        <xdr:sp macro="" textlink="">
          <xdr:nvSpPr>
            <xdr:cNvPr id="181250" name="Drop Down 2" hidden="1">
              <a:extLst>
                <a:ext uri="{63B3BB69-23CF-44E3-9099-C40C66FF867C}">
                  <a14:compatExt spid="_x0000_s181250"/>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IIO%20ED1/Price%20Control/Phase%202/Analysis/submitted%20legacy%20pension%20numbers/LiMo%20ED%20C1.172%20v2%20submitted%20pension&amp;RAV&amp;legrev&amp;ENWLdefrev%20with%20IR%20summary%20v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PCR5%20Programme/20%20Workstreams/20.28%20RIGs%202012%202013/19i%20-%20March%2017th%20Re-Submission%20Tables/Financial%20Issues/LiMo%20ED%20C1.187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PCR5%20Programme/20%20Workstreams/20.28%20RIGs%202012%202013/19i%20-%20March%2017th%20Re-Submission%20Tables/Financial%20Issues/Analysis/Pass%20through%20WPD%2010%20Dec%202013/Pass%20through%20WP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UserInterface"/>
      <sheetName val="Change Control"/>
      <sheetName val="TaxTrigger"/>
      <sheetName val="Scenario 1"/>
      <sheetName val="@RISKInputs"/>
      <sheetName val="PriceShock"/>
      <sheetName val="RiskSerializationData"/>
      <sheetName val="Correlations"/>
      <sheetName val="rsklibSimData"/>
      <sheetName val="@RISKOutputs"/>
      <sheetName val="ScenarioInput"/>
      <sheetName val="MOD"/>
      <sheetName val="Input"/>
      <sheetName val="Totex"/>
      <sheetName val="TIM"/>
      <sheetName val="DARTs"/>
      <sheetName val="Depn"/>
      <sheetName val="Return&amp;RAV"/>
      <sheetName val="TaxPools"/>
      <sheetName val="Finance&amp;Tax"/>
      <sheetName val="Revenue"/>
      <sheetName val="Revenue Profiling"/>
      <sheetName val="LiveResults"/>
      <sheetName val="SavedResults"/>
      <sheetName val="FinancialStatements"/>
      <sheetName val="FinancialRatios"/>
      <sheetName val="Bill impact"/>
      <sheetName val="RoRE"/>
      <sheetName val="RoRE Chart"/>
      <sheetName val="FinTaxFinStmnts"/>
      <sheetName val="FinStmntUpdated"/>
      <sheetName val="FinRatios"/>
      <sheetName val="FinanceabilityTest"/>
      <sheetName val="Moody'sRatingSimulator"/>
      <sheetName val="Moody'sRatingSimulator2"/>
      <sheetName val="TaxTriggerDeadband"/>
      <sheetName val="ENWL"/>
      <sheetName val="NPgN"/>
      <sheetName val="NPgY"/>
      <sheetName val="WMID"/>
      <sheetName val="EMID"/>
      <sheetName val="SWALES"/>
      <sheetName val="SWEST"/>
      <sheetName val="LPN"/>
      <sheetName val="SPN"/>
      <sheetName val="EPN"/>
      <sheetName val="SPD"/>
      <sheetName val="SPMW"/>
      <sheetName val="SSEH"/>
      <sheetName val="SSES"/>
      <sheetName val="Analysis"/>
      <sheetName val="ED Chec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UserInterface"/>
      <sheetName val="Change Control"/>
      <sheetName val="TaxTrigger"/>
      <sheetName val="Scenario 1"/>
      <sheetName val="@RISKInputs"/>
      <sheetName val="PriceShock"/>
      <sheetName val="RiskSerializationData"/>
      <sheetName val="Correlations"/>
      <sheetName val="rsklibSimData"/>
      <sheetName val="@RISKOutputs"/>
      <sheetName val="ScenarioInput"/>
      <sheetName val="MOD"/>
      <sheetName val="Input"/>
      <sheetName val="Totex"/>
      <sheetName val="TIM"/>
      <sheetName val="DARTs"/>
      <sheetName val="Depn"/>
      <sheetName val="Return&amp;RAV"/>
      <sheetName val="TaxPools"/>
      <sheetName val="Finance&amp;Tax"/>
      <sheetName val="FinTaxFinStmnts"/>
      <sheetName val="Revenue"/>
      <sheetName val="Revenue Profiling"/>
      <sheetName val="LiveResults"/>
      <sheetName val="SavedResults"/>
      <sheetName val="FinancialStatements"/>
      <sheetName val="FinStmntUpdated"/>
      <sheetName val="FinancialRatios"/>
      <sheetName val="FinRatios"/>
      <sheetName val="Bill impact"/>
      <sheetName val="RoRE"/>
      <sheetName val="RoRE Chart"/>
      <sheetName val="FinanceabilityTest"/>
      <sheetName val="Moody'sRatingSimulator"/>
      <sheetName val="Moody'sRatingSimulator2"/>
      <sheetName val="TaxTriggerDeadband"/>
      <sheetName val="ENWL"/>
      <sheetName val="NPgN"/>
      <sheetName val="NPgY"/>
      <sheetName val="WMID"/>
      <sheetName val="EMID"/>
      <sheetName val="SWALES"/>
      <sheetName val="SWEST"/>
      <sheetName val="LPN"/>
      <sheetName val="SPN"/>
      <sheetName val="EPN"/>
      <sheetName val="SPD"/>
      <sheetName val="SPMW"/>
      <sheetName val="SSEH"/>
      <sheetName val="SSES"/>
      <sheetName val="Analysis"/>
      <sheetName val="ED Checks"/>
      <sheetName val="Tables"/>
      <sheetName val="Time to Connect Incentiv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9">
          <cell r="C19" t="str">
            <v>Values for ENWL: OWN_Best (M1a)</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UserInterface"/>
      <sheetName val="Change Control"/>
      <sheetName val="TaxTrigger"/>
      <sheetName val="Scenario 1"/>
      <sheetName val="@RISKInputs"/>
      <sheetName val="PriceShock"/>
      <sheetName val="RiskSerializationData"/>
      <sheetName val="Correlations"/>
      <sheetName val="rsklibSimData"/>
      <sheetName val="@RISKOutputs"/>
      <sheetName val="ScenarioInput"/>
      <sheetName val="MOD"/>
      <sheetName val="Input"/>
      <sheetName val="Totex"/>
      <sheetName val="TIM"/>
      <sheetName val="DARTs"/>
      <sheetName val="Depn"/>
      <sheetName val="Return&amp;RAV"/>
      <sheetName val="TaxPools"/>
      <sheetName val="Finance&amp;Tax"/>
      <sheetName val="Revenue"/>
      <sheetName val="Revenue Profiling"/>
      <sheetName val="LiveResults"/>
      <sheetName val="SavedResults"/>
      <sheetName val="FinancialStatements"/>
      <sheetName val="FinancialRatios"/>
      <sheetName val="Bill impact"/>
      <sheetName val="RoRE"/>
      <sheetName val="RoRE Chart"/>
      <sheetName val="FinTaxFinStmnts"/>
      <sheetName val="FinTaxFinStmnts HOLD"/>
      <sheetName val="FinStmntUpdated"/>
      <sheetName val="FinStmntUpdated HOLD"/>
      <sheetName val="FinRatios HOLD"/>
      <sheetName val="FinRatios"/>
      <sheetName val="FinanceabilityTest"/>
      <sheetName val="Moody'sRatingSimulator"/>
      <sheetName val="Moody'sRatingSimulator2"/>
      <sheetName val="TaxTriggerDeadband"/>
      <sheetName val="ENWL"/>
      <sheetName val="NPgN"/>
      <sheetName val="NPgY"/>
      <sheetName val="WMID"/>
      <sheetName val="EMID"/>
      <sheetName val="SWALES"/>
      <sheetName val="SWEST"/>
      <sheetName val="LPN"/>
      <sheetName val="SPN"/>
      <sheetName val="EPN"/>
      <sheetName val="SPD"/>
      <sheetName val="SPMW"/>
      <sheetName val="SSEH"/>
      <sheetName val="SSES"/>
      <sheetName val="Analysis"/>
      <sheetName val="ED Checks"/>
      <sheetName val="Tab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4.bin"/><Relationship Id="rId5" Type="http://schemas.openxmlformats.org/officeDocument/2006/relationships/ctrlProp" Target="../ctrlProps/ctrlProp7.xml"/><Relationship Id="rId4" Type="http://schemas.openxmlformats.org/officeDocument/2006/relationships/ctrlProp" Target="../ctrlProps/ctrlProp6.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trlProp" Target="../ctrlProps/ctrlProp8.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8.bin"/><Relationship Id="rId4" Type="http://schemas.openxmlformats.org/officeDocument/2006/relationships/ctrlProp" Target="../ctrlProps/ctrlProp9.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xml"/><Relationship Id="rId1" Type="http://schemas.openxmlformats.org/officeDocument/2006/relationships/printerSettings" Target="../printerSettings/printerSettings10.bin"/><Relationship Id="rId4" Type="http://schemas.openxmlformats.org/officeDocument/2006/relationships/ctrlProp" Target="../ctrlProps/ctrlProp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6.xml"/><Relationship Id="rId1" Type="http://schemas.openxmlformats.org/officeDocument/2006/relationships/printerSettings" Target="../printerSettings/printerSettings11.bin"/><Relationship Id="rId4" Type="http://schemas.openxmlformats.org/officeDocument/2006/relationships/ctrlProp" Target="../ctrlProps/ctrlProp1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7.xml"/><Relationship Id="rId1" Type="http://schemas.openxmlformats.org/officeDocument/2006/relationships/printerSettings" Target="../printerSettings/printerSettings13.bin"/><Relationship Id="rId4" Type="http://schemas.openxmlformats.org/officeDocument/2006/relationships/ctrlProp" Target="../ctrlProps/ctrlProp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8.xml"/><Relationship Id="rId1" Type="http://schemas.openxmlformats.org/officeDocument/2006/relationships/printerSettings" Target="../printerSettings/printerSettings14.bin"/><Relationship Id="rId4" Type="http://schemas.openxmlformats.org/officeDocument/2006/relationships/ctrlProp" Target="../ctrlProps/ctrlProp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0.vml"/><Relationship Id="rId7" Type="http://schemas.openxmlformats.org/officeDocument/2006/relationships/comments" Target="../comments2.xml"/><Relationship Id="rId2" Type="http://schemas.openxmlformats.org/officeDocument/2006/relationships/drawing" Target="../drawings/drawing9.xml"/><Relationship Id="rId1" Type="http://schemas.openxmlformats.org/officeDocument/2006/relationships/printerSettings" Target="../printerSettings/printerSettings15.bin"/><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0.xml"/><Relationship Id="rId1" Type="http://schemas.openxmlformats.org/officeDocument/2006/relationships/printerSettings" Target="../printerSettings/printerSettings16.bin"/><Relationship Id="rId4" Type="http://schemas.openxmlformats.org/officeDocument/2006/relationships/ctrlProp" Target="../ctrlProps/ctrlProp17.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1.xml"/><Relationship Id="rId1" Type="http://schemas.openxmlformats.org/officeDocument/2006/relationships/printerSettings" Target="../printerSettings/printerSettings18.bin"/><Relationship Id="rId5" Type="http://schemas.openxmlformats.org/officeDocument/2006/relationships/ctrlProp" Target="../ctrlProps/ctrlProp19.xml"/><Relationship Id="rId4" Type="http://schemas.openxmlformats.org/officeDocument/2006/relationships/ctrlProp" Target="../ctrlProps/ctrlProp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2.xml"/><Relationship Id="rId1" Type="http://schemas.openxmlformats.org/officeDocument/2006/relationships/printerSettings" Target="../printerSettings/printerSettings19.bin"/><Relationship Id="rId5" Type="http://schemas.openxmlformats.org/officeDocument/2006/relationships/ctrlProp" Target="../ctrlProps/ctrlProp21.xml"/><Relationship Id="rId4" Type="http://schemas.openxmlformats.org/officeDocument/2006/relationships/ctrlProp" Target="../ctrlProps/ctrlProp20.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14.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15.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16.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17.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18.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9.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20.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21.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22.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23.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24.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25.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26.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27.vml"/><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C00000"/>
    <pageSetUpPr fitToPage="1"/>
  </sheetPr>
  <dimension ref="A1:XEN65"/>
  <sheetViews>
    <sheetView zoomScale="75" zoomScaleNormal="75" workbookViewId="0">
      <pane ySplit="4" topLeftCell="A5" activePane="bottomLeft" state="frozen"/>
      <selection activeCell="F444" sqref="F444"/>
      <selection pane="bottomLeft" activeCell="G54" sqref="G54"/>
    </sheetView>
  </sheetViews>
  <sheetFormatPr defaultColWidth="0" defaultRowHeight="0" customHeight="1" zeroHeight="1"/>
  <cols>
    <col min="1" max="1" width="2.625" style="11" customWidth="1"/>
    <col min="2" max="4" width="1.625" style="11" customWidth="1"/>
    <col min="5" max="5" width="16.75" style="11" bestFit="1" customWidth="1"/>
    <col min="6" max="6" width="2.5" style="11" customWidth="1"/>
    <col min="7" max="7" width="36.625" style="11" customWidth="1"/>
    <col min="8" max="8" width="1.625" style="11" customWidth="1"/>
    <col min="9" max="9" width="13.625" style="11" customWidth="1"/>
    <col min="10" max="10" width="2.5" style="11" customWidth="1"/>
    <col min="11" max="11" width="36.625" style="11" bestFit="1" customWidth="1"/>
    <col min="12" max="12" width="1.625" style="11" customWidth="1"/>
    <col min="13" max="16335" width="9" style="11" hidden="1"/>
    <col min="16336" max="16350" width="0" style="11" hidden="1"/>
    <col min="16351" max="16368" width="9" style="11" hidden="1"/>
    <col min="16369" max="16384" width="0" style="11" hidden="1"/>
  </cols>
  <sheetData>
    <row r="1" spans="1:11" s="65" customFormat="1" ht="20.25">
      <c r="A1" s="63" t="s">
        <v>958</v>
      </c>
      <c r="B1" s="64"/>
      <c r="C1" s="64"/>
      <c r="D1" s="64"/>
      <c r="E1" s="64"/>
    </row>
    <row r="2" spans="1:11" s="65" customFormat="1" ht="15">
      <c r="A2" s="66"/>
      <c r="B2" s="66" t="s">
        <v>787</v>
      </c>
      <c r="C2" s="64"/>
      <c r="D2" s="64"/>
      <c r="E2" s="64"/>
    </row>
    <row r="3" spans="1:11" s="65" customFormat="1" ht="15" customHeight="1">
      <c r="A3" s="64"/>
      <c r="B3" s="64"/>
      <c r="C3" s="67" t="str">
        <f ca="1">MID(CELL("filename"),SEARCH("[",CELL("filename"))+1,SEARCH("]",CELL("filename"))-SEARCH("[",CELL("filename"))-1)</f>
        <v>UKPN_PCFM_Model_2014.xlsm</v>
      </c>
      <c r="D3" s="67"/>
      <c r="E3" s="67"/>
      <c r="F3" s="68"/>
      <c r="G3" s="68"/>
    </row>
    <row r="4" spans="1:11" s="65" customFormat="1" ht="27" customHeight="1">
      <c r="A4" s="64"/>
      <c r="B4" s="64"/>
      <c r="C4" s="592" t="s">
        <v>788</v>
      </c>
      <c r="D4" s="592"/>
      <c r="E4" s="592"/>
      <c r="F4" s="592"/>
      <c r="G4" s="592"/>
      <c r="H4" s="592"/>
      <c r="I4" s="592"/>
      <c r="J4" s="592"/>
      <c r="K4" s="592"/>
    </row>
    <row r="5" spans="1:11" ht="15" customHeight="1">
      <c r="B5" s="299"/>
    </row>
    <row r="6" spans="1:11" s="158" customFormat="1" ht="32.25" customHeight="1">
      <c r="B6" s="299"/>
      <c r="C6" s="593" t="s">
        <v>959</v>
      </c>
      <c r="D6" s="593"/>
      <c r="E6" s="593"/>
      <c r="F6" s="593"/>
      <c r="G6" s="593"/>
      <c r="H6" s="593"/>
      <c r="I6" s="593"/>
      <c r="J6" s="593"/>
      <c r="K6" s="593"/>
    </row>
    <row r="7" spans="1:11" s="158" customFormat="1" ht="15" customHeight="1">
      <c r="B7" s="299"/>
    </row>
    <row r="8" spans="1:11" s="158" customFormat="1" ht="45" customHeight="1">
      <c r="B8" s="436"/>
      <c r="C8" s="593" t="s">
        <v>789</v>
      </c>
      <c r="D8" s="593"/>
      <c r="E8" s="593"/>
      <c r="F8" s="593"/>
      <c r="G8" s="593"/>
      <c r="H8" s="593"/>
      <c r="I8" s="593"/>
      <c r="J8" s="593"/>
      <c r="K8" s="593"/>
    </row>
    <row r="9" spans="1:11" s="158" customFormat="1" ht="15" customHeight="1">
      <c r="B9" s="299"/>
    </row>
    <row r="10" spans="1:11" s="69" customFormat="1" ht="15" customHeight="1">
      <c r="B10" s="15" t="s">
        <v>63</v>
      </c>
      <c r="C10" s="15"/>
      <c r="D10" s="15"/>
      <c r="E10" s="15"/>
      <c r="F10" s="15"/>
      <c r="G10" s="15"/>
      <c r="H10" s="15"/>
      <c r="I10" s="15"/>
      <c r="J10" s="15"/>
      <c r="K10" s="15"/>
    </row>
    <row r="11" spans="1:11" s="69" customFormat="1" ht="15" customHeight="1">
      <c r="C11" s="70"/>
      <c r="D11" s="70"/>
      <c r="E11" s="71"/>
      <c r="G11" s="72"/>
    </row>
    <row r="12" spans="1:11" s="69" customFormat="1" ht="15" customHeight="1">
      <c r="C12" s="70"/>
      <c r="D12" s="70"/>
      <c r="E12" s="237" t="s">
        <v>112</v>
      </c>
      <c r="G12" s="69" t="s">
        <v>495</v>
      </c>
    </row>
    <row r="13" spans="1:11" s="69" customFormat="1" ht="15" customHeight="1">
      <c r="C13" s="70"/>
      <c r="D13" s="70"/>
      <c r="E13" s="73" t="s">
        <v>112</v>
      </c>
      <c r="G13" s="69" t="s">
        <v>785</v>
      </c>
    </row>
    <row r="14" spans="1:11" s="69" customFormat="1" ht="15" customHeight="1">
      <c r="C14" s="70"/>
      <c r="D14" s="70"/>
      <c r="E14" s="225" t="s">
        <v>112</v>
      </c>
      <c r="G14" s="69" t="s">
        <v>161</v>
      </c>
    </row>
    <row r="15" spans="1:11" s="69" customFormat="1" ht="15" customHeight="1">
      <c r="C15" s="70"/>
      <c r="D15" s="70"/>
      <c r="E15" s="164" t="s">
        <v>112</v>
      </c>
      <c r="G15" s="69" t="s">
        <v>160</v>
      </c>
    </row>
    <row r="16" spans="1:11" s="69" customFormat="1" ht="15" customHeight="1">
      <c r="C16" s="70"/>
      <c r="D16" s="70"/>
      <c r="E16" s="175" t="s">
        <v>112</v>
      </c>
      <c r="G16" s="69" t="s">
        <v>408</v>
      </c>
    </row>
    <row r="17" spans="2:11" s="69" customFormat="1" ht="15" customHeight="1">
      <c r="C17" s="70"/>
      <c r="D17" s="70"/>
      <c r="E17" s="172" t="s">
        <v>112</v>
      </c>
      <c r="G17" s="69" t="s">
        <v>960</v>
      </c>
    </row>
    <row r="18" spans="2:11" s="69" customFormat="1" ht="15" customHeight="1">
      <c r="C18" s="70"/>
      <c r="D18" s="70"/>
    </row>
    <row r="19" spans="2:11" s="69" customFormat="1" ht="15" customHeight="1">
      <c r="B19" s="15" t="s">
        <v>77</v>
      </c>
      <c r="C19" s="15"/>
      <c r="D19" s="15"/>
      <c r="E19" s="15"/>
      <c r="F19" s="15"/>
      <c r="G19" s="15"/>
      <c r="H19" s="15"/>
      <c r="I19" s="15"/>
      <c r="J19" s="15"/>
      <c r="K19" s="15"/>
    </row>
    <row r="20" spans="2:11" s="69" customFormat="1" ht="15" customHeight="1">
      <c r="C20" s="70"/>
      <c r="D20" s="70"/>
      <c r="E20" s="71"/>
      <c r="G20" s="72"/>
    </row>
    <row r="21" spans="2:11" s="69" customFormat="1" ht="15" customHeight="1" thickBot="1">
      <c r="C21" s="70"/>
      <c r="E21" s="70" t="s">
        <v>188</v>
      </c>
    </row>
    <row r="22" spans="2:11" s="69" customFormat="1" ht="15" customHeight="1" thickBot="1">
      <c r="C22" s="70"/>
      <c r="D22" s="70"/>
      <c r="E22" s="74" t="s">
        <v>79</v>
      </c>
      <c r="F22" s="75"/>
      <c r="G22" s="76" t="s">
        <v>83</v>
      </c>
    </row>
    <row r="23" spans="2:11" s="69" customFormat="1" ht="15" customHeight="1" thickBot="1">
      <c r="C23" s="70"/>
      <c r="D23" s="70"/>
      <c r="E23" s="74" t="s">
        <v>80</v>
      </c>
      <c r="F23" s="75"/>
      <c r="G23" s="76" t="s">
        <v>59</v>
      </c>
    </row>
    <row r="24" spans="2:11" s="69" customFormat="1" ht="15" customHeight="1" thickBot="1">
      <c r="C24" s="70"/>
      <c r="D24" s="70"/>
      <c r="E24" s="77" t="s">
        <v>320</v>
      </c>
      <c r="F24" s="75"/>
      <c r="G24" s="76" t="s">
        <v>65</v>
      </c>
    </row>
    <row r="25" spans="2:11" s="69" customFormat="1" ht="15" customHeight="1">
      <c r="C25" s="70"/>
      <c r="D25" s="70"/>
      <c r="E25" s="77" t="s">
        <v>60</v>
      </c>
      <c r="F25" s="435"/>
      <c r="G25" s="76" t="s">
        <v>784</v>
      </c>
    </row>
    <row r="26" spans="2:11" s="69" customFormat="1" ht="15" customHeight="1" thickBot="1">
      <c r="C26" s="70"/>
      <c r="D26" s="70"/>
      <c r="E26" s="70" t="s">
        <v>494</v>
      </c>
      <c r="G26" s="72"/>
    </row>
    <row r="27" spans="2:11" s="69" customFormat="1" ht="15" customHeight="1" thickTop="1" thickBot="1">
      <c r="C27" s="70"/>
      <c r="D27" s="70"/>
      <c r="E27" s="74" t="s">
        <v>78</v>
      </c>
      <c r="F27" s="170"/>
      <c r="G27" s="76" t="s">
        <v>187</v>
      </c>
    </row>
    <row r="28" spans="2:11" s="69" customFormat="1" ht="15" customHeight="1" thickTop="1" thickBot="1">
      <c r="C28" s="70"/>
      <c r="D28" s="70"/>
      <c r="E28" s="70" t="s">
        <v>82</v>
      </c>
      <c r="G28" s="72"/>
    </row>
    <row r="29" spans="2:11" s="69" customFormat="1" ht="15" customHeight="1" thickBot="1">
      <c r="C29" s="70"/>
      <c r="D29" s="70"/>
      <c r="E29" s="74" t="s">
        <v>69</v>
      </c>
      <c r="F29" s="79"/>
      <c r="G29" s="76" t="s">
        <v>314</v>
      </c>
    </row>
    <row r="30" spans="2:11" s="69" customFormat="1" ht="15" customHeight="1" thickBot="1">
      <c r="C30" s="70"/>
      <c r="D30" s="70"/>
      <c r="E30" s="74" t="s">
        <v>212</v>
      </c>
      <c r="F30" s="79"/>
      <c r="G30" s="76" t="s">
        <v>315</v>
      </c>
    </row>
    <row r="31" spans="2:11" s="69" customFormat="1" ht="15" customHeight="1" thickBot="1">
      <c r="C31" s="70"/>
      <c r="D31" s="70"/>
      <c r="E31" s="74" t="s">
        <v>222</v>
      </c>
      <c r="F31" s="79"/>
      <c r="G31" s="76" t="s">
        <v>224</v>
      </c>
    </row>
    <row r="32" spans="2:11" s="69" customFormat="1" ht="15" customHeight="1" thickBot="1">
      <c r="C32" s="70"/>
      <c r="D32" s="70"/>
      <c r="E32" s="74" t="s">
        <v>543</v>
      </c>
      <c r="F32" s="79"/>
      <c r="G32" s="76" t="s">
        <v>284</v>
      </c>
    </row>
    <row r="33" spans="3:7" s="69" customFormat="1" ht="15" customHeight="1" thickBot="1">
      <c r="C33" s="70"/>
      <c r="D33" s="70"/>
      <c r="E33" s="74" t="s">
        <v>189</v>
      </c>
      <c r="F33" s="79"/>
      <c r="G33" s="70" t="s">
        <v>190</v>
      </c>
    </row>
    <row r="34" spans="3:7" s="69" customFormat="1" ht="15" customHeight="1" thickBot="1">
      <c r="C34" s="70"/>
      <c r="D34" s="70"/>
      <c r="E34" s="74" t="s">
        <v>208</v>
      </c>
      <c r="F34" s="79"/>
      <c r="G34" s="76" t="s">
        <v>316</v>
      </c>
    </row>
    <row r="35" spans="3:7" s="69" customFormat="1" ht="15" customHeight="1" thickBot="1">
      <c r="C35" s="70"/>
      <c r="D35" s="70"/>
      <c r="E35" s="74" t="s">
        <v>348</v>
      </c>
      <c r="F35" s="79"/>
      <c r="G35" s="76" t="s">
        <v>358</v>
      </c>
    </row>
    <row r="36" spans="3:7" s="69" customFormat="1" ht="15" customHeight="1" thickBot="1">
      <c r="C36" s="70"/>
      <c r="D36" s="70"/>
      <c r="E36" s="74" t="s">
        <v>18</v>
      </c>
      <c r="F36" s="79"/>
      <c r="G36" s="76" t="s">
        <v>317</v>
      </c>
    </row>
    <row r="37" spans="3:7" s="69" customFormat="1" ht="15" customHeight="1" thickBot="1">
      <c r="C37" s="70"/>
      <c r="D37" s="70"/>
      <c r="E37" s="74" t="s">
        <v>855</v>
      </c>
      <c r="F37" s="173"/>
      <c r="G37" s="76" t="s">
        <v>856</v>
      </c>
    </row>
    <row r="38" spans="3:7" s="69" customFormat="1" ht="15" customHeight="1" thickBot="1">
      <c r="C38" s="70"/>
      <c r="D38" s="70"/>
      <c r="E38" s="70" t="s">
        <v>81</v>
      </c>
      <c r="G38" s="72"/>
    </row>
    <row r="39" spans="3:7" s="69" customFormat="1" ht="15" customHeight="1" thickBot="1">
      <c r="C39" s="70"/>
      <c r="D39" s="70"/>
      <c r="E39" s="77" t="s">
        <v>786</v>
      </c>
      <c r="F39" s="78"/>
      <c r="G39" s="76" t="s">
        <v>318</v>
      </c>
    </row>
    <row r="40" spans="3:7" s="69" customFormat="1" ht="15" customHeight="1" thickBot="1">
      <c r="C40" s="70"/>
      <c r="D40" s="70"/>
      <c r="E40" s="77" t="s">
        <v>116</v>
      </c>
      <c r="F40" s="78"/>
      <c r="G40" s="76" t="s">
        <v>319</v>
      </c>
    </row>
    <row r="41" spans="3:7" s="69" customFormat="1" ht="15" customHeight="1" thickBot="1">
      <c r="C41" s="70"/>
      <c r="D41" s="70"/>
      <c r="E41" s="77" t="s">
        <v>468</v>
      </c>
      <c r="F41" s="173"/>
      <c r="G41" s="76" t="s">
        <v>471</v>
      </c>
    </row>
    <row r="42" spans="3:7" s="69" customFormat="1" ht="15" customHeight="1" thickBot="1">
      <c r="C42" s="70"/>
      <c r="D42" s="70"/>
      <c r="E42" s="77" t="s">
        <v>469</v>
      </c>
      <c r="F42" s="173"/>
      <c r="G42" s="76" t="s">
        <v>470</v>
      </c>
    </row>
    <row r="43" spans="3:7" s="69" customFormat="1" ht="15" customHeight="1" thickBot="1">
      <c r="C43" s="70"/>
      <c r="D43" s="70"/>
      <c r="E43" s="284" t="s">
        <v>547</v>
      </c>
      <c r="F43" s="173"/>
      <c r="G43" s="76" t="s">
        <v>548</v>
      </c>
    </row>
    <row r="44" spans="3:7" s="69" customFormat="1" ht="15" customHeight="1" thickBot="1">
      <c r="C44" s="70"/>
      <c r="D44" s="70"/>
      <c r="E44" s="284" t="s">
        <v>545</v>
      </c>
      <c r="F44" s="173"/>
      <c r="G44" s="76" t="s">
        <v>546</v>
      </c>
    </row>
    <row r="45" spans="3:7" s="69" customFormat="1" ht="15" customHeight="1" thickBot="1">
      <c r="C45" s="70"/>
      <c r="D45" s="70"/>
      <c r="E45" s="69" t="s">
        <v>496</v>
      </c>
    </row>
    <row r="46" spans="3:7" s="69" customFormat="1" ht="15" customHeight="1" thickTop="1" thickBot="1">
      <c r="C46" s="70"/>
      <c r="D46" s="70"/>
      <c r="E46" s="77" t="s">
        <v>625</v>
      </c>
      <c r="F46" s="170"/>
    </row>
    <row r="47" spans="3:7" s="69" customFormat="1" ht="15" customHeight="1" thickTop="1" thickBot="1">
      <c r="C47" s="70"/>
      <c r="D47" s="70"/>
      <c r="E47" s="77" t="s">
        <v>626</v>
      </c>
      <c r="F47" s="170"/>
    </row>
    <row r="48" spans="3:7" s="69" customFormat="1" ht="15" customHeight="1" thickTop="1" thickBot="1">
      <c r="C48" s="70"/>
      <c r="D48" s="70"/>
      <c r="E48" s="77" t="s">
        <v>627</v>
      </c>
      <c r="F48" s="170"/>
    </row>
    <row r="49" spans="3:11" s="69" customFormat="1" ht="15" customHeight="1" thickTop="1" thickBot="1">
      <c r="C49" s="70"/>
      <c r="D49" s="70"/>
      <c r="E49" s="77" t="s">
        <v>628</v>
      </c>
      <c r="F49" s="170"/>
    </row>
    <row r="50" spans="3:11" s="69" customFormat="1" ht="15" customHeight="1" thickTop="1" thickBot="1">
      <c r="C50" s="70"/>
      <c r="D50" s="70"/>
      <c r="E50" s="77" t="s">
        <v>629</v>
      </c>
      <c r="F50" s="170"/>
    </row>
    <row r="51" spans="3:11" s="69" customFormat="1" ht="15" customHeight="1" thickTop="1" thickBot="1">
      <c r="C51" s="70"/>
      <c r="D51" s="70"/>
      <c r="E51" s="77" t="s">
        <v>630</v>
      </c>
      <c r="F51" s="170"/>
    </row>
    <row r="52" spans="3:11" s="69" customFormat="1" ht="15" customHeight="1" thickTop="1" thickBot="1">
      <c r="C52" s="70"/>
      <c r="D52" s="70"/>
      <c r="E52" s="77" t="s">
        <v>631</v>
      </c>
      <c r="F52" s="170"/>
    </row>
    <row r="53" spans="3:11" s="69" customFormat="1" ht="15" customHeight="1" thickTop="1" thickBot="1">
      <c r="C53" s="70"/>
      <c r="D53" s="70"/>
      <c r="E53" s="77" t="s">
        <v>632</v>
      </c>
      <c r="F53" s="170"/>
    </row>
    <row r="54" spans="3:11" s="69" customFormat="1" ht="15" customHeight="1" thickTop="1" thickBot="1">
      <c r="C54" s="70"/>
      <c r="D54" s="70"/>
      <c r="E54" s="77" t="s">
        <v>633</v>
      </c>
      <c r="F54" s="170"/>
      <c r="G54" s="11"/>
      <c r="I54" s="158"/>
      <c r="J54" s="11"/>
      <c r="K54" s="11"/>
    </row>
    <row r="55" spans="3:11" ht="15" customHeight="1" thickTop="1" thickBot="1">
      <c r="E55" s="77" t="s">
        <v>634</v>
      </c>
      <c r="F55" s="170"/>
      <c r="I55" s="158"/>
    </row>
    <row r="56" spans="3:11" ht="15" customHeight="1" thickTop="1" thickBot="1">
      <c r="E56" s="77" t="s">
        <v>635</v>
      </c>
      <c r="F56" s="170"/>
      <c r="I56" s="158"/>
    </row>
    <row r="57" spans="3:11" ht="15" customHeight="1" thickTop="1" thickBot="1">
      <c r="E57" s="77" t="s">
        <v>636</v>
      </c>
      <c r="F57" s="170"/>
      <c r="I57" s="158"/>
    </row>
    <row r="58" spans="3:11" ht="15" customHeight="1" thickTop="1" thickBot="1">
      <c r="E58" s="77" t="s">
        <v>637</v>
      </c>
      <c r="F58" s="170"/>
      <c r="I58" s="158"/>
    </row>
    <row r="59" spans="3:11" s="158" customFormat="1" ht="15" customHeight="1" thickTop="1" thickBot="1">
      <c r="E59" s="77" t="s">
        <v>638</v>
      </c>
      <c r="F59" s="170"/>
    </row>
    <row r="60" spans="3:11" s="158" customFormat="1" ht="15" customHeight="1" thickTop="1"/>
    <row r="61" spans="3:11" s="158" customFormat="1" ht="15" customHeight="1"/>
    <row r="62" spans="3:11" s="158" customFormat="1" ht="15" customHeight="1"/>
    <row r="63" spans="3:11" s="158" customFormat="1" ht="15" customHeight="1"/>
    <row r="64" spans="3:11" ht="15" customHeight="1"/>
    <row r="65" ht="15" customHeight="1"/>
  </sheetData>
  <mergeCells count="3">
    <mergeCell ref="C4:K4"/>
    <mergeCell ref="C6:K6"/>
    <mergeCell ref="C8:K8"/>
  </mergeCells>
  <hyperlinks>
    <hyperlink ref="E24" location="TaxTrigger!A1" display="TaxTrigger"/>
    <hyperlink ref="E39" location="LiveResults!A1" display="ResultsLive"/>
    <hyperlink ref="E35" location="'Finance&amp;Tax'!A1" display="Finance&amp;Tax"/>
    <hyperlink ref="E22" location="Cover!A1" display="Cover"/>
    <hyperlink ref="E23" location="UserInterface!A1" display="UserInterface"/>
    <hyperlink ref="E27" location="Input!A1" display="Input"/>
    <hyperlink ref="E31" location="DARTs!A1" display="DARTs"/>
    <hyperlink ref="E29" location="Totex!A1" display="Totex"/>
    <hyperlink ref="E34" location="TaxPools!A1" display="TaxPools"/>
    <hyperlink ref="E36" location="Revenue!A1" display="Revenue"/>
    <hyperlink ref="E32" location="DepnGD!A1" display="DepnGD"/>
    <hyperlink ref="E33" location="'Return&amp;RAV'!A1" display="Return&amp;RAV"/>
    <hyperlink ref="E30" location="TIM!A1" display="TIM"/>
    <hyperlink ref="E41" location="FinancialStatements!A1" display="FinancialStatements"/>
    <hyperlink ref="E42" location="FinancialRatios!A1" display="FinancialRatios"/>
    <hyperlink ref="E44" location="Incentives!A1" display="RoRE"/>
    <hyperlink ref="E43" location="'Bill impact'!A1" display="Bill impact"/>
    <hyperlink ref="E25" location="MOD!A1" display="TaxTrigger"/>
    <hyperlink ref="E40" location="SavedResults!A1" display="LiveResults"/>
    <hyperlink ref="E46" location="ENWL!A1" display="Bill impact"/>
    <hyperlink ref="E47" location="NPgN!A1" display="ENWL"/>
    <hyperlink ref="E48" location="NPgY!A1" display="ENWL"/>
    <hyperlink ref="E49" location="WMID!A1" display="ENWL"/>
    <hyperlink ref="E50" location="EMID!A1" display="ENWL"/>
    <hyperlink ref="E51" location="SWALES!A1" display="ENWL"/>
    <hyperlink ref="E52" location="SWEST!A1" display="ENWL"/>
    <hyperlink ref="E53" location="LPN!A1" display="ENWL"/>
    <hyperlink ref="E54" location="SPN!A1" display="ENWL"/>
    <hyperlink ref="E56" location="SPD!A1" display="ENWL"/>
    <hyperlink ref="E57" location="SPMW!A1" display="ENWL"/>
    <hyperlink ref="E58" location="SSEH!A1" display="ENWL"/>
    <hyperlink ref="E59" location="SSES!A1" display="ENWL"/>
    <hyperlink ref="E55" location="EPN!A1" display="ENWL"/>
    <hyperlink ref="E37" location="'Revenue Profiling'!A1" display="Revenue Profiling"/>
  </hyperlinks>
  <pageMargins left="0.23622047244094491" right="0.23622047244094491" top="0.74803149606299213" bottom="0.74803149606299213" header="0.31496062992125984" footer="0.31496062992125984"/>
  <pageSetup paperSize="8" fitToHeight="0" orientation="portrait" r:id="rId1"/>
  <headerFooter>
    <oddFooter>&amp;LDraft at &amp;D&amp;C&amp;P of &amp;N&amp;R"&amp;A" sheet</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rgb="FFC00000"/>
    <pageSetUpPr fitToPage="1"/>
  </sheetPr>
  <dimension ref="A1:U92"/>
  <sheetViews>
    <sheetView zoomScale="75" zoomScaleNormal="75" zoomScaleSheetLayoutView="70" workbookViewId="0">
      <pane ySplit="1" topLeftCell="A2" activePane="bottomLeft" state="frozen"/>
      <selection activeCell="F444" sqref="F444"/>
      <selection pane="bottomLeft" activeCell="A2" sqref="A2"/>
    </sheetView>
  </sheetViews>
  <sheetFormatPr defaultColWidth="0" defaultRowHeight="0" customHeight="1" zeroHeight="1"/>
  <cols>
    <col min="1" max="4" width="1.625" style="69" customWidth="1"/>
    <col min="5" max="5" width="41.5" style="69" customWidth="1"/>
    <col min="6" max="6" width="1.625" style="69" customWidth="1"/>
    <col min="7" max="7" width="45.625" style="69" customWidth="1"/>
    <col min="8" max="8" width="1.625" style="69" customWidth="1"/>
    <col min="9" max="13" width="9" style="69" hidden="1" customWidth="1"/>
    <col min="14" max="21" width="0" style="69" hidden="1" customWidth="1"/>
    <col min="22" max="16384" width="9" style="69" hidden="1"/>
  </cols>
  <sheetData>
    <row r="1" spans="1:7" s="65" customFormat="1" ht="15">
      <c r="A1" s="80" t="s">
        <v>207</v>
      </c>
    </row>
    <row r="2" spans="1:7" ht="15" customHeight="1"/>
    <row r="3" spans="1:7" ht="15" customHeight="1">
      <c r="B3" s="15" t="s">
        <v>59</v>
      </c>
      <c r="C3" s="15"/>
      <c r="D3" s="15"/>
      <c r="E3" s="15"/>
      <c r="F3" s="15"/>
      <c r="G3" s="15"/>
    </row>
    <row r="4" spans="1:7" ht="15" customHeight="1"/>
    <row r="5" spans="1:7" ht="15" customHeight="1">
      <c r="C5" s="17" t="s">
        <v>770</v>
      </c>
      <c r="D5" s="17"/>
      <c r="E5" s="17"/>
      <c r="F5" s="17"/>
      <c r="G5" s="17"/>
    </row>
    <row r="6" spans="1:7" ht="15" customHeight="1">
      <c r="C6" s="82"/>
      <c r="D6" s="82"/>
      <c r="E6" s="176"/>
      <c r="F6" s="82"/>
      <c r="G6" s="194"/>
    </row>
    <row r="7" spans="1:7" ht="15" customHeight="1">
      <c r="C7" s="82"/>
      <c r="D7" s="82"/>
      <c r="E7" s="176" t="s">
        <v>576</v>
      </c>
      <c r="F7" s="82"/>
      <c r="G7" s="194"/>
    </row>
    <row r="8" spans="1:7" ht="15" customHeight="1">
      <c r="C8" s="82"/>
      <c r="D8" s="82"/>
      <c r="E8" s="176"/>
      <c r="F8" s="82"/>
      <c r="G8" s="194"/>
    </row>
    <row r="9" spans="1:7" ht="15" customHeight="1">
      <c r="C9" s="82"/>
      <c r="D9" s="82"/>
      <c r="E9" s="176" t="s">
        <v>771</v>
      </c>
      <c r="F9" s="82"/>
      <c r="G9" s="210" t="str">
        <f>INDEX(E79:E80,E81)</f>
        <v>Base (M1b)</v>
      </c>
    </row>
    <row r="10" spans="1:7" ht="15" customHeight="1">
      <c r="C10" s="82"/>
      <c r="D10" s="82"/>
      <c r="E10" s="176"/>
      <c r="F10" s="82"/>
      <c r="G10" s="194"/>
    </row>
    <row r="11" spans="1:7" ht="15" customHeight="1">
      <c r="C11" s="82"/>
      <c r="D11" s="82"/>
      <c r="E11" s="176"/>
      <c r="F11" s="82"/>
      <c r="G11" s="462"/>
    </row>
    <row r="12" spans="1:7" ht="15" customHeight="1">
      <c r="C12" s="17" t="s">
        <v>321</v>
      </c>
      <c r="D12" s="17"/>
      <c r="E12" s="17"/>
      <c r="F12" s="17"/>
      <c r="G12" s="17"/>
    </row>
    <row r="13" spans="1:7" ht="15" customHeight="1">
      <c r="C13" s="175" t="s">
        <v>324</v>
      </c>
      <c r="D13" s="175"/>
      <c r="E13" s="175"/>
      <c r="F13" s="175"/>
      <c r="G13" s="175"/>
    </row>
    <row r="14" spans="1:7" ht="15" customHeight="1">
      <c r="C14" s="70"/>
      <c r="D14" s="70"/>
      <c r="E14" s="71"/>
      <c r="G14" s="72"/>
    </row>
    <row r="15" spans="1:7" ht="15" customHeight="1">
      <c r="C15" s="70"/>
      <c r="D15" s="70"/>
      <c r="E15" s="176" t="s">
        <v>296</v>
      </c>
    </row>
    <row r="16" spans="1:7" ht="15" customHeight="1">
      <c r="C16" s="70"/>
      <c r="D16" s="70"/>
      <c r="E16" s="176"/>
    </row>
    <row r="17" spans="2:7" ht="15" customHeight="1">
      <c r="B17" s="82"/>
      <c r="C17" s="82"/>
      <c r="D17" s="82"/>
      <c r="E17" s="176" t="s">
        <v>297</v>
      </c>
      <c r="F17" s="82"/>
      <c r="G17" s="312">
        <f>EOMONTH(42094,E75*12)</f>
        <v>42460</v>
      </c>
    </row>
    <row r="18" spans="2:7" ht="15" customHeight="1">
      <c r="C18" s="70"/>
      <c r="D18" s="70"/>
      <c r="E18" s="71"/>
      <c r="G18" s="72"/>
    </row>
    <row r="19" spans="2:7" ht="15" customHeight="1">
      <c r="C19" s="17" t="s">
        <v>325</v>
      </c>
      <c r="D19" s="17"/>
      <c r="E19" s="17"/>
      <c r="F19" s="17"/>
      <c r="G19" s="17"/>
    </row>
    <row r="20" spans="2:7" ht="15" customHeight="1">
      <c r="C20" s="175" t="s">
        <v>323</v>
      </c>
      <c r="D20" s="175"/>
      <c r="E20" s="175"/>
      <c r="F20" s="175"/>
      <c r="G20" s="175"/>
    </row>
    <row r="21" spans="2:7" ht="15" customHeight="1">
      <c r="C21" s="70"/>
      <c r="D21" s="70"/>
      <c r="E21" s="70"/>
    </row>
    <row r="22" spans="2:7" ht="15" customHeight="1">
      <c r="C22" s="70"/>
      <c r="D22" s="70"/>
      <c r="E22" s="176" t="s">
        <v>298</v>
      </c>
    </row>
    <row r="23" spans="2:7" ht="15" customHeight="1">
      <c r="C23" s="70"/>
      <c r="D23" s="70"/>
      <c r="E23" s="176"/>
    </row>
    <row r="24" spans="2:7" ht="15" customHeight="1">
      <c r="C24" s="70"/>
      <c r="D24" s="70"/>
      <c r="E24" s="176" t="s">
        <v>299</v>
      </c>
      <c r="G24" s="210" t="str">
        <f>INDEX(E49:E62, E63)</f>
        <v>SPN</v>
      </c>
    </row>
    <row r="25" spans="2:7" ht="15" customHeight="1">
      <c r="C25" s="70"/>
      <c r="D25" s="70"/>
      <c r="E25" s="71"/>
      <c r="G25" s="72"/>
    </row>
    <row r="26" spans="2:7" ht="15" customHeight="1">
      <c r="C26" s="17" t="s">
        <v>322</v>
      </c>
      <c r="D26" s="17"/>
      <c r="E26" s="17"/>
      <c r="F26" s="17"/>
      <c r="G26" s="17"/>
    </row>
    <row r="27" spans="2:7" ht="15" customHeight="1">
      <c r="C27" s="434" t="s">
        <v>779</v>
      </c>
      <c r="D27" s="175"/>
      <c r="E27" s="175"/>
      <c r="F27" s="175"/>
      <c r="G27" s="175"/>
    </row>
    <row r="28" spans="2:7" ht="15" customHeight="1">
      <c r="C28" s="70"/>
      <c r="D28" s="70"/>
      <c r="E28" s="71"/>
      <c r="G28" s="72"/>
    </row>
    <row r="29" spans="2:7" ht="15" customHeight="1">
      <c r="C29" s="70"/>
      <c r="D29" s="70"/>
      <c r="E29" s="176" t="s">
        <v>300</v>
      </c>
      <c r="G29" s="313" t="str">
        <f>INDEX(TaxTrigger!E30:E31,m_tax_trigger_state,1)</f>
        <v>Licence Model</v>
      </c>
    </row>
    <row r="30" spans="2:7" ht="15" customHeight="1">
      <c r="C30" s="70"/>
      <c r="D30" s="70"/>
      <c r="E30" s="71"/>
      <c r="G30" s="72"/>
    </row>
    <row r="31" spans="2:7" ht="15" customHeight="1">
      <c r="C31" s="17" t="s">
        <v>90</v>
      </c>
      <c r="D31" s="17"/>
      <c r="E31" s="17"/>
      <c r="F31" s="17"/>
      <c r="G31" s="17"/>
    </row>
    <row r="32" spans="2:7" ht="15" customHeight="1">
      <c r="C32" s="175" t="s">
        <v>202</v>
      </c>
      <c r="D32" s="175"/>
      <c r="E32" s="175"/>
      <c r="F32" s="175"/>
      <c r="G32" s="175"/>
    </row>
    <row r="33" spans="2:11" ht="15" customHeight="1">
      <c r="C33" s="175" t="s">
        <v>199</v>
      </c>
      <c r="D33" s="175"/>
      <c r="E33" s="175"/>
      <c r="F33" s="175"/>
      <c r="G33" s="175"/>
    </row>
    <row r="34" spans="2:11" ht="15" customHeight="1">
      <c r="C34" s="171" t="s">
        <v>329</v>
      </c>
      <c r="D34" s="171"/>
      <c r="E34" s="171"/>
      <c r="F34" s="175"/>
      <c r="G34" s="175"/>
    </row>
    <row r="35" spans="2:11" ht="15" customHeight="1">
      <c r="C35" s="171" t="s">
        <v>201</v>
      </c>
      <c r="D35" s="171"/>
      <c r="E35" s="171"/>
      <c r="F35" s="175"/>
      <c r="G35" s="175"/>
    </row>
    <row r="36" spans="2:11" ht="15" customHeight="1">
      <c r="C36" s="171" t="s">
        <v>343</v>
      </c>
      <c r="D36" s="171"/>
      <c r="E36" s="171"/>
      <c r="F36" s="175"/>
      <c r="G36" s="175"/>
    </row>
    <row r="37" spans="2:11" ht="15" customHeight="1">
      <c r="C37" s="70"/>
      <c r="D37" s="70"/>
      <c r="E37" s="71"/>
      <c r="G37" s="72"/>
    </row>
    <row r="38" spans="2:11" ht="15" customHeight="1">
      <c r="C38" s="70"/>
      <c r="D38" s="70"/>
      <c r="E38" s="71"/>
      <c r="G38" s="72"/>
    </row>
    <row r="39" spans="2:11" ht="15" customHeight="1">
      <c r="C39" s="70"/>
      <c r="D39" s="70"/>
      <c r="E39" s="71"/>
      <c r="G39" s="72"/>
    </row>
    <row r="40" spans="2:11" ht="15" customHeight="1">
      <c r="C40" s="70"/>
      <c r="D40" s="70"/>
      <c r="E40" s="71"/>
      <c r="G40" s="72"/>
    </row>
    <row r="41" spans="2:11" ht="15" customHeight="1">
      <c r="C41" s="70"/>
      <c r="D41" s="70"/>
      <c r="E41" s="71"/>
      <c r="G41" s="72"/>
    </row>
    <row r="42" spans="2:11" ht="15" customHeight="1">
      <c r="B42" s="15" t="s">
        <v>57</v>
      </c>
      <c r="C42" s="15"/>
      <c r="D42" s="15"/>
      <c r="E42" s="15"/>
      <c r="F42" s="15"/>
      <c r="G42" s="15"/>
      <c r="I42" s="82"/>
      <c r="J42" s="82"/>
      <c r="K42" s="82"/>
    </row>
    <row r="43" spans="2:11" ht="15" customHeight="1">
      <c r="B43" s="166" t="s">
        <v>326</v>
      </c>
      <c r="C43" s="166"/>
      <c r="D43" s="166"/>
      <c r="E43" s="166"/>
      <c r="F43" s="166"/>
      <c r="G43" s="166"/>
      <c r="I43" s="82"/>
      <c r="J43" s="82"/>
      <c r="K43" s="82"/>
    </row>
    <row r="44" spans="2:11" ht="15" customHeight="1">
      <c r="B44" s="166" t="s">
        <v>327</v>
      </c>
      <c r="C44" s="166"/>
      <c r="D44" s="166"/>
      <c r="E44" s="166"/>
      <c r="F44" s="166"/>
      <c r="G44" s="166"/>
      <c r="I44" s="82"/>
      <c r="J44" s="82"/>
      <c r="K44" s="82"/>
    </row>
    <row r="45" spans="2:11" ht="15" customHeight="1">
      <c r="B45" s="166" t="s">
        <v>328</v>
      </c>
      <c r="C45" s="166"/>
      <c r="D45" s="166"/>
      <c r="E45" s="166"/>
      <c r="F45" s="166"/>
      <c r="G45" s="166"/>
      <c r="I45" s="82"/>
      <c r="J45" s="82"/>
      <c r="K45" s="82"/>
    </row>
    <row r="46" spans="2:11" ht="15" customHeight="1">
      <c r="B46" s="166" t="s">
        <v>391</v>
      </c>
      <c r="C46" s="166"/>
      <c r="D46" s="166"/>
      <c r="E46" s="166"/>
      <c r="F46" s="166"/>
      <c r="G46" s="166"/>
      <c r="I46" s="82"/>
      <c r="J46" s="82"/>
      <c r="K46" s="82"/>
    </row>
    <row r="47" spans="2:11" ht="15" customHeight="1">
      <c r="I47" s="82"/>
      <c r="J47" s="82"/>
      <c r="K47" s="82"/>
    </row>
    <row r="48" spans="2:11" ht="15" customHeight="1" thickBot="1">
      <c r="E48" s="177" t="str">
        <f>"Source for ''"&amp;C19&amp;"'' drop-down list"</f>
        <v>Source for ''Active company'' drop-down list</v>
      </c>
      <c r="I48" s="82"/>
      <c r="J48" s="82"/>
      <c r="K48" s="82"/>
    </row>
    <row r="49" spans="5:9" ht="15" customHeight="1">
      <c r="E49" s="314" t="s">
        <v>625</v>
      </c>
      <c r="F49" s="83"/>
      <c r="I49" s="82"/>
    </row>
    <row r="50" spans="5:9" ht="15" customHeight="1">
      <c r="E50" s="315" t="s">
        <v>626</v>
      </c>
    </row>
    <row r="51" spans="5:9" ht="15" customHeight="1">
      <c r="E51" s="315" t="s">
        <v>627</v>
      </c>
    </row>
    <row r="52" spans="5:9" ht="15" customHeight="1">
      <c r="E52" s="315" t="s">
        <v>628</v>
      </c>
    </row>
    <row r="53" spans="5:9" ht="15" customHeight="1">
      <c r="E53" s="315" t="s">
        <v>629</v>
      </c>
    </row>
    <row r="54" spans="5:9" ht="15" customHeight="1">
      <c r="E54" s="315" t="s">
        <v>630</v>
      </c>
    </row>
    <row r="55" spans="5:9" ht="15" customHeight="1">
      <c r="E55" s="315" t="s">
        <v>631</v>
      </c>
    </row>
    <row r="56" spans="5:9" ht="15" customHeight="1">
      <c r="E56" s="315" t="s">
        <v>632</v>
      </c>
    </row>
    <row r="57" spans="5:9" ht="15" customHeight="1">
      <c r="E57" s="315" t="s">
        <v>633</v>
      </c>
    </row>
    <row r="58" spans="5:9" ht="15" customHeight="1">
      <c r="E58" s="315" t="s">
        <v>634</v>
      </c>
    </row>
    <row r="59" spans="5:9" ht="15" customHeight="1">
      <c r="E59" s="315" t="s">
        <v>635</v>
      </c>
    </row>
    <row r="60" spans="5:9" ht="15" customHeight="1">
      <c r="E60" s="315" t="s">
        <v>636</v>
      </c>
    </row>
    <row r="61" spans="5:9" ht="15" customHeight="1">
      <c r="E61" s="315" t="s">
        <v>637</v>
      </c>
    </row>
    <row r="62" spans="5:9" ht="15" customHeight="1" thickBot="1">
      <c r="E62" s="316" t="s">
        <v>638</v>
      </c>
    </row>
    <row r="63" spans="5:9" ht="15" customHeight="1" thickBot="1">
      <c r="E63" s="317">
        <v>9</v>
      </c>
    </row>
    <row r="64" spans="5:9" ht="15" customHeight="1">
      <c r="E64" s="223" t="s">
        <v>422</v>
      </c>
    </row>
    <row r="65" spans="2:7" ht="15" customHeight="1">
      <c r="E65" s="223"/>
    </row>
    <row r="66" spans="2:7" ht="15" customHeight="1" thickBot="1">
      <c r="E66" s="177" t="str">
        <f>"Source for ''"&amp;C12&amp;"'' drop-down list"</f>
        <v>Source for ''PCFM year t'' drop-down list</v>
      </c>
    </row>
    <row r="67" spans="2:7" ht="15" customHeight="1">
      <c r="E67" s="213">
        <v>42460</v>
      </c>
    </row>
    <row r="68" spans="2:7" ht="15" customHeight="1">
      <c r="E68" s="214">
        <v>42825</v>
      </c>
    </row>
    <row r="69" spans="2:7" ht="15" customHeight="1">
      <c r="E69" s="214">
        <v>43190</v>
      </c>
    </row>
    <row r="70" spans="2:7" ht="15" customHeight="1">
      <c r="E70" s="214">
        <v>43555</v>
      </c>
    </row>
    <row r="71" spans="2:7" ht="15" customHeight="1">
      <c r="E71" s="214">
        <v>43921</v>
      </c>
    </row>
    <row r="72" spans="2:7" ht="15" customHeight="1">
      <c r="E72" s="214">
        <v>44286</v>
      </c>
    </row>
    <row r="73" spans="2:7" ht="15" customHeight="1">
      <c r="E73" s="214">
        <v>44651</v>
      </c>
    </row>
    <row r="74" spans="2:7" ht="15" customHeight="1" thickBot="1">
      <c r="E74" s="215">
        <v>45016</v>
      </c>
    </row>
    <row r="75" spans="2:7" ht="15" customHeight="1" thickBot="1">
      <c r="E75" s="317">
        <v>1</v>
      </c>
    </row>
    <row r="76" spans="2:7" ht="15" customHeight="1">
      <c r="E76" s="223" t="s">
        <v>585</v>
      </c>
    </row>
    <row r="77" spans="2:7" s="82" customFormat="1" ht="15" customHeight="1">
      <c r="E77" s="210"/>
    </row>
    <row r="78" spans="2:7" s="82" customFormat="1" ht="15" customHeight="1" thickBot="1">
      <c r="E78" s="177" t="str">
        <f>"Source for ''"&amp;C5&amp;"'' drop-down list"</f>
        <v>Source for ''Scenario'' drop-down list</v>
      </c>
      <c r="G78" s="69"/>
    </row>
    <row r="79" spans="2:7" ht="15" customHeight="1">
      <c r="B79" s="82"/>
      <c r="C79" s="82"/>
      <c r="D79" s="82"/>
      <c r="E79" s="211" t="s">
        <v>1002</v>
      </c>
      <c r="F79" s="82"/>
    </row>
    <row r="80" spans="2:7" ht="15" customHeight="1" thickBot="1">
      <c r="B80" s="82"/>
      <c r="C80" s="82"/>
      <c r="D80" s="82"/>
      <c r="E80" s="212" t="s">
        <v>1003</v>
      </c>
      <c r="F80" s="82"/>
    </row>
    <row r="81" spans="2:6" ht="15" customHeight="1">
      <c r="B81" s="82"/>
      <c r="C81" s="82"/>
      <c r="D81" s="82"/>
      <c r="E81" s="210">
        <v>2</v>
      </c>
      <c r="F81" s="82"/>
    </row>
    <row r="82" spans="2:6" ht="15" customHeight="1"/>
    <row r="83" spans="2:6" ht="15" customHeight="1"/>
    <row r="84" spans="2:6" ht="15" customHeight="1"/>
    <row r="85" spans="2:6" ht="15" customHeight="1"/>
    <row r="86" spans="2:6" ht="15" customHeight="1"/>
    <row r="87" spans="2:6" ht="15" customHeight="1"/>
    <row r="88" spans="2:6" ht="15" customHeight="1"/>
    <row r="89" spans="2:6" ht="15" customHeight="1"/>
    <row r="90" spans="2:6" ht="15" customHeight="1"/>
    <row r="91" spans="2:6" ht="15" customHeight="1"/>
    <row r="92" spans="2:6" ht="15" customHeight="1"/>
  </sheetData>
  <dataConsolidate/>
  <pageMargins left="0.23622047244094491" right="0.23622047244094491" top="0.74803149606299213" bottom="0.74803149606299213" header="0.31496062992125984" footer="0.31496062992125984"/>
  <pageSetup paperSize="8"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defaultSize="0" autoLine="0" autoPict="0">
                <anchor moveWithCells="1">
                  <from>
                    <xdr:col>6</xdr:col>
                    <xdr:colOff>0</xdr:colOff>
                    <xdr:row>21</xdr:row>
                    <xdr:rowOff>0</xdr:rowOff>
                  </from>
                  <to>
                    <xdr:col>7</xdr:col>
                    <xdr:colOff>0</xdr:colOff>
                    <xdr:row>22</xdr:row>
                    <xdr:rowOff>9525</xdr:rowOff>
                  </to>
                </anchor>
              </controlPr>
            </control>
          </mc:Choice>
        </mc:AlternateContent>
        <mc:AlternateContent xmlns:mc="http://schemas.openxmlformats.org/markup-compatibility/2006">
          <mc:Choice Requires="x14">
            <control shapeId="7222" r:id="rId5" name="Drop Down 54">
              <controlPr defaultSize="0" autoLine="0" autoPict="0">
                <anchor moveWithCells="1">
                  <from>
                    <xdr:col>6</xdr:col>
                    <xdr:colOff>0</xdr:colOff>
                    <xdr:row>13</xdr:row>
                    <xdr:rowOff>180975</xdr:rowOff>
                  </from>
                  <to>
                    <xdr:col>7</xdr:col>
                    <xdr:colOff>0</xdr:colOff>
                    <xdr:row>15</xdr:row>
                    <xdr:rowOff>0</xdr:rowOff>
                  </to>
                </anchor>
              </controlPr>
            </control>
          </mc:Choice>
        </mc:AlternateContent>
        <mc:AlternateContent xmlns:mc="http://schemas.openxmlformats.org/markup-compatibility/2006">
          <mc:Choice Requires="x14">
            <control shapeId="7226" r:id="rId6" name="Button 58">
              <controlPr defaultSize="0" autoFill="0" autoPict="0" macro="[0]!RunForOne">
                <anchor moveWithCells="1" sizeWithCells="1">
                  <from>
                    <xdr:col>4</xdr:col>
                    <xdr:colOff>9525</xdr:colOff>
                    <xdr:row>37</xdr:row>
                    <xdr:rowOff>19050</xdr:rowOff>
                  </from>
                  <to>
                    <xdr:col>4</xdr:col>
                    <xdr:colOff>3467100</xdr:colOff>
                    <xdr:row>40</xdr:row>
                    <xdr:rowOff>19050</xdr:rowOff>
                  </to>
                </anchor>
              </controlPr>
            </control>
          </mc:Choice>
        </mc:AlternateContent>
        <mc:AlternateContent xmlns:mc="http://schemas.openxmlformats.org/markup-compatibility/2006">
          <mc:Choice Requires="x14">
            <control shapeId="7227" r:id="rId7" name="Button 59">
              <controlPr defaultSize="0" autoFill="0" autoPict="0" macro="[0]!RunForAll">
                <anchor moveWithCells="1" sizeWithCells="1">
                  <from>
                    <xdr:col>5</xdr:col>
                    <xdr:colOff>114300</xdr:colOff>
                    <xdr:row>37</xdr:row>
                    <xdr:rowOff>19050</xdr:rowOff>
                  </from>
                  <to>
                    <xdr:col>6</xdr:col>
                    <xdr:colOff>3448050</xdr:colOff>
                    <xdr:row>40</xdr:row>
                    <xdr:rowOff>19050</xdr:rowOff>
                  </to>
                </anchor>
              </controlPr>
            </control>
          </mc:Choice>
        </mc:AlternateContent>
        <mc:AlternateContent xmlns:mc="http://schemas.openxmlformats.org/markup-compatibility/2006">
          <mc:Choice Requires="x14">
            <control shapeId="7236" r:id="rId8" name="Drop Down 68">
              <controlPr defaultSize="0" autoLine="0" autoPict="0">
                <anchor moveWithCells="1">
                  <from>
                    <xdr:col>6</xdr:col>
                    <xdr:colOff>28575</xdr:colOff>
                    <xdr:row>5</xdr:row>
                    <xdr:rowOff>180975</xdr:rowOff>
                  </from>
                  <to>
                    <xdr:col>7</xdr:col>
                    <xdr:colOff>28575</xdr:colOff>
                    <xdr:row>7</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tabColor theme="1"/>
  </sheetPr>
  <dimension ref="A1:BC551"/>
  <sheetViews>
    <sheetView zoomScale="70" zoomScaleNormal="70" workbookViewId="0">
      <pane xSplit="6" ySplit="4" topLeftCell="G5" activePane="bottomRight" state="frozen"/>
      <selection activeCell="F444" sqref="F444"/>
      <selection pane="topRight" activeCell="F444" sqref="F444"/>
      <selection pane="bottomLeft" activeCell="F444" sqref="F444"/>
      <selection pane="bottomRight" activeCell="J524" sqref="J524"/>
    </sheetView>
  </sheetViews>
  <sheetFormatPr defaultRowHeight="12.75"/>
  <cols>
    <col min="1" max="1" width="4.125" style="263" customWidth="1"/>
    <col min="2" max="2" width="28.125" style="263" customWidth="1"/>
    <col min="3" max="3" width="0.5" style="263" customWidth="1"/>
    <col min="4" max="4" width="9.125" style="263" customWidth="1"/>
    <col min="5" max="5" width="11.375" style="263" bestFit="1" customWidth="1"/>
    <col min="6" max="6" width="10.75" style="263" customWidth="1"/>
    <col min="7" max="7" width="8.875" style="263" customWidth="1"/>
    <col min="8" max="8" width="11.375" style="263" customWidth="1"/>
    <col min="9" max="20" width="8.875" style="263" customWidth="1"/>
    <col min="21" max="21" width="9.375" style="263" customWidth="1"/>
    <col min="22" max="22" width="9.75" style="586" customWidth="1"/>
    <col min="23" max="23" width="9" style="586"/>
    <col min="24" max="24" width="0.625" style="586" customWidth="1"/>
    <col min="25" max="25" width="9" style="586" customWidth="1"/>
    <col min="26" max="34" width="9" style="586"/>
    <col min="35" max="35" width="9.5" style="586" bestFit="1" customWidth="1"/>
    <col min="36" max="39" width="9" style="586"/>
    <col min="40" max="40" width="2.25" style="586" customWidth="1"/>
    <col min="41" max="55" width="9" style="586"/>
    <col min="56" max="16384" width="9" style="263"/>
  </cols>
  <sheetData>
    <row r="1" spans="1:55" ht="69.75" customHeight="1">
      <c r="A1" s="273"/>
      <c r="B1" s="273" t="s">
        <v>516</v>
      </c>
      <c r="C1" s="273"/>
      <c r="D1" s="273" t="s">
        <v>531</v>
      </c>
      <c r="E1" s="273"/>
      <c r="F1" s="273"/>
      <c r="V1" s="585"/>
      <c r="Y1" s="594"/>
      <c r="Z1" s="595"/>
      <c r="AA1" s="595"/>
      <c r="AB1" s="595"/>
      <c r="AC1" s="595"/>
      <c r="AD1" s="595"/>
      <c r="AE1" s="595"/>
      <c r="AF1" s="595"/>
      <c r="AG1" s="595"/>
      <c r="AH1" s="595"/>
      <c r="AI1" s="595"/>
      <c r="AJ1" s="595"/>
      <c r="AK1" s="595"/>
      <c r="AL1" s="595"/>
      <c r="AO1" s="594"/>
      <c r="AP1" s="595"/>
      <c r="AQ1" s="595"/>
      <c r="AR1" s="595"/>
      <c r="AS1" s="595"/>
      <c r="AT1" s="595"/>
      <c r="AU1" s="595"/>
      <c r="AV1" s="595"/>
      <c r="AW1" s="595"/>
      <c r="AX1" s="595"/>
      <c r="AY1" s="595"/>
      <c r="AZ1" s="595"/>
      <c r="BA1" s="595"/>
      <c r="BB1" s="595"/>
    </row>
    <row r="2" spans="1:55">
      <c r="A2" s="273"/>
      <c r="B2" s="273"/>
      <c r="C2" s="274"/>
      <c r="D2" s="273"/>
      <c r="E2" s="273"/>
      <c r="F2" s="273"/>
      <c r="V2" s="575"/>
      <c r="Y2" s="587"/>
      <c r="Z2" s="587"/>
      <c r="AA2" s="587"/>
      <c r="AB2" s="587"/>
      <c r="AC2" s="587"/>
      <c r="AD2" s="587"/>
      <c r="AE2" s="587"/>
      <c r="AF2" s="587"/>
      <c r="AG2" s="587"/>
      <c r="AH2" s="587"/>
      <c r="AI2" s="587"/>
      <c r="AJ2" s="587"/>
      <c r="AK2" s="587"/>
      <c r="AL2" s="587"/>
      <c r="AM2" s="575"/>
      <c r="AN2" s="575"/>
      <c r="AO2" s="587"/>
      <c r="AP2" s="587"/>
      <c r="AQ2" s="587"/>
      <c r="AR2" s="587"/>
      <c r="AS2" s="587"/>
      <c r="AT2" s="587"/>
      <c r="AU2" s="587"/>
      <c r="AV2" s="587"/>
      <c r="AW2" s="587"/>
      <c r="AX2" s="587"/>
      <c r="AY2" s="587"/>
      <c r="AZ2" s="587"/>
      <c r="BA2" s="587"/>
      <c r="BB2" s="587"/>
      <c r="BC2" s="575"/>
    </row>
    <row r="3" spans="1:55" ht="15.75" customHeight="1">
      <c r="A3" s="273"/>
      <c r="B3" s="273"/>
      <c r="C3" s="273"/>
      <c r="D3" s="273"/>
      <c r="E3" s="273"/>
      <c r="F3" s="273"/>
    </row>
    <row r="5" spans="1:55" s="574" customFormat="1" ht="12.75" hidden="1" customHeight="1">
      <c r="G5" s="263"/>
      <c r="H5" s="263"/>
      <c r="I5" s="263"/>
      <c r="J5" s="263"/>
      <c r="K5" s="263"/>
      <c r="L5" s="263"/>
      <c r="M5" s="263"/>
      <c r="N5" s="263"/>
      <c r="O5" s="263"/>
      <c r="P5" s="263"/>
      <c r="Q5" s="263"/>
      <c r="R5" s="263"/>
      <c r="S5" s="263"/>
      <c r="T5" s="263"/>
      <c r="U5" s="263"/>
      <c r="V5" s="586"/>
      <c r="W5" s="586"/>
      <c r="X5" s="586"/>
      <c r="Y5" s="586"/>
      <c r="Z5" s="586"/>
      <c r="AA5" s="586"/>
      <c r="AB5" s="586"/>
      <c r="AC5" s="586"/>
      <c r="AD5" s="586"/>
      <c r="AE5" s="586"/>
      <c r="AF5" s="586"/>
      <c r="AG5" s="586"/>
      <c r="AH5" s="586"/>
      <c r="AI5" s="586"/>
      <c r="AJ5" s="586"/>
      <c r="AK5" s="586"/>
      <c r="AL5" s="586"/>
      <c r="AM5" s="586"/>
      <c r="AN5" s="586"/>
      <c r="AO5" s="586"/>
      <c r="AP5" s="586"/>
      <c r="AQ5" s="586"/>
      <c r="AR5" s="586"/>
      <c r="AS5" s="586"/>
      <c r="AT5" s="586"/>
      <c r="AU5" s="586"/>
      <c r="AV5" s="586"/>
      <c r="AW5" s="586"/>
      <c r="AX5" s="586"/>
      <c r="AY5" s="586"/>
      <c r="AZ5" s="586"/>
      <c r="BA5" s="586"/>
      <c r="BB5" s="586"/>
    </row>
    <row r="6" spans="1:55" s="574" customFormat="1" ht="12.75" hidden="1" customHeight="1">
      <c r="A6" s="576"/>
      <c r="B6" s="577"/>
      <c r="C6" s="577"/>
      <c r="E6" s="578"/>
      <c r="F6" s="579"/>
      <c r="G6" s="263"/>
      <c r="H6" s="263"/>
      <c r="I6" s="263"/>
      <c r="J6" s="263"/>
      <c r="K6" s="263"/>
      <c r="L6" s="263"/>
      <c r="M6" s="263"/>
      <c r="N6" s="263"/>
      <c r="O6" s="263"/>
      <c r="P6" s="263"/>
      <c r="Q6" s="263"/>
      <c r="R6" s="263"/>
      <c r="S6" s="263"/>
      <c r="T6" s="263"/>
      <c r="U6" s="263"/>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6"/>
      <c r="AY6" s="586"/>
      <c r="AZ6" s="586"/>
      <c r="BA6" s="586"/>
      <c r="BB6" s="586"/>
    </row>
    <row r="7" spans="1:55" s="574" customFormat="1" hidden="1">
      <c r="A7" s="576"/>
      <c r="E7" s="578"/>
      <c r="G7" s="263"/>
      <c r="H7" s="263"/>
      <c r="I7" s="263"/>
      <c r="J7" s="263"/>
      <c r="K7" s="263"/>
      <c r="L7" s="263"/>
      <c r="M7" s="263"/>
      <c r="N7" s="263"/>
      <c r="O7" s="263"/>
      <c r="P7" s="263"/>
      <c r="Q7" s="263"/>
      <c r="R7" s="263"/>
      <c r="S7" s="263"/>
      <c r="T7" s="263"/>
      <c r="U7" s="263"/>
      <c r="V7" s="586"/>
      <c r="W7" s="586"/>
      <c r="X7" s="586"/>
      <c r="Y7" s="586"/>
      <c r="Z7" s="586"/>
      <c r="AA7" s="586"/>
      <c r="AB7" s="586"/>
      <c r="AC7" s="586"/>
      <c r="AD7" s="586"/>
      <c r="AE7" s="586"/>
      <c r="AF7" s="586"/>
      <c r="AG7" s="586"/>
      <c r="AH7" s="586"/>
      <c r="AI7" s="586"/>
      <c r="AJ7" s="586"/>
      <c r="AK7" s="586"/>
      <c r="AL7" s="586"/>
      <c r="AM7" s="586"/>
      <c r="AN7" s="586"/>
      <c r="AO7" s="586"/>
      <c r="AP7" s="586"/>
      <c r="AQ7" s="586"/>
      <c r="AR7" s="586"/>
      <c r="AS7" s="586"/>
      <c r="AT7" s="586"/>
      <c r="AU7" s="586"/>
      <c r="AV7" s="586"/>
      <c r="AW7" s="586"/>
      <c r="AX7" s="586"/>
      <c r="AY7" s="586"/>
      <c r="AZ7" s="586"/>
      <c r="BA7" s="586"/>
      <c r="BB7" s="586"/>
    </row>
    <row r="8" spans="1:55" s="574" customFormat="1" hidden="1">
      <c r="A8" s="576"/>
      <c r="B8" s="580"/>
      <c r="D8" s="580"/>
      <c r="E8" s="578"/>
      <c r="F8" s="579"/>
      <c r="G8" s="263"/>
      <c r="H8" s="263"/>
      <c r="I8" s="263"/>
      <c r="J8" s="263"/>
      <c r="K8" s="263"/>
      <c r="L8" s="263"/>
      <c r="M8" s="263"/>
      <c r="N8" s="263"/>
      <c r="O8" s="263"/>
      <c r="P8" s="263"/>
      <c r="Q8" s="263"/>
      <c r="R8" s="263"/>
      <c r="S8" s="263"/>
      <c r="T8" s="263"/>
      <c r="U8" s="263"/>
      <c r="V8" s="586"/>
      <c r="W8" s="586"/>
      <c r="X8" s="586"/>
      <c r="Y8" s="586"/>
      <c r="Z8" s="586"/>
      <c r="AA8" s="586"/>
      <c r="AB8" s="586"/>
      <c r="AC8" s="586"/>
      <c r="AD8" s="586"/>
      <c r="AE8" s="586"/>
      <c r="AF8" s="586"/>
      <c r="AG8" s="586"/>
      <c r="AH8" s="586"/>
      <c r="AI8" s="586"/>
      <c r="AJ8" s="586"/>
      <c r="AK8" s="586"/>
      <c r="AL8" s="586"/>
      <c r="AM8" s="586"/>
      <c r="AN8" s="586"/>
      <c r="AO8" s="586"/>
      <c r="AP8" s="586"/>
      <c r="AQ8" s="586"/>
      <c r="AR8" s="586"/>
      <c r="AS8" s="586"/>
      <c r="AT8" s="586"/>
      <c r="AU8" s="586"/>
      <c r="AV8" s="586"/>
      <c r="AW8" s="586"/>
      <c r="AX8" s="586"/>
      <c r="AY8" s="586"/>
      <c r="AZ8" s="586"/>
      <c r="BA8" s="586"/>
      <c r="BB8" s="586"/>
    </row>
    <row r="9" spans="1:55" s="574" customFormat="1" hidden="1">
      <c r="A9" s="576"/>
      <c r="B9" s="581"/>
      <c r="G9" s="263"/>
      <c r="H9" s="263"/>
      <c r="I9" s="263"/>
      <c r="J9" s="263"/>
      <c r="K9" s="263"/>
      <c r="L9" s="263"/>
      <c r="M9" s="263"/>
      <c r="N9" s="263"/>
      <c r="O9" s="263"/>
      <c r="P9" s="263"/>
      <c r="Q9" s="263"/>
      <c r="R9" s="263"/>
      <c r="S9" s="263"/>
      <c r="T9" s="263"/>
      <c r="U9" s="263"/>
      <c r="V9" s="586"/>
      <c r="W9" s="586"/>
      <c r="X9" s="586"/>
      <c r="Y9" s="586"/>
      <c r="Z9" s="586"/>
      <c r="AA9" s="586"/>
      <c r="AB9" s="586"/>
      <c r="AC9" s="586"/>
      <c r="AD9" s="586"/>
      <c r="AE9" s="586"/>
      <c r="AF9" s="586"/>
      <c r="AG9" s="586"/>
      <c r="AH9" s="586"/>
      <c r="AI9" s="586"/>
      <c r="AJ9" s="586"/>
      <c r="AK9" s="586"/>
      <c r="AL9" s="586"/>
      <c r="AM9" s="586"/>
      <c r="AN9" s="586"/>
      <c r="AO9" s="586"/>
      <c r="AP9" s="586"/>
      <c r="AQ9" s="586"/>
      <c r="AR9" s="586"/>
      <c r="AS9" s="586"/>
      <c r="AT9" s="586"/>
      <c r="AU9" s="586"/>
      <c r="AV9" s="586"/>
      <c r="AW9" s="586"/>
      <c r="AX9" s="586"/>
      <c r="AY9" s="586"/>
      <c r="AZ9" s="586"/>
      <c r="BA9" s="586"/>
      <c r="BB9" s="586"/>
    </row>
    <row r="10" spans="1:55" s="574" customFormat="1" hidden="1">
      <c r="A10" s="576"/>
      <c r="G10" s="263"/>
      <c r="H10" s="263"/>
      <c r="I10" s="263"/>
      <c r="J10" s="263"/>
      <c r="K10" s="263"/>
      <c r="L10" s="263"/>
      <c r="M10" s="263"/>
      <c r="N10" s="263"/>
      <c r="O10" s="263"/>
      <c r="P10" s="263"/>
      <c r="Q10" s="263"/>
      <c r="R10" s="263"/>
      <c r="S10" s="263"/>
      <c r="T10" s="263"/>
      <c r="U10" s="263"/>
      <c r="V10" s="586"/>
      <c r="W10" s="586"/>
      <c r="X10" s="586"/>
      <c r="Y10" s="586"/>
      <c r="Z10" s="586"/>
      <c r="AA10" s="586"/>
      <c r="AB10" s="586"/>
      <c r="AC10" s="586"/>
      <c r="AD10" s="586"/>
      <c r="AE10" s="586"/>
      <c r="AF10" s="586"/>
      <c r="AG10" s="586"/>
      <c r="AH10" s="586"/>
      <c r="AI10" s="586"/>
      <c r="AJ10" s="586"/>
      <c r="AK10" s="586"/>
      <c r="AL10" s="586"/>
      <c r="AM10" s="586"/>
      <c r="AN10" s="586"/>
      <c r="AO10" s="586"/>
      <c r="AP10" s="586"/>
      <c r="AQ10" s="586"/>
      <c r="AR10" s="586"/>
      <c r="AS10" s="586"/>
      <c r="AT10" s="586"/>
      <c r="AU10" s="586"/>
      <c r="AV10" s="586"/>
      <c r="AW10" s="586"/>
      <c r="AX10" s="586"/>
      <c r="AY10" s="586"/>
      <c r="AZ10" s="586"/>
      <c r="BA10" s="586"/>
      <c r="BB10" s="586"/>
    </row>
    <row r="11" spans="1:55" s="574" customFormat="1" hidden="1">
      <c r="A11" s="576"/>
      <c r="B11" s="580"/>
      <c r="D11" s="580"/>
      <c r="E11" s="578"/>
      <c r="F11" s="579"/>
      <c r="G11" s="263"/>
      <c r="H11" s="263"/>
      <c r="I11" s="263"/>
      <c r="J11" s="263"/>
      <c r="K11" s="263"/>
      <c r="L11" s="263"/>
      <c r="M11" s="263"/>
      <c r="N11" s="263"/>
      <c r="O11" s="263"/>
      <c r="P11" s="263"/>
      <c r="Q11" s="263"/>
      <c r="R11" s="263"/>
      <c r="S11" s="263"/>
      <c r="T11" s="263"/>
      <c r="U11" s="263"/>
      <c r="V11" s="586"/>
      <c r="W11" s="586"/>
      <c r="X11" s="586"/>
      <c r="Y11" s="586"/>
      <c r="Z11" s="586"/>
      <c r="AA11" s="586"/>
      <c r="AB11" s="586"/>
      <c r="AC11" s="586"/>
      <c r="AD11" s="586"/>
      <c r="AE11" s="586"/>
      <c r="AF11" s="586"/>
      <c r="AG11" s="586"/>
      <c r="AH11" s="586"/>
      <c r="AI11" s="586"/>
      <c r="AJ11" s="586"/>
      <c r="AK11" s="586"/>
      <c r="AL11" s="586"/>
      <c r="AM11" s="586"/>
      <c r="AN11" s="586"/>
      <c r="AO11" s="586"/>
      <c r="AP11" s="586"/>
      <c r="AQ11" s="586"/>
      <c r="AR11" s="586"/>
      <c r="AS11" s="586"/>
      <c r="AT11" s="586"/>
      <c r="AU11" s="586"/>
      <c r="AV11" s="586"/>
      <c r="AW11" s="586"/>
      <c r="AX11" s="586"/>
      <c r="AY11" s="586"/>
      <c r="AZ11" s="586"/>
      <c r="BA11" s="586"/>
      <c r="BB11" s="586"/>
    </row>
    <row r="12" spans="1:55" s="574" customFormat="1" hidden="1">
      <c r="A12" s="576"/>
      <c r="B12" s="581"/>
      <c r="G12" s="263"/>
      <c r="H12" s="263"/>
      <c r="I12" s="263"/>
      <c r="J12" s="263"/>
      <c r="K12" s="263"/>
      <c r="L12" s="263"/>
      <c r="M12" s="263"/>
      <c r="N12" s="263"/>
      <c r="O12" s="263"/>
      <c r="P12" s="263"/>
      <c r="Q12" s="263"/>
      <c r="R12" s="263"/>
      <c r="S12" s="263"/>
      <c r="T12" s="263"/>
      <c r="U12" s="263"/>
      <c r="V12" s="586"/>
      <c r="W12" s="586"/>
      <c r="X12" s="586"/>
      <c r="Y12" s="586"/>
      <c r="Z12" s="586"/>
      <c r="AA12" s="586"/>
      <c r="AB12" s="586"/>
      <c r="AC12" s="586"/>
      <c r="AD12" s="586"/>
      <c r="AE12" s="586"/>
      <c r="AF12" s="586"/>
      <c r="AG12" s="586"/>
      <c r="AH12" s="586"/>
      <c r="AI12" s="586"/>
      <c r="AJ12" s="586"/>
      <c r="AK12" s="586"/>
      <c r="AL12" s="586"/>
      <c r="AM12" s="586"/>
      <c r="AN12" s="586"/>
      <c r="AO12" s="586"/>
      <c r="AP12" s="586"/>
      <c r="AQ12" s="586"/>
      <c r="AR12" s="586"/>
      <c r="AS12" s="586"/>
      <c r="AT12" s="586"/>
      <c r="AU12" s="586"/>
      <c r="AV12" s="586"/>
      <c r="AW12" s="586"/>
      <c r="AX12" s="586"/>
      <c r="AY12" s="586"/>
      <c r="AZ12" s="586"/>
      <c r="BA12" s="586"/>
      <c r="BB12" s="586"/>
    </row>
    <row r="13" spans="1:55" s="574" customFormat="1" hidden="1">
      <c r="G13" s="263"/>
      <c r="H13" s="263"/>
      <c r="I13" s="263"/>
      <c r="J13" s="263"/>
      <c r="K13" s="263"/>
      <c r="L13" s="263"/>
      <c r="M13" s="263"/>
      <c r="N13" s="263"/>
      <c r="O13" s="263"/>
      <c r="P13" s="263"/>
      <c r="Q13" s="263"/>
      <c r="R13" s="263"/>
      <c r="S13" s="263"/>
      <c r="T13" s="263"/>
      <c r="U13" s="263"/>
      <c r="V13" s="586"/>
      <c r="W13" s="586"/>
      <c r="X13" s="586"/>
      <c r="Y13" s="586"/>
      <c r="Z13" s="586"/>
      <c r="AA13" s="586"/>
      <c r="AB13" s="586"/>
      <c r="AC13" s="586"/>
      <c r="AD13" s="586"/>
      <c r="AE13" s="586"/>
      <c r="AF13" s="586"/>
      <c r="AG13" s="586"/>
      <c r="AH13" s="586"/>
      <c r="AI13" s="586"/>
      <c r="AJ13" s="586"/>
      <c r="AK13" s="586"/>
      <c r="AL13" s="586"/>
      <c r="AM13" s="586"/>
      <c r="AN13" s="586"/>
      <c r="AO13" s="586"/>
      <c r="AP13" s="586"/>
      <c r="AQ13" s="586"/>
      <c r="AR13" s="586"/>
      <c r="AS13" s="586"/>
      <c r="AT13" s="586"/>
      <c r="AU13" s="586"/>
      <c r="AV13" s="586"/>
      <c r="AW13" s="586"/>
      <c r="AX13" s="586"/>
      <c r="AY13" s="586"/>
      <c r="AZ13" s="586"/>
      <c r="BA13" s="586"/>
      <c r="BB13" s="586"/>
    </row>
    <row r="14" spans="1:55" s="574" customFormat="1" hidden="1">
      <c r="A14" s="576"/>
      <c r="B14" s="580"/>
      <c r="D14" s="580"/>
      <c r="E14" s="578"/>
      <c r="F14" s="579"/>
      <c r="G14" s="263"/>
      <c r="H14" s="263"/>
      <c r="I14" s="263"/>
      <c r="J14" s="263"/>
      <c r="K14" s="263"/>
      <c r="L14" s="263"/>
      <c r="M14" s="263"/>
      <c r="N14" s="263"/>
      <c r="O14" s="263"/>
      <c r="P14" s="263"/>
      <c r="Q14" s="263"/>
      <c r="R14" s="263"/>
      <c r="S14" s="263"/>
      <c r="T14" s="263"/>
      <c r="U14" s="263"/>
      <c r="V14" s="586"/>
      <c r="W14" s="586"/>
      <c r="X14" s="586"/>
      <c r="Y14" s="586"/>
      <c r="Z14" s="586"/>
      <c r="AA14" s="586"/>
      <c r="AB14" s="586"/>
      <c r="AC14" s="586"/>
      <c r="AD14" s="586"/>
      <c r="AE14" s="586"/>
      <c r="AF14" s="586"/>
      <c r="AG14" s="586"/>
      <c r="AH14" s="586"/>
      <c r="AI14" s="586"/>
      <c r="AJ14" s="586"/>
      <c r="AK14" s="586"/>
      <c r="AL14" s="586"/>
      <c r="AM14" s="586"/>
      <c r="AN14" s="586"/>
      <c r="AO14" s="586"/>
      <c r="AP14" s="586"/>
      <c r="AQ14" s="586"/>
      <c r="AR14" s="586"/>
      <c r="AS14" s="586"/>
      <c r="AT14" s="586"/>
      <c r="AU14" s="586"/>
      <c r="AV14" s="586"/>
      <c r="AW14" s="586"/>
      <c r="AX14" s="586"/>
      <c r="AY14" s="586"/>
      <c r="AZ14" s="586"/>
      <c r="BA14" s="586"/>
      <c r="BB14" s="586"/>
    </row>
    <row r="15" spans="1:55" s="574" customFormat="1" hidden="1">
      <c r="A15" s="576"/>
      <c r="B15" s="581"/>
      <c r="G15" s="263"/>
      <c r="H15" s="263"/>
      <c r="I15" s="263"/>
      <c r="J15" s="263"/>
      <c r="K15" s="263"/>
      <c r="L15" s="263"/>
      <c r="M15" s="263"/>
      <c r="N15" s="263"/>
      <c r="O15" s="263"/>
      <c r="P15" s="263"/>
      <c r="Q15" s="263"/>
      <c r="R15" s="263"/>
      <c r="S15" s="263"/>
      <c r="T15" s="263"/>
      <c r="U15" s="263"/>
      <c r="V15" s="586"/>
      <c r="W15" s="586"/>
      <c r="X15" s="586"/>
      <c r="Y15" s="586"/>
      <c r="Z15" s="586"/>
      <c r="AA15" s="586"/>
      <c r="AB15" s="586"/>
      <c r="AC15" s="586"/>
      <c r="AD15" s="586"/>
      <c r="AE15" s="586"/>
      <c r="AF15" s="586"/>
      <c r="AG15" s="586"/>
      <c r="AH15" s="586"/>
      <c r="AI15" s="586"/>
      <c r="AJ15" s="586"/>
      <c r="AK15" s="586"/>
      <c r="AL15" s="586"/>
      <c r="AM15" s="586"/>
      <c r="AN15" s="586"/>
      <c r="AO15" s="586"/>
      <c r="AP15" s="586"/>
      <c r="AQ15" s="586"/>
      <c r="AR15" s="586"/>
      <c r="AS15" s="586"/>
      <c r="AT15" s="586"/>
      <c r="AU15" s="586"/>
      <c r="AV15" s="586"/>
      <c r="AW15" s="586"/>
      <c r="AX15" s="586"/>
      <c r="AY15" s="586"/>
      <c r="AZ15" s="586"/>
      <c r="BA15" s="586"/>
      <c r="BB15" s="586"/>
    </row>
    <row r="16" spans="1:55" s="574" customFormat="1" hidden="1">
      <c r="G16" s="263"/>
      <c r="H16" s="263"/>
      <c r="I16" s="263"/>
      <c r="J16" s="263"/>
      <c r="K16" s="263"/>
      <c r="L16" s="263"/>
      <c r="M16" s="263"/>
      <c r="N16" s="263"/>
      <c r="O16" s="263"/>
      <c r="P16" s="263"/>
      <c r="Q16" s="263"/>
      <c r="R16" s="263"/>
      <c r="S16" s="263"/>
      <c r="T16" s="263"/>
      <c r="U16" s="263"/>
      <c r="V16" s="586"/>
      <c r="W16" s="586"/>
      <c r="X16" s="586"/>
      <c r="Y16" s="586"/>
      <c r="Z16" s="586"/>
      <c r="AA16" s="586"/>
      <c r="AB16" s="586"/>
      <c r="AC16" s="586"/>
      <c r="AD16" s="586"/>
      <c r="AE16" s="586"/>
      <c r="AF16" s="586"/>
      <c r="AG16" s="586"/>
      <c r="AH16" s="586"/>
      <c r="AI16" s="586"/>
      <c r="AJ16" s="586"/>
      <c r="AK16" s="586"/>
      <c r="AL16" s="586"/>
      <c r="AM16" s="586"/>
      <c r="AN16" s="586"/>
      <c r="AO16" s="586"/>
      <c r="AP16" s="586"/>
      <c r="AQ16" s="586"/>
      <c r="AR16" s="586"/>
      <c r="AS16" s="586"/>
      <c r="AT16" s="586"/>
      <c r="AU16" s="586"/>
      <c r="AV16" s="586"/>
      <c r="AW16" s="586"/>
      <c r="AX16" s="586"/>
      <c r="AY16" s="586"/>
      <c r="AZ16" s="586"/>
      <c r="BA16" s="586"/>
      <c r="BB16" s="586"/>
    </row>
    <row r="17" spans="1:54" s="574" customFormat="1" hidden="1">
      <c r="A17" s="576"/>
      <c r="B17" s="580"/>
      <c r="D17" s="580"/>
      <c r="E17" s="578"/>
      <c r="F17" s="579"/>
      <c r="G17" s="263"/>
      <c r="H17" s="263"/>
      <c r="I17" s="263"/>
      <c r="J17" s="263"/>
      <c r="K17" s="263"/>
      <c r="L17" s="263"/>
      <c r="M17" s="263"/>
      <c r="N17" s="263"/>
      <c r="O17" s="263"/>
      <c r="P17" s="263"/>
      <c r="Q17" s="263"/>
      <c r="R17" s="263"/>
      <c r="S17" s="263"/>
      <c r="T17" s="263"/>
      <c r="U17" s="263"/>
      <c r="V17" s="586"/>
      <c r="W17" s="586"/>
      <c r="X17" s="586"/>
      <c r="Y17" s="586"/>
      <c r="Z17" s="586"/>
      <c r="AA17" s="586"/>
      <c r="AB17" s="586"/>
      <c r="AC17" s="586"/>
      <c r="AD17" s="586"/>
      <c r="AE17" s="586"/>
      <c r="AF17" s="586"/>
      <c r="AG17" s="586"/>
      <c r="AH17" s="586"/>
      <c r="AI17" s="586"/>
      <c r="AJ17" s="586"/>
      <c r="AK17" s="586"/>
      <c r="AL17" s="586"/>
      <c r="AM17" s="586"/>
      <c r="AN17" s="586"/>
      <c r="AO17" s="586"/>
      <c r="AP17" s="586"/>
      <c r="AQ17" s="586"/>
      <c r="AR17" s="586"/>
      <c r="AS17" s="586"/>
      <c r="AT17" s="586"/>
      <c r="AU17" s="586"/>
      <c r="AV17" s="586"/>
      <c r="AW17" s="586"/>
      <c r="AX17" s="586"/>
      <c r="AY17" s="586"/>
      <c r="AZ17" s="586"/>
      <c r="BA17" s="586"/>
      <c r="BB17" s="586"/>
    </row>
    <row r="18" spans="1:54" s="574" customFormat="1" hidden="1">
      <c r="A18" s="576"/>
      <c r="B18" s="581"/>
      <c r="G18" s="263"/>
      <c r="H18" s="263"/>
      <c r="I18" s="263"/>
      <c r="J18" s="263"/>
      <c r="K18" s="263"/>
      <c r="L18" s="263"/>
      <c r="M18" s="263"/>
      <c r="N18" s="263"/>
      <c r="O18" s="263"/>
      <c r="P18" s="263"/>
      <c r="Q18" s="263"/>
      <c r="R18" s="263"/>
      <c r="S18" s="263"/>
      <c r="T18" s="263"/>
      <c r="U18" s="263"/>
      <c r="V18" s="586"/>
      <c r="W18" s="586"/>
      <c r="X18" s="586"/>
      <c r="Y18" s="586"/>
      <c r="Z18" s="586"/>
      <c r="AA18" s="586"/>
      <c r="AB18" s="586"/>
      <c r="AC18" s="586"/>
      <c r="AD18" s="586"/>
      <c r="AE18" s="586"/>
      <c r="AF18" s="586"/>
      <c r="AG18" s="586"/>
      <c r="AH18" s="586"/>
      <c r="AI18" s="586"/>
      <c r="AJ18" s="586"/>
      <c r="AK18" s="586"/>
      <c r="AL18" s="586"/>
      <c r="AM18" s="586"/>
      <c r="AN18" s="586"/>
      <c r="AO18" s="586"/>
      <c r="AP18" s="586"/>
      <c r="AQ18" s="586"/>
      <c r="AR18" s="586"/>
      <c r="AS18" s="586"/>
      <c r="AT18" s="586"/>
      <c r="AU18" s="586"/>
      <c r="AV18" s="586"/>
      <c r="AW18" s="586"/>
      <c r="AX18" s="586"/>
      <c r="AY18" s="586"/>
      <c r="AZ18" s="586"/>
      <c r="BA18" s="586"/>
      <c r="BB18" s="586"/>
    </row>
    <row r="19" spans="1:54" s="574" customFormat="1" hidden="1">
      <c r="G19" s="263"/>
      <c r="H19" s="263"/>
      <c r="I19" s="263"/>
      <c r="J19" s="263"/>
      <c r="K19" s="263"/>
      <c r="L19" s="263"/>
      <c r="M19" s="263"/>
      <c r="N19" s="263"/>
      <c r="O19" s="263"/>
      <c r="P19" s="263"/>
      <c r="Q19" s="263"/>
      <c r="R19" s="263"/>
      <c r="S19" s="263"/>
      <c r="T19" s="263"/>
      <c r="U19" s="263"/>
      <c r="V19" s="586"/>
      <c r="W19" s="586"/>
      <c r="X19" s="586"/>
      <c r="Y19" s="586"/>
      <c r="Z19" s="586"/>
      <c r="AA19" s="586"/>
      <c r="AB19" s="586"/>
      <c r="AC19" s="586"/>
      <c r="AD19" s="586"/>
      <c r="AE19" s="586"/>
      <c r="AF19" s="586"/>
      <c r="AG19" s="586"/>
      <c r="AH19" s="586"/>
      <c r="AI19" s="586"/>
      <c r="AJ19" s="586"/>
      <c r="AK19" s="586"/>
      <c r="AL19" s="586"/>
      <c r="AM19" s="586"/>
      <c r="AN19" s="586"/>
      <c r="AO19" s="586"/>
      <c r="AP19" s="586"/>
      <c r="AQ19" s="586"/>
      <c r="AR19" s="586"/>
      <c r="AS19" s="586"/>
      <c r="AT19" s="586"/>
      <c r="AU19" s="586"/>
      <c r="AV19" s="586"/>
      <c r="AW19" s="586"/>
      <c r="AX19" s="586"/>
      <c r="AY19" s="586"/>
      <c r="AZ19" s="586"/>
      <c r="BA19" s="586"/>
      <c r="BB19" s="586"/>
    </row>
    <row r="20" spans="1:54" s="574" customFormat="1" hidden="1">
      <c r="A20" s="576"/>
      <c r="B20" s="580"/>
      <c r="D20" s="580"/>
      <c r="E20" s="578"/>
      <c r="F20" s="579"/>
      <c r="G20" s="263"/>
      <c r="H20" s="263"/>
      <c r="I20" s="263"/>
      <c r="J20" s="263"/>
      <c r="K20" s="263"/>
      <c r="L20" s="263"/>
      <c r="M20" s="263"/>
      <c r="N20" s="263"/>
      <c r="O20" s="263"/>
      <c r="P20" s="263"/>
      <c r="Q20" s="263"/>
      <c r="R20" s="263"/>
      <c r="S20" s="263"/>
      <c r="T20" s="263"/>
      <c r="U20" s="263"/>
      <c r="V20" s="586"/>
      <c r="W20" s="586"/>
      <c r="X20" s="586"/>
      <c r="Y20" s="586"/>
      <c r="Z20" s="586"/>
      <c r="AA20" s="586"/>
      <c r="AB20" s="586"/>
      <c r="AC20" s="586"/>
      <c r="AD20" s="586"/>
      <c r="AE20" s="586"/>
      <c r="AF20" s="586"/>
      <c r="AG20" s="586"/>
      <c r="AH20" s="586"/>
      <c r="AI20" s="586"/>
      <c r="AJ20" s="586"/>
      <c r="AK20" s="586"/>
      <c r="AL20" s="586"/>
      <c r="AM20" s="586"/>
      <c r="AN20" s="586"/>
      <c r="AO20" s="586"/>
      <c r="AP20" s="586"/>
      <c r="AQ20" s="586"/>
      <c r="AR20" s="586"/>
      <c r="AS20" s="586"/>
      <c r="AT20" s="586"/>
      <c r="AU20" s="586"/>
      <c r="AV20" s="586"/>
      <c r="AW20" s="586"/>
      <c r="AX20" s="586"/>
      <c r="AY20" s="586"/>
      <c r="AZ20" s="586"/>
      <c r="BA20" s="586"/>
      <c r="BB20" s="586"/>
    </row>
    <row r="21" spans="1:54" s="574" customFormat="1" hidden="1">
      <c r="A21" s="576"/>
      <c r="B21" s="581"/>
      <c r="G21" s="263"/>
      <c r="H21" s="263"/>
      <c r="I21" s="263"/>
      <c r="J21" s="263"/>
      <c r="K21" s="263"/>
      <c r="L21" s="263"/>
      <c r="M21" s="263"/>
      <c r="N21" s="263"/>
      <c r="O21" s="263"/>
      <c r="P21" s="263"/>
      <c r="Q21" s="263"/>
      <c r="R21" s="263"/>
      <c r="S21" s="263"/>
      <c r="T21" s="263"/>
      <c r="U21" s="263"/>
      <c r="V21" s="586"/>
      <c r="W21" s="586"/>
      <c r="X21" s="586"/>
      <c r="Y21" s="586"/>
      <c r="Z21" s="586"/>
      <c r="AA21" s="586"/>
      <c r="AB21" s="586"/>
      <c r="AC21" s="586"/>
      <c r="AD21" s="586"/>
      <c r="AE21" s="586"/>
      <c r="AF21" s="586"/>
      <c r="AG21" s="586"/>
      <c r="AH21" s="586"/>
      <c r="AI21" s="586"/>
      <c r="AJ21" s="586"/>
      <c r="AK21" s="586"/>
      <c r="AL21" s="586"/>
      <c r="AM21" s="586"/>
      <c r="AN21" s="586"/>
      <c r="AO21" s="586"/>
      <c r="AP21" s="586"/>
      <c r="AQ21" s="586"/>
      <c r="AR21" s="586"/>
      <c r="AS21" s="586"/>
      <c r="AT21" s="586"/>
      <c r="AU21" s="586"/>
      <c r="AV21" s="586"/>
      <c r="AW21" s="586"/>
      <c r="AX21" s="586"/>
      <c r="AY21" s="586"/>
      <c r="AZ21" s="586"/>
      <c r="BA21" s="586"/>
      <c r="BB21" s="586"/>
    </row>
    <row r="22" spans="1:54" s="574" customFormat="1" hidden="1">
      <c r="G22" s="263"/>
      <c r="H22" s="263"/>
      <c r="I22" s="263"/>
      <c r="J22" s="263"/>
      <c r="K22" s="263"/>
      <c r="L22" s="263"/>
      <c r="M22" s="263"/>
      <c r="N22" s="263"/>
      <c r="O22" s="263"/>
      <c r="P22" s="263"/>
      <c r="Q22" s="263"/>
      <c r="R22" s="263"/>
      <c r="S22" s="263"/>
      <c r="T22" s="263"/>
      <c r="U22" s="263"/>
      <c r="V22" s="586"/>
      <c r="W22" s="586"/>
      <c r="X22" s="586"/>
      <c r="Y22" s="586"/>
      <c r="Z22" s="586"/>
      <c r="AA22" s="586"/>
      <c r="AB22" s="586"/>
      <c r="AC22" s="586"/>
      <c r="AD22" s="586"/>
      <c r="AE22" s="586"/>
      <c r="AF22" s="586"/>
      <c r="AG22" s="586"/>
      <c r="AH22" s="586"/>
      <c r="AI22" s="586"/>
      <c r="AJ22" s="586"/>
      <c r="AK22" s="586"/>
      <c r="AL22" s="586"/>
      <c r="AM22" s="586"/>
      <c r="AN22" s="586"/>
      <c r="AO22" s="586"/>
      <c r="AP22" s="586"/>
      <c r="AQ22" s="586"/>
      <c r="AR22" s="586"/>
      <c r="AS22" s="586"/>
      <c r="AT22" s="586"/>
      <c r="AU22" s="586"/>
      <c r="AV22" s="586"/>
      <c r="AW22" s="586"/>
      <c r="AX22" s="586"/>
      <c r="AY22" s="586"/>
      <c r="AZ22" s="586"/>
      <c r="BA22" s="586"/>
      <c r="BB22" s="586"/>
    </row>
    <row r="23" spans="1:54" s="574" customFormat="1" hidden="1">
      <c r="A23" s="576"/>
      <c r="B23" s="580"/>
      <c r="D23" s="580"/>
      <c r="E23" s="578"/>
      <c r="F23" s="579"/>
      <c r="G23" s="263"/>
      <c r="H23" s="263"/>
      <c r="I23" s="263"/>
      <c r="J23" s="263"/>
      <c r="K23" s="263"/>
      <c r="L23" s="263"/>
      <c r="M23" s="263"/>
      <c r="N23" s="263"/>
      <c r="O23" s="263"/>
      <c r="P23" s="263"/>
      <c r="Q23" s="263"/>
      <c r="R23" s="263"/>
      <c r="S23" s="263"/>
      <c r="T23" s="263"/>
      <c r="U23" s="263"/>
      <c r="V23" s="586"/>
      <c r="W23" s="586"/>
      <c r="X23" s="586"/>
      <c r="Y23" s="586"/>
      <c r="Z23" s="586"/>
      <c r="AA23" s="586"/>
      <c r="AB23" s="586"/>
      <c r="AC23" s="586"/>
      <c r="AD23" s="586"/>
      <c r="AE23" s="586"/>
      <c r="AF23" s="586"/>
      <c r="AG23" s="586"/>
      <c r="AH23" s="586"/>
      <c r="AI23" s="586"/>
      <c r="AJ23" s="586"/>
      <c r="AK23" s="586"/>
      <c r="AL23" s="586"/>
      <c r="AM23" s="586"/>
      <c r="AN23" s="586"/>
      <c r="AO23" s="586"/>
      <c r="AP23" s="586"/>
      <c r="AQ23" s="586"/>
      <c r="AR23" s="586"/>
      <c r="AS23" s="586"/>
      <c r="AT23" s="586"/>
      <c r="AU23" s="586"/>
      <c r="AV23" s="586"/>
      <c r="AW23" s="586"/>
      <c r="AX23" s="586"/>
      <c r="AY23" s="586"/>
      <c r="AZ23" s="586"/>
      <c r="BA23" s="586"/>
      <c r="BB23" s="586"/>
    </row>
    <row r="24" spans="1:54" s="574" customFormat="1" hidden="1">
      <c r="A24" s="576"/>
      <c r="B24" s="581"/>
      <c r="G24" s="263"/>
      <c r="H24" s="263"/>
      <c r="I24" s="263"/>
      <c r="J24" s="263"/>
      <c r="K24" s="263"/>
      <c r="L24" s="263"/>
      <c r="M24" s="263"/>
      <c r="N24" s="263"/>
      <c r="O24" s="263"/>
      <c r="P24" s="263"/>
      <c r="Q24" s="263"/>
      <c r="R24" s="263"/>
      <c r="S24" s="263"/>
      <c r="T24" s="263"/>
      <c r="U24" s="263"/>
      <c r="V24" s="586"/>
      <c r="W24" s="586"/>
      <c r="X24" s="586"/>
      <c r="Y24" s="586"/>
      <c r="Z24" s="586"/>
      <c r="AA24" s="586"/>
      <c r="AB24" s="586"/>
      <c r="AC24" s="586"/>
      <c r="AD24" s="586"/>
      <c r="AE24" s="586"/>
      <c r="AF24" s="586"/>
      <c r="AG24" s="586"/>
      <c r="AH24" s="586"/>
      <c r="AI24" s="586"/>
      <c r="AJ24" s="586"/>
      <c r="AK24" s="586"/>
      <c r="AL24" s="586"/>
      <c r="AM24" s="586"/>
      <c r="AN24" s="586"/>
      <c r="AO24" s="586"/>
      <c r="AP24" s="586"/>
      <c r="AQ24" s="586"/>
      <c r="AR24" s="586"/>
      <c r="AS24" s="586"/>
      <c r="AT24" s="586"/>
      <c r="AU24" s="586"/>
      <c r="AV24" s="586"/>
      <c r="AW24" s="586"/>
      <c r="AX24" s="586"/>
      <c r="AY24" s="586"/>
      <c r="AZ24" s="586"/>
      <c r="BA24" s="586"/>
      <c r="BB24" s="586"/>
    </row>
    <row r="25" spans="1:54" s="574" customFormat="1" hidden="1">
      <c r="G25" s="263"/>
      <c r="H25" s="263"/>
      <c r="I25" s="263"/>
      <c r="J25" s="263"/>
      <c r="K25" s="263"/>
      <c r="L25" s="263"/>
      <c r="M25" s="263"/>
      <c r="N25" s="263"/>
      <c r="O25" s="263"/>
      <c r="P25" s="263"/>
      <c r="Q25" s="263"/>
      <c r="R25" s="263"/>
      <c r="S25" s="263"/>
      <c r="T25" s="263"/>
      <c r="U25" s="263"/>
      <c r="V25" s="586"/>
      <c r="W25" s="586"/>
      <c r="X25" s="586"/>
      <c r="Y25" s="586"/>
      <c r="Z25" s="586"/>
      <c r="AA25" s="586"/>
      <c r="AB25" s="586"/>
      <c r="AC25" s="586"/>
      <c r="AD25" s="586"/>
      <c r="AE25" s="586"/>
      <c r="AF25" s="586"/>
      <c r="AG25" s="586"/>
      <c r="AH25" s="586"/>
      <c r="AI25" s="586"/>
      <c r="AJ25" s="586"/>
      <c r="AK25" s="586"/>
      <c r="AL25" s="586"/>
      <c r="AM25" s="586"/>
      <c r="AN25" s="586"/>
      <c r="AO25" s="586"/>
      <c r="AP25" s="586"/>
      <c r="AQ25" s="586"/>
      <c r="AR25" s="586"/>
      <c r="AS25" s="586"/>
      <c r="AT25" s="586"/>
      <c r="AU25" s="586"/>
      <c r="AV25" s="586"/>
      <c r="AW25" s="586"/>
      <c r="AX25" s="586"/>
      <c r="AY25" s="586"/>
      <c r="AZ25" s="586"/>
      <c r="BA25" s="586"/>
      <c r="BB25" s="586"/>
    </row>
    <row r="26" spans="1:54" s="574" customFormat="1" hidden="1">
      <c r="A26" s="576"/>
      <c r="B26" s="580"/>
      <c r="D26" s="580"/>
      <c r="E26" s="578"/>
      <c r="F26" s="579"/>
      <c r="G26" s="263"/>
      <c r="H26" s="263"/>
      <c r="I26" s="263"/>
      <c r="J26" s="263"/>
      <c r="K26" s="263"/>
      <c r="L26" s="263"/>
      <c r="M26" s="263"/>
      <c r="N26" s="263"/>
      <c r="O26" s="263"/>
      <c r="P26" s="263"/>
      <c r="Q26" s="263"/>
      <c r="R26" s="263"/>
      <c r="S26" s="263"/>
      <c r="T26" s="263"/>
      <c r="U26" s="263"/>
      <c r="V26" s="586"/>
      <c r="W26" s="586"/>
      <c r="X26" s="586"/>
      <c r="Y26" s="586"/>
      <c r="Z26" s="586"/>
      <c r="AA26" s="586"/>
      <c r="AB26" s="586"/>
      <c r="AC26" s="586"/>
      <c r="AD26" s="586"/>
      <c r="AE26" s="586"/>
      <c r="AF26" s="586"/>
      <c r="AG26" s="586"/>
      <c r="AH26" s="586"/>
      <c r="AI26" s="586"/>
      <c r="AJ26" s="586"/>
      <c r="AK26" s="586"/>
      <c r="AL26" s="586"/>
      <c r="AM26" s="586"/>
      <c r="AN26" s="586"/>
      <c r="AO26" s="586"/>
      <c r="AP26" s="586"/>
      <c r="AQ26" s="586"/>
      <c r="AR26" s="586"/>
      <c r="AS26" s="586"/>
      <c r="AT26" s="586"/>
      <c r="AU26" s="586"/>
      <c r="AV26" s="586"/>
      <c r="AW26" s="586"/>
      <c r="AX26" s="586"/>
      <c r="AY26" s="586"/>
      <c r="AZ26" s="586"/>
      <c r="BA26" s="586"/>
      <c r="BB26" s="586"/>
    </row>
    <row r="27" spans="1:54" s="574" customFormat="1" hidden="1">
      <c r="A27" s="576"/>
      <c r="B27" s="581"/>
      <c r="G27" s="263"/>
      <c r="H27" s="263"/>
      <c r="I27" s="263"/>
      <c r="J27" s="263"/>
      <c r="K27" s="263"/>
      <c r="L27" s="263"/>
      <c r="M27" s="263"/>
      <c r="N27" s="263"/>
      <c r="O27" s="263"/>
      <c r="P27" s="263"/>
      <c r="Q27" s="263"/>
      <c r="R27" s="263"/>
      <c r="S27" s="263"/>
      <c r="T27" s="263"/>
      <c r="U27" s="263"/>
      <c r="V27" s="586"/>
      <c r="W27" s="586"/>
      <c r="X27" s="586"/>
      <c r="Y27" s="586"/>
      <c r="Z27" s="586"/>
      <c r="AA27" s="586"/>
      <c r="AB27" s="586"/>
      <c r="AC27" s="586"/>
      <c r="AD27" s="586"/>
      <c r="AE27" s="586"/>
      <c r="AF27" s="586"/>
      <c r="AG27" s="586"/>
      <c r="AH27" s="586"/>
      <c r="AI27" s="586"/>
      <c r="AJ27" s="586"/>
      <c r="AK27" s="586"/>
      <c r="AL27" s="586"/>
      <c r="AM27" s="586"/>
      <c r="AN27" s="586"/>
      <c r="AO27" s="586"/>
      <c r="AP27" s="586"/>
      <c r="AQ27" s="586"/>
      <c r="AR27" s="586"/>
      <c r="AS27" s="586"/>
      <c r="AT27" s="586"/>
      <c r="AU27" s="586"/>
      <c r="AV27" s="586"/>
      <c r="AW27" s="586"/>
      <c r="AX27" s="586"/>
      <c r="AY27" s="586"/>
      <c r="AZ27" s="586"/>
      <c r="BA27" s="586"/>
      <c r="BB27" s="586"/>
    </row>
    <row r="28" spans="1:54" s="574" customFormat="1" hidden="1">
      <c r="G28" s="263"/>
      <c r="H28" s="263"/>
      <c r="I28" s="263"/>
      <c r="J28" s="263"/>
      <c r="K28" s="263"/>
      <c r="L28" s="263"/>
      <c r="M28" s="263"/>
      <c r="N28" s="263"/>
      <c r="O28" s="263"/>
      <c r="P28" s="263"/>
      <c r="Q28" s="263"/>
      <c r="R28" s="263"/>
      <c r="S28" s="263"/>
      <c r="T28" s="263"/>
      <c r="U28" s="263"/>
      <c r="V28" s="586"/>
      <c r="W28" s="586"/>
      <c r="X28" s="586"/>
      <c r="Y28" s="586"/>
      <c r="Z28" s="586"/>
      <c r="AA28" s="586"/>
      <c r="AB28" s="586"/>
      <c r="AC28" s="586"/>
      <c r="AD28" s="586"/>
      <c r="AE28" s="586"/>
      <c r="AF28" s="586"/>
      <c r="AG28" s="586"/>
      <c r="AH28" s="586"/>
      <c r="AI28" s="586"/>
      <c r="AJ28" s="586"/>
      <c r="AK28" s="586"/>
      <c r="AL28" s="586"/>
      <c r="AM28" s="586"/>
      <c r="AN28" s="586"/>
      <c r="AO28" s="586"/>
      <c r="AP28" s="586"/>
      <c r="AQ28" s="586"/>
      <c r="AR28" s="586"/>
      <c r="AS28" s="586"/>
      <c r="AT28" s="586"/>
      <c r="AU28" s="586"/>
      <c r="AV28" s="586"/>
      <c r="AW28" s="586"/>
      <c r="AX28" s="586"/>
      <c r="AY28" s="586"/>
      <c r="AZ28" s="586"/>
      <c r="BA28" s="586"/>
      <c r="BB28" s="586"/>
    </row>
    <row r="29" spans="1:54" s="574" customFormat="1" hidden="1">
      <c r="A29" s="576"/>
      <c r="B29" s="580"/>
      <c r="D29" s="580"/>
      <c r="E29" s="578"/>
      <c r="F29" s="579"/>
      <c r="G29" s="263"/>
      <c r="H29" s="263"/>
      <c r="I29" s="263"/>
      <c r="J29" s="263"/>
      <c r="K29" s="263"/>
      <c r="L29" s="263"/>
      <c r="M29" s="263"/>
      <c r="N29" s="263"/>
      <c r="O29" s="263"/>
      <c r="P29" s="263"/>
      <c r="Q29" s="263"/>
      <c r="R29" s="263"/>
      <c r="S29" s="263"/>
      <c r="T29" s="263"/>
      <c r="U29" s="263"/>
      <c r="V29" s="586"/>
      <c r="W29" s="586"/>
      <c r="X29" s="586"/>
      <c r="Y29" s="586"/>
      <c r="Z29" s="586"/>
      <c r="AA29" s="586"/>
      <c r="AB29" s="586"/>
      <c r="AC29" s="586"/>
      <c r="AD29" s="586"/>
      <c r="AE29" s="586"/>
      <c r="AF29" s="586"/>
      <c r="AG29" s="586"/>
      <c r="AH29" s="586"/>
      <c r="AI29" s="586"/>
      <c r="AJ29" s="586"/>
      <c r="AK29" s="586"/>
      <c r="AL29" s="586"/>
      <c r="AM29" s="586"/>
      <c r="AN29" s="586"/>
      <c r="AO29" s="586"/>
      <c r="AP29" s="586"/>
      <c r="AQ29" s="586"/>
      <c r="AR29" s="586"/>
      <c r="AS29" s="586"/>
      <c r="AT29" s="586"/>
      <c r="AU29" s="586"/>
      <c r="AV29" s="586"/>
      <c r="AW29" s="586"/>
      <c r="AX29" s="586"/>
      <c r="AY29" s="586"/>
      <c r="AZ29" s="586"/>
      <c r="BA29" s="586"/>
      <c r="BB29" s="586"/>
    </row>
    <row r="30" spans="1:54" s="574" customFormat="1" hidden="1">
      <c r="A30" s="576"/>
      <c r="B30" s="581"/>
      <c r="G30" s="263"/>
      <c r="H30" s="263"/>
      <c r="I30" s="263"/>
      <c r="J30" s="263"/>
      <c r="K30" s="263"/>
      <c r="L30" s="263"/>
      <c r="M30" s="263"/>
      <c r="N30" s="263"/>
      <c r="O30" s="263"/>
      <c r="P30" s="263"/>
      <c r="Q30" s="263"/>
      <c r="R30" s="263"/>
      <c r="S30" s="263"/>
      <c r="T30" s="263"/>
      <c r="U30" s="263"/>
      <c r="V30" s="586"/>
      <c r="W30" s="586"/>
      <c r="X30" s="586"/>
      <c r="Y30" s="586"/>
      <c r="Z30" s="586"/>
      <c r="AA30" s="586"/>
      <c r="AB30" s="586"/>
      <c r="AC30" s="586"/>
      <c r="AD30" s="586"/>
      <c r="AE30" s="586"/>
      <c r="AF30" s="586"/>
      <c r="AG30" s="586"/>
      <c r="AH30" s="586"/>
      <c r="AI30" s="586"/>
      <c r="AJ30" s="586"/>
      <c r="AK30" s="586"/>
      <c r="AL30" s="586"/>
      <c r="AM30" s="586"/>
      <c r="AN30" s="586"/>
      <c r="AO30" s="586"/>
      <c r="AP30" s="586"/>
      <c r="AQ30" s="586"/>
      <c r="AR30" s="586"/>
      <c r="AS30" s="586"/>
      <c r="AT30" s="586"/>
      <c r="AU30" s="586"/>
      <c r="AV30" s="586"/>
      <c r="AW30" s="586"/>
      <c r="AX30" s="586"/>
      <c r="AY30" s="586"/>
      <c r="AZ30" s="586"/>
      <c r="BA30" s="586"/>
      <c r="BB30" s="586"/>
    </row>
    <row r="31" spans="1:54" s="574" customFormat="1" hidden="1">
      <c r="G31" s="263"/>
      <c r="H31" s="263"/>
      <c r="I31" s="263"/>
      <c r="J31" s="263"/>
      <c r="K31" s="263"/>
      <c r="L31" s="263"/>
      <c r="M31" s="263"/>
      <c r="N31" s="263"/>
      <c r="O31" s="263"/>
      <c r="P31" s="263"/>
      <c r="Q31" s="263"/>
      <c r="R31" s="263"/>
      <c r="S31" s="263"/>
      <c r="T31" s="263"/>
      <c r="U31" s="263"/>
      <c r="V31" s="586"/>
      <c r="W31" s="586"/>
      <c r="X31" s="586"/>
      <c r="Y31" s="586"/>
      <c r="Z31" s="586"/>
      <c r="AA31" s="586"/>
      <c r="AB31" s="586"/>
      <c r="AC31" s="586"/>
      <c r="AD31" s="586"/>
      <c r="AE31" s="586"/>
      <c r="AF31" s="586"/>
      <c r="AG31" s="586"/>
      <c r="AH31" s="586"/>
      <c r="AI31" s="586"/>
      <c r="AJ31" s="586"/>
      <c r="AK31" s="586"/>
      <c r="AL31" s="586"/>
      <c r="AM31" s="586"/>
      <c r="AN31" s="586"/>
      <c r="AO31" s="586"/>
      <c r="AP31" s="586"/>
      <c r="AQ31" s="586"/>
      <c r="AR31" s="586"/>
      <c r="AS31" s="586"/>
      <c r="AT31" s="586"/>
      <c r="AU31" s="586"/>
      <c r="AV31" s="586"/>
      <c r="AW31" s="586"/>
      <c r="AX31" s="586"/>
      <c r="AY31" s="586"/>
      <c r="AZ31" s="586"/>
      <c r="BA31" s="586"/>
      <c r="BB31" s="586"/>
    </row>
    <row r="32" spans="1:54" s="574" customFormat="1" hidden="1">
      <c r="A32" s="576"/>
      <c r="B32" s="582"/>
      <c r="D32" s="580"/>
      <c r="E32" s="578"/>
      <c r="F32" s="579"/>
      <c r="G32" s="263"/>
      <c r="H32" s="263"/>
      <c r="I32" s="263"/>
      <c r="J32" s="263"/>
      <c r="K32" s="263"/>
      <c r="L32" s="263"/>
      <c r="M32" s="263"/>
      <c r="N32" s="263"/>
      <c r="O32" s="263"/>
      <c r="P32" s="263"/>
      <c r="Q32" s="263"/>
      <c r="R32" s="263"/>
      <c r="S32" s="263"/>
      <c r="T32" s="263"/>
      <c r="U32" s="263"/>
      <c r="V32" s="586"/>
      <c r="W32" s="586"/>
      <c r="X32" s="586"/>
      <c r="Y32" s="586"/>
      <c r="Z32" s="586"/>
      <c r="AA32" s="586"/>
      <c r="AB32" s="586"/>
      <c r="AC32" s="586"/>
      <c r="AD32" s="586"/>
      <c r="AE32" s="586"/>
      <c r="AF32" s="586"/>
      <c r="AG32" s="586"/>
      <c r="AH32" s="586"/>
      <c r="AI32" s="586"/>
      <c r="AJ32" s="586"/>
      <c r="AK32" s="586"/>
      <c r="AL32" s="586"/>
      <c r="AM32" s="586"/>
      <c r="AN32" s="586"/>
      <c r="AO32" s="586"/>
      <c r="AP32" s="586"/>
      <c r="AQ32" s="586"/>
      <c r="AR32" s="586"/>
      <c r="AS32" s="586"/>
      <c r="AT32" s="586"/>
      <c r="AU32" s="586"/>
      <c r="AV32" s="586"/>
      <c r="AW32" s="586"/>
      <c r="AX32" s="586"/>
      <c r="AY32" s="586"/>
      <c r="AZ32" s="586"/>
      <c r="BA32" s="586"/>
      <c r="BB32" s="586"/>
    </row>
    <row r="33" spans="1:54" s="574" customFormat="1" hidden="1">
      <c r="A33" s="576"/>
      <c r="B33" s="581"/>
      <c r="G33" s="263"/>
      <c r="H33" s="263"/>
      <c r="I33" s="263"/>
      <c r="J33" s="263"/>
      <c r="K33" s="263"/>
      <c r="L33" s="263"/>
      <c r="M33" s="263"/>
      <c r="N33" s="263"/>
      <c r="O33" s="263"/>
      <c r="P33" s="263"/>
      <c r="Q33" s="263"/>
      <c r="R33" s="263"/>
      <c r="S33" s="263"/>
      <c r="T33" s="263"/>
      <c r="U33" s="263"/>
      <c r="V33" s="586"/>
      <c r="W33" s="586"/>
      <c r="X33" s="586"/>
      <c r="Y33" s="586"/>
      <c r="Z33" s="586"/>
      <c r="AA33" s="586"/>
      <c r="AB33" s="586"/>
      <c r="AC33" s="586"/>
      <c r="AD33" s="586"/>
      <c r="AE33" s="586"/>
      <c r="AF33" s="586"/>
      <c r="AG33" s="586"/>
      <c r="AH33" s="586"/>
      <c r="AI33" s="586"/>
      <c r="AJ33" s="586"/>
      <c r="AK33" s="586"/>
      <c r="AL33" s="586"/>
      <c r="AM33" s="586"/>
      <c r="AN33" s="586"/>
      <c r="AO33" s="586"/>
      <c r="AP33" s="586"/>
      <c r="AQ33" s="586"/>
      <c r="AR33" s="586"/>
      <c r="AS33" s="586"/>
      <c r="AT33" s="586"/>
      <c r="AU33" s="586"/>
      <c r="AV33" s="586"/>
      <c r="AW33" s="586"/>
      <c r="AX33" s="586"/>
      <c r="AY33" s="586"/>
      <c r="AZ33" s="586"/>
      <c r="BA33" s="586"/>
      <c r="BB33" s="586"/>
    </row>
    <row r="34" spans="1:54" s="574" customFormat="1" hidden="1">
      <c r="G34" s="263"/>
      <c r="H34" s="263"/>
      <c r="I34" s="263"/>
      <c r="J34" s="263"/>
      <c r="K34" s="263"/>
      <c r="L34" s="263"/>
      <c r="M34" s="263"/>
      <c r="N34" s="263"/>
      <c r="O34" s="263"/>
      <c r="P34" s="263"/>
      <c r="Q34" s="263"/>
      <c r="R34" s="263"/>
      <c r="S34" s="263"/>
      <c r="T34" s="263"/>
      <c r="U34" s="263"/>
      <c r="V34" s="586"/>
      <c r="W34" s="586"/>
      <c r="X34" s="586"/>
      <c r="Y34" s="586"/>
      <c r="Z34" s="586"/>
      <c r="AA34" s="586"/>
      <c r="AB34" s="586"/>
      <c r="AC34" s="586"/>
      <c r="AD34" s="586"/>
      <c r="AE34" s="586"/>
      <c r="AF34" s="586"/>
      <c r="AG34" s="586"/>
      <c r="AH34" s="586"/>
      <c r="AI34" s="586"/>
      <c r="AJ34" s="586"/>
      <c r="AK34" s="586"/>
      <c r="AL34" s="586"/>
      <c r="AM34" s="586"/>
      <c r="AN34" s="586"/>
      <c r="AO34" s="586"/>
      <c r="AP34" s="586"/>
      <c r="AQ34" s="586"/>
      <c r="AR34" s="586"/>
      <c r="AS34" s="586"/>
      <c r="AT34" s="586"/>
      <c r="AU34" s="586"/>
      <c r="AV34" s="586"/>
      <c r="AW34" s="586"/>
      <c r="AX34" s="586"/>
      <c r="AY34" s="586"/>
      <c r="AZ34" s="586"/>
      <c r="BA34" s="586"/>
      <c r="BB34" s="586"/>
    </row>
    <row r="35" spans="1:54" s="574" customFormat="1" hidden="1">
      <c r="A35" s="576"/>
      <c r="B35" s="580"/>
      <c r="E35" s="578"/>
      <c r="F35" s="579"/>
      <c r="G35" s="263"/>
      <c r="H35" s="263"/>
      <c r="I35" s="263"/>
      <c r="J35" s="263"/>
      <c r="K35" s="263"/>
      <c r="L35" s="263"/>
      <c r="M35" s="263"/>
      <c r="N35" s="263"/>
      <c r="O35" s="263"/>
      <c r="P35" s="263"/>
      <c r="Q35" s="263"/>
      <c r="R35" s="263"/>
      <c r="S35" s="263"/>
      <c r="T35" s="263"/>
      <c r="U35" s="263"/>
      <c r="V35" s="586"/>
      <c r="W35" s="586"/>
      <c r="X35" s="586"/>
      <c r="Y35" s="586"/>
      <c r="Z35" s="586"/>
      <c r="AA35" s="586"/>
      <c r="AB35" s="586"/>
      <c r="AC35" s="586"/>
      <c r="AD35" s="586"/>
      <c r="AE35" s="586"/>
      <c r="AF35" s="586"/>
      <c r="AG35" s="586"/>
      <c r="AH35" s="586"/>
      <c r="AI35" s="586"/>
      <c r="AJ35" s="586"/>
      <c r="AK35" s="586"/>
      <c r="AL35" s="586"/>
      <c r="AM35" s="586"/>
      <c r="AN35" s="586"/>
      <c r="AO35" s="586"/>
      <c r="AP35" s="586"/>
      <c r="AQ35" s="586"/>
      <c r="AR35" s="586"/>
      <c r="AS35" s="586"/>
      <c r="AT35" s="586"/>
      <c r="AU35" s="586"/>
      <c r="AV35" s="586"/>
      <c r="AW35" s="586"/>
      <c r="AX35" s="586"/>
      <c r="AY35" s="586"/>
      <c r="AZ35" s="586"/>
      <c r="BA35" s="586"/>
      <c r="BB35" s="586"/>
    </row>
    <row r="36" spans="1:54" s="574" customFormat="1" hidden="1">
      <c r="A36" s="576"/>
      <c r="B36" s="581"/>
      <c r="G36" s="263"/>
      <c r="H36" s="263"/>
      <c r="I36" s="263"/>
      <c r="J36" s="263"/>
      <c r="K36" s="263"/>
      <c r="L36" s="263"/>
      <c r="M36" s="263"/>
      <c r="N36" s="263"/>
      <c r="O36" s="263"/>
      <c r="P36" s="263"/>
      <c r="Q36" s="263"/>
      <c r="R36" s="263"/>
      <c r="S36" s="263"/>
      <c r="T36" s="263"/>
      <c r="U36" s="263"/>
      <c r="V36" s="586"/>
      <c r="W36" s="586"/>
      <c r="X36" s="586"/>
      <c r="Y36" s="586"/>
      <c r="Z36" s="586"/>
      <c r="AA36" s="586"/>
      <c r="AB36" s="586"/>
      <c r="AC36" s="586"/>
      <c r="AD36" s="586"/>
      <c r="AE36" s="586"/>
      <c r="AF36" s="586"/>
      <c r="AG36" s="586"/>
      <c r="AH36" s="586"/>
      <c r="AI36" s="586"/>
      <c r="AJ36" s="586"/>
      <c r="AK36" s="586"/>
      <c r="AL36" s="586"/>
      <c r="AM36" s="586"/>
      <c r="AN36" s="586"/>
      <c r="AO36" s="586"/>
      <c r="AP36" s="586"/>
      <c r="AQ36" s="586"/>
      <c r="AR36" s="586"/>
      <c r="AS36" s="586"/>
      <c r="AT36" s="586"/>
      <c r="AU36" s="586"/>
      <c r="AV36" s="586"/>
      <c r="AW36" s="586"/>
      <c r="AX36" s="586"/>
      <c r="AY36" s="586"/>
      <c r="AZ36" s="586"/>
      <c r="BA36" s="586"/>
      <c r="BB36" s="586"/>
    </row>
    <row r="37" spans="1:54" s="574" customFormat="1" hidden="1">
      <c r="G37" s="263"/>
      <c r="H37" s="263"/>
      <c r="I37" s="263"/>
      <c r="J37" s="263"/>
      <c r="K37" s="263"/>
      <c r="L37" s="263"/>
      <c r="M37" s="263"/>
      <c r="N37" s="263"/>
      <c r="O37" s="263"/>
      <c r="P37" s="263"/>
      <c r="Q37" s="263"/>
      <c r="R37" s="263"/>
      <c r="S37" s="263"/>
      <c r="T37" s="263"/>
      <c r="U37" s="263"/>
      <c r="V37" s="586"/>
      <c r="W37" s="586"/>
      <c r="X37" s="586"/>
      <c r="Y37" s="586"/>
      <c r="Z37" s="586"/>
      <c r="AA37" s="586"/>
      <c r="AB37" s="586"/>
      <c r="AC37" s="586"/>
      <c r="AD37" s="586"/>
      <c r="AE37" s="586"/>
      <c r="AF37" s="586"/>
      <c r="AG37" s="586"/>
      <c r="AH37" s="586"/>
      <c r="AI37" s="586"/>
      <c r="AJ37" s="586"/>
      <c r="AK37" s="586"/>
      <c r="AL37" s="586"/>
      <c r="AM37" s="586"/>
      <c r="AN37" s="586"/>
      <c r="AO37" s="586"/>
      <c r="AP37" s="586"/>
      <c r="AQ37" s="586"/>
      <c r="AR37" s="586"/>
      <c r="AS37" s="586"/>
      <c r="AT37" s="586"/>
      <c r="AU37" s="586"/>
      <c r="AV37" s="586"/>
      <c r="AW37" s="586"/>
      <c r="AX37" s="586"/>
      <c r="AY37" s="586"/>
      <c r="AZ37" s="586"/>
      <c r="BA37" s="586"/>
      <c r="BB37" s="586"/>
    </row>
    <row r="38" spans="1:54" s="574" customFormat="1" hidden="1">
      <c r="A38" s="576"/>
      <c r="B38" s="580"/>
      <c r="D38" s="580"/>
      <c r="E38" s="578"/>
      <c r="F38" s="579"/>
      <c r="G38" s="263"/>
      <c r="H38" s="263"/>
      <c r="I38" s="263"/>
      <c r="J38" s="263"/>
      <c r="K38" s="263"/>
      <c r="L38" s="263"/>
      <c r="M38" s="263"/>
      <c r="N38" s="263"/>
      <c r="O38" s="263"/>
      <c r="P38" s="263"/>
      <c r="Q38" s="263"/>
      <c r="R38" s="263"/>
      <c r="S38" s="263"/>
      <c r="T38" s="263"/>
      <c r="U38" s="263"/>
      <c r="V38" s="586"/>
      <c r="W38" s="586"/>
      <c r="X38" s="586"/>
      <c r="Y38" s="586"/>
      <c r="Z38" s="586"/>
      <c r="AA38" s="586"/>
      <c r="AB38" s="586"/>
      <c r="AC38" s="586"/>
      <c r="AD38" s="586"/>
      <c r="AE38" s="586"/>
      <c r="AF38" s="586"/>
      <c r="AG38" s="586"/>
      <c r="AH38" s="586"/>
      <c r="AI38" s="586"/>
      <c r="AJ38" s="586"/>
      <c r="AK38" s="586"/>
      <c r="AL38" s="586"/>
      <c r="AM38" s="586"/>
      <c r="AN38" s="586"/>
      <c r="AO38" s="586"/>
      <c r="AP38" s="586"/>
      <c r="AQ38" s="586"/>
      <c r="AR38" s="586"/>
      <c r="AS38" s="586"/>
      <c r="AT38" s="586"/>
      <c r="AU38" s="586"/>
      <c r="AV38" s="586"/>
      <c r="AW38" s="586"/>
      <c r="AX38" s="586"/>
      <c r="AY38" s="586"/>
      <c r="AZ38" s="586"/>
      <c r="BA38" s="586"/>
      <c r="BB38" s="586"/>
    </row>
    <row r="39" spans="1:54" s="574" customFormat="1" hidden="1">
      <c r="A39" s="576"/>
      <c r="B39" s="581"/>
      <c r="G39" s="263"/>
      <c r="H39" s="263"/>
      <c r="I39" s="263"/>
      <c r="J39" s="263"/>
      <c r="K39" s="263"/>
      <c r="L39" s="263"/>
      <c r="M39" s="263"/>
      <c r="N39" s="263"/>
      <c r="O39" s="263"/>
      <c r="P39" s="263"/>
      <c r="Q39" s="263"/>
      <c r="R39" s="263"/>
      <c r="S39" s="263"/>
      <c r="T39" s="263"/>
      <c r="U39" s="263"/>
      <c r="V39" s="586"/>
      <c r="W39" s="586"/>
      <c r="X39" s="586"/>
      <c r="Y39" s="586"/>
      <c r="Z39" s="586"/>
      <c r="AA39" s="586"/>
      <c r="AB39" s="586"/>
      <c r="AC39" s="586"/>
      <c r="AD39" s="586"/>
      <c r="AE39" s="586"/>
      <c r="AF39" s="586"/>
      <c r="AG39" s="586"/>
      <c r="AH39" s="586"/>
      <c r="AI39" s="586"/>
      <c r="AJ39" s="586"/>
      <c r="AK39" s="586"/>
      <c r="AL39" s="586"/>
      <c r="AM39" s="586"/>
      <c r="AN39" s="586"/>
      <c r="AO39" s="586"/>
      <c r="AP39" s="586"/>
      <c r="AQ39" s="586"/>
      <c r="AR39" s="586"/>
      <c r="AS39" s="586"/>
      <c r="AT39" s="586"/>
      <c r="AU39" s="586"/>
      <c r="AV39" s="586"/>
      <c r="AW39" s="586"/>
      <c r="AX39" s="586"/>
      <c r="AY39" s="586"/>
      <c r="AZ39" s="586"/>
      <c r="BA39" s="586"/>
      <c r="BB39" s="586"/>
    </row>
    <row r="40" spans="1:54" s="574" customFormat="1" hidden="1">
      <c r="G40" s="263"/>
      <c r="H40" s="263"/>
      <c r="I40" s="263"/>
      <c r="J40" s="263"/>
      <c r="K40" s="263"/>
      <c r="L40" s="263"/>
      <c r="M40" s="263"/>
      <c r="N40" s="263"/>
      <c r="O40" s="263"/>
      <c r="P40" s="263"/>
      <c r="Q40" s="263"/>
      <c r="R40" s="263"/>
      <c r="S40" s="263"/>
      <c r="T40" s="263"/>
      <c r="U40" s="263"/>
      <c r="V40" s="586"/>
      <c r="W40" s="586"/>
      <c r="X40" s="586"/>
      <c r="Y40" s="586"/>
      <c r="Z40" s="586"/>
      <c r="AA40" s="586"/>
      <c r="AB40" s="586"/>
      <c r="AC40" s="586"/>
      <c r="AD40" s="586"/>
      <c r="AE40" s="586"/>
      <c r="AF40" s="586"/>
      <c r="AG40" s="586"/>
      <c r="AH40" s="586"/>
      <c r="AI40" s="586"/>
      <c r="AJ40" s="586"/>
      <c r="AK40" s="586"/>
      <c r="AL40" s="586"/>
      <c r="AM40" s="586"/>
      <c r="AN40" s="586"/>
      <c r="AO40" s="586"/>
      <c r="AP40" s="586"/>
      <c r="AQ40" s="586"/>
      <c r="AR40" s="586"/>
      <c r="AS40" s="586"/>
      <c r="AT40" s="586"/>
      <c r="AU40" s="586"/>
      <c r="AV40" s="586"/>
      <c r="AW40" s="586"/>
      <c r="AX40" s="586"/>
      <c r="AY40" s="586"/>
      <c r="AZ40" s="586"/>
      <c r="BA40" s="586"/>
      <c r="BB40" s="586"/>
    </row>
    <row r="41" spans="1:54" s="574" customFormat="1" hidden="1">
      <c r="A41" s="576"/>
      <c r="B41" s="580"/>
      <c r="D41" s="580"/>
      <c r="E41" s="578"/>
      <c r="F41" s="579"/>
      <c r="G41" s="263"/>
      <c r="H41" s="263"/>
      <c r="I41" s="263"/>
      <c r="J41" s="263"/>
      <c r="K41" s="263"/>
      <c r="L41" s="263"/>
      <c r="M41" s="263"/>
      <c r="N41" s="263"/>
      <c r="O41" s="263"/>
      <c r="P41" s="263"/>
      <c r="Q41" s="263"/>
      <c r="R41" s="263"/>
      <c r="S41" s="263"/>
      <c r="T41" s="263"/>
      <c r="U41" s="263"/>
      <c r="V41" s="586"/>
      <c r="W41" s="586"/>
      <c r="X41" s="586"/>
      <c r="Y41" s="586"/>
      <c r="Z41" s="586"/>
      <c r="AA41" s="586"/>
      <c r="AB41" s="586"/>
      <c r="AC41" s="586"/>
      <c r="AD41" s="586"/>
      <c r="AE41" s="586"/>
      <c r="AF41" s="586"/>
      <c r="AG41" s="586"/>
      <c r="AH41" s="586"/>
      <c r="AI41" s="586"/>
      <c r="AJ41" s="586"/>
      <c r="AK41" s="586"/>
      <c r="AL41" s="586"/>
      <c r="AM41" s="586"/>
      <c r="AN41" s="586"/>
      <c r="AO41" s="586"/>
      <c r="AP41" s="586"/>
      <c r="AQ41" s="586"/>
      <c r="AR41" s="586"/>
      <c r="AS41" s="586"/>
      <c r="AT41" s="586"/>
      <c r="AU41" s="586"/>
      <c r="AV41" s="586"/>
      <c r="AW41" s="586"/>
      <c r="AX41" s="586"/>
      <c r="AY41" s="586"/>
      <c r="AZ41" s="586"/>
      <c r="BA41" s="586"/>
      <c r="BB41" s="586"/>
    </row>
    <row r="42" spans="1:54" s="574" customFormat="1" hidden="1">
      <c r="A42" s="576"/>
      <c r="B42" s="581"/>
      <c r="G42" s="263"/>
      <c r="H42" s="263"/>
      <c r="I42" s="263"/>
      <c r="J42" s="263"/>
      <c r="K42" s="263"/>
      <c r="L42" s="263"/>
      <c r="M42" s="263"/>
      <c r="N42" s="263"/>
      <c r="O42" s="263"/>
      <c r="P42" s="263"/>
      <c r="Q42" s="263"/>
      <c r="R42" s="263"/>
      <c r="S42" s="263"/>
      <c r="T42" s="263"/>
      <c r="U42" s="263"/>
      <c r="V42" s="586"/>
      <c r="W42" s="586"/>
      <c r="X42" s="586"/>
      <c r="Y42" s="586"/>
      <c r="Z42" s="586"/>
      <c r="AA42" s="586"/>
      <c r="AB42" s="586"/>
      <c r="AC42" s="586"/>
      <c r="AD42" s="586"/>
      <c r="AE42" s="586"/>
      <c r="AF42" s="586"/>
      <c r="AG42" s="586"/>
      <c r="AH42" s="586"/>
      <c r="AI42" s="586"/>
      <c r="AJ42" s="586"/>
      <c r="AK42" s="586"/>
      <c r="AL42" s="586"/>
      <c r="AM42" s="586"/>
      <c r="AN42" s="586"/>
      <c r="AO42" s="586"/>
      <c r="AP42" s="586"/>
      <c r="AQ42" s="586"/>
      <c r="AR42" s="586"/>
      <c r="AS42" s="586"/>
      <c r="AT42" s="586"/>
      <c r="AU42" s="586"/>
      <c r="AV42" s="586"/>
      <c r="AW42" s="586"/>
      <c r="AX42" s="586"/>
      <c r="AY42" s="586"/>
      <c r="AZ42" s="586"/>
      <c r="BA42" s="586"/>
      <c r="BB42" s="586"/>
    </row>
    <row r="43" spans="1:54" s="574" customFormat="1" hidden="1">
      <c r="G43" s="263"/>
      <c r="H43" s="263"/>
      <c r="I43" s="263"/>
      <c r="J43" s="263"/>
      <c r="K43" s="263"/>
      <c r="L43" s="263"/>
      <c r="M43" s="263"/>
      <c r="N43" s="263"/>
      <c r="O43" s="263"/>
      <c r="P43" s="263"/>
      <c r="Q43" s="263"/>
      <c r="R43" s="263"/>
      <c r="S43" s="263"/>
      <c r="T43" s="263"/>
      <c r="U43" s="263"/>
      <c r="V43" s="586"/>
      <c r="W43" s="586"/>
      <c r="X43" s="586"/>
      <c r="Y43" s="586"/>
      <c r="Z43" s="586"/>
      <c r="AA43" s="586"/>
      <c r="AB43" s="586"/>
      <c r="AC43" s="586"/>
      <c r="AD43" s="586"/>
      <c r="AE43" s="586"/>
      <c r="AF43" s="586"/>
      <c r="AG43" s="586"/>
      <c r="AH43" s="586"/>
      <c r="AI43" s="586"/>
      <c r="AJ43" s="586"/>
      <c r="AK43" s="586"/>
      <c r="AL43" s="586"/>
      <c r="AM43" s="586"/>
      <c r="AN43" s="586"/>
      <c r="AO43" s="586"/>
      <c r="AP43" s="586"/>
      <c r="AQ43" s="586"/>
      <c r="AR43" s="586"/>
      <c r="AS43" s="586"/>
      <c r="AT43" s="586"/>
      <c r="AU43" s="586"/>
      <c r="AV43" s="586"/>
      <c r="AW43" s="586"/>
      <c r="AX43" s="586"/>
      <c r="AY43" s="586"/>
      <c r="AZ43" s="586"/>
      <c r="BA43" s="586"/>
      <c r="BB43" s="586"/>
    </row>
    <row r="44" spans="1:54" s="574" customFormat="1" hidden="1">
      <c r="A44" s="576"/>
      <c r="B44" s="580"/>
      <c r="D44" s="580"/>
      <c r="E44" s="578"/>
      <c r="F44" s="579"/>
      <c r="G44" s="263"/>
      <c r="H44" s="263"/>
      <c r="I44" s="263"/>
      <c r="J44" s="263"/>
      <c r="K44" s="263"/>
      <c r="L44" s="263"/>
      <c r="M44" s="263"/>
      <c r="N44" s="263"/>
      <c r="O44" s="263"/>
      <c r="P44" s="263"/>
      <c r="Q44" s="263"/>
      <c r="R44" s="263"/>
      <c r="S44" s="263"/>
      <c r="T44" s="263"/>
      <c r="U44" s="263"/>
      <c r="V44" s="586"/>
      <c r="W44" s="586"/>
      <c r="X44" s="586"/>
      <c r="Y44" s="586"/>
      <c r="Z44" s="586"/>
      <c r="AA44" s="586"/>
      <c r="AB44" s="586"/>
      <c r="AC44" s="586"/>
      <c r="AD44" s="586"/>
      <c r="AE44" s="586"/>
      <c r="AF44" s="586"/>
      <c r="AG44" s="586"/>
      <c r="AH44" s="586"/>
      <c r="AI44" s="586"/>
      <c r="AJ44" s="586"/>
      <c r="AK44" s="586"/>
      <c r="AL44" s="586"/>
      <c r="AM44" s="586"/>
      <c r="AN44" s="586"/>
      <c r="AO44" s="586"/>
      <c r="AP44" s="586"/>
      <c r="AQ44" s="586"/>
      <c r="AR44" s="586"/>
      <c r="AS44" s="586"/>
      <c r="AT44" s="586"/>
      <c r="AU44" s="586"/>
      <c r="AV44" s="586"/>
      <c r="AW44" s="586"/>
      <c r="AX44" s="586"/>
      <c r="AY44" s="586"/>
      <c r="AZ44" s="586"/>
      <c r="BA44" s="586"/>
      <c r="BB44" s="586"/>
    </row>
    <row r="45" spans="1:54" s="574" customFormat="1" hidden="1">
      <c r="A45" s="576"/>
      <c r="B45" s="581"/>
      <c r="G45" s="263"/>
      <c r="H45" s="263"/>
      <c r="I45" s="263"/>
      <c r="J45" s="263"/>
      <c r="K45" s="263"/>
      <c r="L45" s="263"/>
      <c r="M45" s="263"/>
      <c r="N45" s="263"/>
      <c r="O45" s="263"/>
      <c r="P45" s="263"/>
      <c r="Q45" s="263"/>
      <c r="R45" s="263"/>
      <c r="S45" s="263"/>
      <c r="T45" s="263"/>
      <c r="U45" s="263"/>
      <c r="V45" s="586"/>
      <c r="W45" s="586"/>
      <c r="X45" s="586"/>
      <c r="Y45" s="586"/>
      <c r="Z45" s="586"/>
      <c r="AA45" s="586"/>
      <c r="AB45" s="586"/>
      <c r="AC45" s="586"/>
      <c r="AD45" s="586"/>
      <c r="AE45" s="586"/>
      <c r="AF45" s="586"/>
      <c r="AG45" s="586"/>
      <c r="AH45" s="586"/>
      <c r="AI45" s="586"/>
      <c r="AJ45" s="586"/>
      <c r="AK45" s="586"/>
      <c r="AL45" s="586"/>
      <c r="AM45" s="586"/>
      <c r="AN45" s="586"/>
      <c r="AO45" s="586"/>
      <c r="AP45" s="586"/>
      <c r="AQ45" s="586"/>
      <c r="AR45" s="586"/>
      <c r="AS45" s="586"/>
      <c r="AT45" s="586"/>
      <c r="AU45" s="586"/>
      <c r="AV45" s="586"/>
      <c r="AW45" s="586"/>
      <c r="AX45" s="586"/>
      <c r="AY45" s="586"/>
      <c r="AZ45" s="586"/>
      <c r="BA45" s="586"/>
      <c r="BB45" s="586"/>
    </row>
    <row r="46" spans="1:54" s="574" customFormat="1" hidden="1">
      <c r="G46" s="263"/>
      <c r="H46" s="263"/>
      <c r="I46" s="263"/>
      <c r="J46" s="263"/>
      <c r="K46" s="263"/>
      <c r="L46" s="263"/>
      <c r="M46" s="263"/>
      <c r="N46" s="263"/>
      <c r="O46" s="263"/>
      <c r="P46" s="263"/>
      <c r="Q46" s="263"/>
      <c r="R46" s="263"/>
      <c r="S46" s="263"/>
      <c r="T46" s="263"/>
      <c r="U46" s="263"/>
      <c r="V46" s="586"/>
      <c r="W46" s="586"/>
      <c r="X46" s="586"/>
      <c r="Y46" s="586"/>
      <c r="Z46" s="586"/>
      <c r="AA46" s="586"/>
      <c r="AB46" s="586"/>
      <c r="AC46" s="586"/>
      <c r="AD46" s="586"/>
      <c r="AE46" s="586"/>
      <c r="AF46" s="586"/>
      <c r="AG46" s="586"/>
      <c r="AH46" s="586"/>
      <c r="AI46" s="586"/>
      <c r="AJ46" s="586"/>
      <c r="AK46" s="586"/>
      <c r="AL46" s="586"/>
      <c r="AM46" s="586"/>
      <c r="AN46" s="586"/>
      <c r="AO46" s="586"/>
      <c r="AP46" s="586"/>
      <c r="AQ46" s="586"/>
      <c r="AR46" s="586"/>
      <c r="AS46" s="586"/>
      <c r="AT46" s="586"/>
      <c r="AU46" s="586"/>
      <c r="AV46" s="586"/>
      <c r="AW46" s="586"/>
      <c r="AX46" s="586"/>
      <c r="AY46" s="586"/>
      <c r="AZ46" s="586"/>
      <c r="BA46" s="586"/>
      <c r="BB46" s="586"/>
    </row>
    <row r="47" spans="1:54" s="574" customFormat="1" hidden="1">
      <c r="A47" s="576"/>
      <c r="B47" s="580"/>
      <c r="D47" s="580"/>
      <c r="E47" s="578"/>
      <c r="F47" s="579"/>
      <c r="G47" s="263"/>
      <c r="H47" s="263"/>
      <c r="I47" s="263"/>
      <c r="J47" s="263"/>
      <c r="K47" s="263"/>
      <c r="L47" s="263"/>
      <c r="M47" s="263"/>
      <c r="N47" s="263"/>
      <c r="O47" s="263"/>
      <c r="P47" s="263"/>
      <c r="Q47" s="263"/>
      <c r="R47" s="263"/>
      <c r="S47" s="263"/>
      <c r="T47" s="263"/>
      <c r="U47" s="263"/>
      <c r="V47" s="586"/>
      <c r="W47" s="586"/>
      <c r="X47" s="586"/>
      <c r="Y47" s="586"/>
      <c r="Z47" s="586"/>
      <c r="AA47" s="586"/>
      <c r="AB47" s="586"/>
      <c r="AC47" s="586"/>
      <c r="AD47" s="586"/>
      <c r="AE47" s="586"/>
      <c r="AF47" s="586"/>
      <c r="AG47" s="586"/>
      <c r="AH47" s="586"/>
      <c r="AI47" s="586"/>
      <c r="AJ47" s="586"/>
      <c r="AK47" s="586"/>
      <c r="AL47" s="586"/>
      <c r="AM47" s="586"/>
      <c r="AN47" s="586"/>
      <c r="AO47" s="586"/>
      <c r="AP47" s="586"/>
      <c r="AQ47" s="586"/>
      <c r="AR47" s="586"/>
      <c r="AS47" s="586"/>
      <c r="AT47" s="586"/>
      <c r="AU47" s="586"/>
      <c r="AV47" s="586"/>
      <c r="AW47" s="586"/>
      <c r="AX47" s="586"/>
      <c r="AY47" s="586"/>
      <c r="AZ47" s="586"/>
      <c r="BA47" s="586"/>
      <c r="BB47" s="586"/>
    </row>
    <row r="48" spans="1:54" s="574" customFormat="1" hidden="1">
      <c r="A48" s="576"/>
      <c r="B48" s="581"/>
      <c r="G48" s="263"/>
      <c r="H48" s="263"/>
      <c r="I48" s="263"/>
      <c r="J48" s="263"/>
      <c r="K48" s="263"/>
      <c r="L48" s="263"/>
      <c r="M48" s="263"/>
      <c r="N48" s="263"/>
      <c r="O48" s="263"/>
      <c r="P48" s="263"/>
      <c r="Q48" s="263"/>
      <c r="R48" s="263"/>
      <c r="S48" s="263"/>
      <c r="T48" s="263"/>
      <c r="U48" s="263"/>
      <c r="V48" s="586"/>
      <c r="W48" s="586"/>
      <c r="X48" s="586"/>
      <c r="Y48" s="586"/>
      <c r="Z48" s="586"/>
      <c r="AA48" s="586"/>
      <c r="AB48" s="586"/>
      <c r="AC48" s="586"/>
      <c r="AD48" s="586"/>
      <c r="AE48" s="586"/>
      <c r="AF48" s="586"/>
      <c r="AG48" s="586"/>
      <c r="AH48" s="586"/>
      <c r="AI48" s="586"/>
      <c r="AJ48" s="586"/>
      <c r="AK48" s="586"/>
      <c r="AL48" s="586"/>
      <c r="AM48" s="586"/>
      <c r="AN48" s="586"/>
      <c r="AO48" s="586"/>
      <c r="AP48" s="586"/>
      <c r="AQ48" s="586"/>
      <c r="AR48" s="586"/>
      <c r="AS48" s="586"/>
      <c r="AT48" s="586"/>
      <c r="AU48" s="586"/>
      <c r="AV48" s="586"/>
      <c r="AW48" s="586"/>
      <c r="AX48" s="586"/>
      <c r="AY48" s="586"/>
      <c r="AZ48" s="586"/>
      <c r="BA48" s="586"/>
      <c r="BB48" s="586"/>
    </row>
    <row r="49" spans="1:54" s="574" customFormat="1" hidden="1">
      <c r="G49" s="263"/>
      <c r="H49" s="263"/>
      <c r="I49" s="263"/>
      <c r="J49" s="263"/>
      <c r="K49" s="263"/>
      <c r="L49" s="263"/>
      <c r="M49" s="263"/>
      <c r="N49" s="263"/>
      <c r="O49" s="263"/>
      <c r="P49" s="263"/>
      <c r="Q49" s="263"/>
      <c r="R49" s="263"/>
      <c r="S49" s="263"/>
      <c r="T49" s="263"/>
      <c r="U49" s="263"/>
      <c r="V49" s="586"/>
      <c r="W49" s="586"/>
      <c r="X49" s="586"/>
      <c r="Y49" s="586"/>
      <c r="Z49" s="586"/>
      <c r="AA49" s="586"/>
      <c r="AB49" s="586"/>
      <c r="AC49" s="586"/>
      <c r="AD49" s="586"/>
      <c r="AE49" s="586"/>
      <c r="AF49" s="586"/>
      <c r="AG49" s="586"/>
      <c r="AH49" s="586"/>
      <c r="AI49" s="586"/>
      <c r="AJ49" s="586"/>
      <c r="AK49" s="586"/>
      <c r="AL49" s="586"/>
      <c r="AM49" s="586"/>
      <c r="AN49" s="586"/>
      <c r="AO49" s="586"/>
      <c r="AP49" s="586"/>
      <c r="AQ49" s="586"/>
      <c r="AR49" s="586"/>
      <c r="AS49" s="586"/>
      <c r="AT49" s="586"/>
      <c r="AU49" s="586"/>
      <c r="AV49" s="586"/>
      <c r="AW49" s="586"/>
      <c r="AX49" s="586"/>
      <c r="AY49" s="586"/>
      <c r="AZ49" s="586"/>
      <c r="BA49" s="586"/>
      <c r="BB49" s="586"/>
    </row>
    <row r="50" spans="1:54" s="574" customFormat="1" hidden="1">
      <c r="A50" s="576"/>
      <c r="B50" s="580"/>
      <c r="D50" s="580"/>
      <c r="E50" s="578"/>
      <c r="F50" s="579"/>
      <c r="G50" s="263"/>
      <c r="H50" s="263"/>
      <c r="I50" s="263"/>
      <c r="J50" s="263"/>
      <c r="K50" s="263"/>
      <c r="L50" s="263"/>
      <c r="M50" s="263"/>
      <c r="N50" s="263"/>
      <c r="O50" s="263"/>
      <c r="P50" s="263"/>
      <c r="Q50" s="263"/>
      <c r="R50" s="263"/>
      <c r="S50" s="263"/>
      <c r="T50" s="263"/>
      <c r="U50" s="263"/>
      <c r="V50" s="586"/>
      <c r="W50" s="586"/>
      <c r="X50" s="586"/>
      <c r="Y50" s="586"/>
      <c r="Z50" s="586"/>
      <c r="AA50" s="586"/>
      <c r="AB50" s="586"/>
      <c r="AC50" s="586"/>
      <c r="AD50" s="586"/>
      <c r="AE50" s="586"/>
      <c r="AF50" s="586"/>
      <c r="AG50" s="586"/>
      <c r="AH50" s="586"/>
      <c r="AI50" s="586"/>
      <c r="AJ50" s="586"/>
      <c r="AK50" s="586"/>
      <c r="AL50" s="586"/>
      <c r="AM50" s="586"/>
      <c r="AN50" s="586"/>
      <c r="AO50" s="586"/>
      <c r="AP50" s="586"/>
      <c r="AQ50" s="586"/>
      <c r="AR50" s="586"/>
      <c r="AS50" s="586"/>
      <c r="AT50" s="586"/>
      <c r="AU50" s="586"/>
      <c r="AV50" s="586"/>
      <c r="AW50" s="586"/>
      <c r="AX50" s="586"/>
      <c r="AY50" s="586"/>
      <c r="AZ50" s="586"/>
      <c r="BA50" s="586"/>
      <c r="BB50" s="586"/>
    </row>
    <row r="51" spans="1:54" s="574" customFormat="1" hidden="1">
      <c r="A51" s="576"/>
      <c r="B51" s="581"/>
      <c r="G51" s="263"/>
      <c r="H51" s="263"/>
      <c r="I51" s="263"/>
      <c r="J51" s="263"/>
      <c r="K51" s="263"/>
      <c r="L51" s="263"/>
      <c r="M51" s="263"/>
      <c r="N51" s="263"/>
      <c r="O51" s="263"/>
      <c r="P51" s="263"/>
      <c r="Q51" s="263"/>
      <c r="R51" s="263"/>
      <c r="S51" s="263"/>
      <c r="T51" s="263"/>
      <c r="U51" s="263"/>
      <c r="V51" s="586"/>
      <c r="W51" s="586"/>
      <c r="X51" s="586"/>
      <c r="Y51" s="586"/>
      <c r="Z51" s="586"/>
      <c r="AA51" s="586"/>
      <c r="AB51" s="586"/>
      <c r="AC51" s="586"/>
      <c r="AD51" s="586"/>
      <c r="AE51" s="586"/>
      <c r="AF51" s="586"/>
      <c r="AG51" s="586"/>
      <c r="AH51" s="586"/>
      <c r="AI51" s="586"/>
      <c r="AJ51" s="586"/>
      <c r="AK51" s="586"/>
      <c r="AL51" s="586"/>
      <c r="AM51" s="586"/>
      <c r="AN51" s="586"/>
      <c r="AO51" s="586"/>
      <c r="AP51" s="586"/>
      <c r="AQ51" s="586"/>
      <c r="AR51" s="586"/>
      <c r="AS51" s="586"/>
      <c r="AT51" s="586"/>
      <c r="AU51" s="586"/>
      <c r="AV51" s="586"/>
      <c r="AW51" s="586"/>
      <c r="AX51" s="586"/>
      <c r="AY51" s="586"/>
      <c r="AZ51" s="586"/>
      <c r="BA51" s="586"/>
      <c r="BB51" s="586"/>
    </row>
    <row r="52" spans="1:54" s="574" customFormat="1" hidden="1">
      <c r="G52" s="263"/>
      <c r="H52" s="263"/>
      <c r="I52" s="263"/>
      <c r="J52" s="263"/>
      <c r="K52" s="263"/>
      <c r="L52" s="263"/>
      <c r="M52" s="263"/>
      <c r="N52" s="263"/>
      <c r="O52" s="263"/>
      <c r="P52" s="263"/>
      <c r="Q52" s="263"/>
      <c r="R52" s="263"/>
      <c r="S52" s="263"/>
      <c r="T52" s="263"/>
      <c r="U52" s="263"/>
      <c r="V52" s="586"/>
      <c r="W52" s="586"/>
      <c r="X52" s="586"/>
      <c r="Y52" s="586"/>
      <c r="Z52" s="586"/>
      <c r="AA52" s="586"/>
      <c r="AB52" s="586"/>
      <c r="AC52" s="586"/>
      <c r="AD52" s="586"/>
      <c r="AE52" s="586"/>
      <c r="AF52" s="586"/>
      <c r="AG52" s="586"/>
      <c r="AH52" s="586"/>
      <c r="AI52" s="586"/>
      <c r="AJ52" s="586"/>
      <c r="AK52" s="586"/>
      <c r="AL52" s="586"/>
      <c r="AM52" s="586"/>
      <c r="AN52" s="586"/>
      <c r="AO52" s="586"/>
      <c r="AP52" s="586"/>
      <c r="AQ52" s="586"/>
      <c r="AR52" s="586"/>
      <c r="AS52" s="586"/>
      <c r="AT52" s="586"/>
      <c r="AU52" s="586"/>
      <c r="AV52" s="586"/>
      <c r="AW52" s="586"/>
      <c r="AX52" s="586"/>
      <c r="AY52" s="586"/>
      <c r="AZ52" s="586"/>
      <c r="BA52" s="586"/>
      <c r="BB52" s="586"/>
    </row>
    <row r="53" spans="1:54" s="574" customFormat="1" hidden="1">
      <c r="A53" s="576"/>
      <c r="B53" s="580"/>
      <c r="D53" s="580"/>
      <c r="E53" s="578"/>
      <c r="F53" s="579"/>
      <c r="G53" s="263"/>
      <c r="H53" s="263"/>
      <c r="I53" s="263"/>
      <c r="J53" s="263"/>
      <c r="K53" s="263"/>
      <c r="L53" s="263"/>
      <c r="M53" s="263"/>
      <c r="N53" s="263"/>
      <c r="O53" s="263"/>
      <c r="P53" s="263"/>
      <c r="Q53" s="263"/>
      <c r="R53" s="263"/>
      <c r="S53" s="263"/>
      <c r="T53" s="263"/>
      <c r="U53" s="263"/>
      <c r="V53" s="586"/>
      <c r="W53" s="586"/>
      <c r="X53" s="586"/>
      <c r="Y53" s="586"/>
      <c r="Z53" s="586"/>
      <c r="AA53" s="586"/>
      <c r="AB53" s="586"/>
      <c r="AC53" s="586"/>
      <c r="AD53" s="586"/>
      <c r="AE53" s="586"/>
      <c r="AF53" s="586"/>
      <c r="AG53" s="586"/>
      <c r="AH53" s="586"/>
      <c r="AI53" s="586"/>
      <c r="AJ53" s="586"/>
      <c r="AK53" s="586"/>
      <c r="AL53" s="586"/>
      <c r="AM53" s="586"/>
      <c r="AN53" s="586"/>
      <c r="AO53" s="586"/>
      <c r="AP53" s="586"/>
      <c r="AQ53" s="586"/>
      <c r="AR53" s="586"/>
      <c r="AS53" s="586"/>
      <c r="AT53" s="586"/>
      <c r="AU53" s="586"/>
      <c r="AV53" s="586"/>
      <c r="AW53" s="586"/>
      <c r="AX53" s="586"/>
      <c r="AY53" s="586"/>
      <c r="AZ53" s="586"/>
      <c r="BA53" s="586"/>
      <c r="BB53" s="586"/>
    </row>
    <row r="54" spans="1:54" s="574" customFormat="1" hidden="1">
      <c r="A54" s="576"/>
      <c r="B54" s="581"/>
      <c r="G54" s="263"/>
      <c r="H54" s="263"/>
      <c r="I54" s="263"/>
      <c r="J54" s="263"/>
      <c r="K54" s="263"/>
      <c r="L54" s="263"/>
      <c r="M54" s="263"/>
      <c r="N54" s="263"/>
      <c r="O54" s="263"/>
      <c r="P54" s="263"/>
      <c r="Q54" s="263"/>
      <c r="R54" s="263"/>
      <c r="S54" s="263"/>
      <c r="T54" s="263"/>
      <c r="U54" s="263"/>
      <c r="V54" s="586"/>
      <c r="W54" s="586"/>
      <c r="X54" s="586"/>
      <c r="Y54" s="586"/>
      <c r="Z54" s="586"/>
      <c r="AA54" s="586"/>
      <c r="AB54" s="586"/>
      <c r="AC54" s="586"/>
      <c r="AD54" s="586"/>
      <c r="AE54" s="586"/>
      <c r="AF54" s="586"/>
      <c r="AG54" s="586"/>
      <c r="AH54" s="586"/>
      <c r="AI54" s="586"/>
      <c r="AJ54" s="586"/>
      <c r="AK54" s="586"/>
      <c r="AL54" s="586"/>
      <c r="AM54" s="586"/>
      <c r="AN54" s="586"/>
      <c r="AO54" s="586"/>
      <c r="AP54" s="586"/>
      <c r="AQ54" s="586"/>
      <c r="AR54" s="586"/>
      <c r="AS54" s="586"/>
      <c r="AT54" s="586"/>
      <c r="AU54" s="586"/>
      <c r="AV54" s="586"/>
      <c r="AW54" s="586"/>
      <c r="AX54" s="586"/>
      <c r="AY54" s="586"/>
      <c r="AZ54" s="586"/>
      <c r="BA54" s="586"/>
      <c r="BB54" s="586"/>
    </row>
    <row r="55" spans="1:54" s="574" customFormat="1" hidden="1">
      <c r="G55" s="263"/>
      <c r="H55" s="263"/>
      <c r="I55" s="263"/>
      <c r="J55" s="263"/>
      <c r="K55" s="263"/>
      <c r="L55" s="263"/>
      <c r="M55" s="263"/>
      <c r="N55" s="263"/>
      <c r="O55" s="263"/>
      <c r="P55" s="263"/>
      <c r="Q55" s="263"/>
      <c r="R55" s="263"/>
      <c r="S55" s="263"/>
      <c r="T55" s="263"/>
      <c r="U55" s="263"/>
      <c r="V55" s="586"/>
      <c r="W55" s="586"/>
      <c r="X55" s="586"/>
      <c r="Y55" s="586"/>
      <c r="Z55" s="586"/>
      <c r="AA55" s="586"/>
      <c r="AB55" s="586"/>
      <c r="AC55" s="586"/>
      <c r="AD55" s="586"/>
      <c r="AE55" s="586"/>
      <c r="AF55" s="586"/>
      <c r="AG55" s="586"/>
      <c r="AH55" s="586"/>
      <c r="AI55" s="586"/>
      <c r="AJ55" s="586"/>
      <c r="AK55" s="586"/>
      <c r="AL55" s="586"/>
      <c r="AM55" s="586"/>
      <c r="AN55" s="586"/>
      <c r="AO55" s="586"/>
      <c r="AP55" s="586"/>
      <c r="AQ55" s="586"/>
      <c r="AR55" s="586"/>
      <c r="AS55" s="586"/>
      <c r="AT55" s="586"/>
      <c r="AU55" s="586"/>
      <c r="AV55" s="586"/>
      <c r="AW55" s="586"/>
      <c r="AX55" s="586"/>
      <c r="AY55" s="586"/>
      <c r="AZ55" s="586"/>
      <c r="BA55" s="586"/>
      <c r="BB55" s="586"/>
    </row>
    <row r="56" spans="1:54" s="574" customFormat="1" hidden="1">
      <c r="A56" s="576"/>
      <c r="B56" s="580"/>
      <c r="D56" s="580"/>
      <c r="E56" s="578"/>
      <c r="F56" s="579"/>
      <c r="G56" s="263"/>
      <c r="H56" s="263"/>
      <c r="I56" s="263"/>
      <c r="J56" s="263"/>
      <c r="K56" s="263"/>
      <c r="L56" s="263"/>
      <c r="M56" s="263"/>
      <c r="N56" s="263"/>
      <c r="O56" s="263"/>
      <c r="P56" s="263"/>
      <c r="Q56" s="263"/>
      <c r="R56" s="263"/>
      <c r="S56" s="263"/>
      <c r="T56" s="263"/>
      <c r="U56" s="263"/>
      <c r="V56" s="586"/>
      <c r="W56" s="586"/>
      <c r="X56" s="586"/>
      <c r="Y56" s="586"/>
      <c r="Z56" s="586"/>
      <c r="AA56" s="586"/>
      <c r="AB56" s="586"/>
      <c r="AC56" s="586"/>
      <c r="AD56" s="586"/>
      <c r="AE56" s="586"/>
      <c r="AF56" s="586"/>
      <c r="AG56" s="586"/>
      <c r="AH56" s="586"/>
      <c r="AI56" s="586"/>
      <c r="AJ56" s="586"/>
      <c r="AK56" s="586"/>
      <c r="AL56" s="586"/>
      <c r="AM56" s="586"/>
      <c r="AN56" s="586"/>
      <c r="AO56" s="586"/>
      <c r="AP56" s="586"/>
      <c r="AQ56" s="586"/>
      <c r="AR56" s="586"/>
      <c r="AS56" s="586"/>
      <c r="AT56" s="586"/>
      <c r="AU56" s="586"/>
      <c r="AV56" s="586"/>
      <c r="AW56" s="586"/>
      <c r="AX56" s="586"/>
      <c r="AY56" s="586"/>
      <c r="AZ56" s="586"/>
      <c r="BA56" s="586"/>
      <c r="BB56" s="586"/>
    </row>
    <row r="57" spans="1:54" s="574" customFormat="1" hidden="1">
      <c r="A57" s="576"/>
      <c r="B57" s="581"/>
      <c r="G57" s="263"/>
      <c r="H57" s="263"/>
      <c r="I57" s="263"/>
      <c r="J57" s="263"/>
      <c r="K57" s="263"/>
      <c r="L57" s="263"/>
      <c r="M57" s="263"/>
      <c r="N57" s="263"/>
      <c r="O57" s="263"/>
      <c r="P57" s="263"/>
      <c r="Q57" s="263"/>
      <c r="R57" s="263"/>
      <c r="S57" s="263"/>
      <c r="T57" s="263"/>
      <c r="U57" s="263"/>
      <c r="V57" s="586"/>
      <c r="W57" s="586"/>
      <c r="X57" s="586"/>
      <c r="Y57" s="586"/>
      <c r="Z57" s="586"/>
      <c r="AA57" s="586"/>
      <c r="AB57" s="586"/>
      <c r="AC57" s="586"/>
      <c r="AD57" s="586"/>
      <c r="AE57" s="586"/>
      <c r="AF57" s="586"/>
      <c r="AG57" s="586"/>
      <c r="AH57" s="586"/>
      <c r="AI57" s="586"/>
      <c r="AJ57" s="586"/>
      <c r="AK57" s="586"/>
      <c r="AL57" s="586"/>
      <c r="AM57" s="586"/>
      <c r="AN57" s="586"/>
      <c r="AO57" s="586"/>
      <c r="AP57" s="586"/>
      <c r="AQ57" s="586"/>
      <c r="AR57" s="586"/>
      <c r="AS57" s="586"/>
      <c r="AT57" s="586"/>
      <c r="AU57" s="586"/>
      <c r="AV57" s="586"/>
      <c r="AW57" s="586"/>
      <c r="AX57" s="586"/>
      <c r="AY57" s="586"/>
      <c r="AZ57" s="586"/>
      <c r="BA57" s="586"/>
      <c r="BB57" s="586"/>
    </row>
    <row r="58" spans="1:54" s="574" customFormat="1" hidden="1">
      <c r="G58" s="263"/>
      <c r="H58" s="263"/>
      <c r="I58" s="263"/>
      <c r="J58" s="263"/>
      <c r="K58" s="263"/>
      <c r="L58" s="263"/>
      <c r="M58" s="263"/>
      <c r="N58" s="263"/>
      <c r="O58" s="263"/>
      <c r="P58" s="263"/>
      <c r="Q58" s="263"/>
      <c r="R58" s="263"/>
      <c r="S58" s="263"/>
      <c r="T58" s="263"/>
      <c r="U58" s="263"/>
      <c r="V58" s="586"/>
      <c r="W58" s="586"/>
      <c r="X58" s="586"/>
      <c r="Y58" s="586"/>
      <c r="Z58" s="586"/>
      <c r="AA58" s="586"/>
      <c r="AB58" s="586"/>
      <c r="AC58" s="586"/>
      <c r="AD58" s="586"/>
      <c r="AE58" s="586"/>
      <c r="AF58" s="586"/>
      <c r="AG58" s="586"/>
      <c r="AH58" s="586"/>
      <c r="AI58" s="586"/>
      <c r="AJ58" s="586"/>
      <c r="AK58" s="586"/>
      <c r="AL58" s="586"/>
      <c r="AM58" s="586"/>
      <c r="AN58" s="586"/>
      <c r="AO58" s="586"/>
      <c r="AP58" s="586"/>
      <c r="AQ58" s="586"/>
      <c r="AR58" s="586"/>
      <c r="AS58" s="586"/>
      <c r="AT58" s="586"/>
      <c r="AU58" s="586"/>
      <c r="AV58" s="586"/>
      <c r="AW58" s="586"/>
      <c r="AX58" s="586"/>
      <c r="AY58" s="586"/>
      <c r="AZ58" s="586"/>
      <c r="BA58" s="586"/>
      <c r="BB58" s="586"/>
    </row>
    <row r="59" spans="1:54" s="574" customFormat="1" hidden="1">
      <c r="A59" s="576"/>
      <c r="B59" s="580"/>
      <c r="D59" s="580"/>
      <c r="E59" s="578"/>
      <c r="F59" s="579"/>
      <c r="G59" s="263"/>
      <c r="H59" s="263"/>
      <c r="I59" s="263"/>
      <c r="J59" s="263"/>
      <c r="K59" s="263"/>
      <c r="L59" s="263"/>
      <c r="M59" s="263"/>
      <c r="N59" s="263"/>
      <c r="O59" s="263"/>
      <c r="P59" s="263"/>
      <c r="Q59" s="263"/>
      <c r="R59" s="263"/>
      <c r="S59" s="263"/>
      <c r="T59" s="263"/>
      <c r="U59" s="263"/>
      <c r="V59" s="586"/>
      <c r="W59" s="586"/>
      <c r="X59" s="586"/>
      <c r="Y59" s="586"/>
      <c r="Z59" s="586"/>
      <c r="AA59" s="586"/>
      <c r="AB59" s="586"/>
      <c r="AC59" s="586"/>
      <c r="AD59" s="586"/>
      <c r="AE59" s="586"/>
      <c r="AF59" s="586"/>
      <c r="AG59" s="586"/>
      <c r="AH59" s="586"/>
      <c r="AI59" s="586"/>
      <c r="AJ59" s="586"/>
      <c r="AK59" s="586"/>
      <c r="AL59" s="586"/>
      <c r="AM59" s="586"/>
      <c r="AN59" s="586"/>
      <c r="AO59" s="586"/>
      <c r="AP59" s="586"/>
      <c r="AQ59" s="586"/>
      <c r="AR59" s="586"/>
      <c r="AS59" s="586"/>
      <c r="AT59" s="586"/>
      <c r="AU59" s="586"/>
      <c r="AV59" s="586"/>
      <c r="AW59" s="586"/>
      <c r="AX59" s="586"/>
      <c r="AY59" s="586"/>
      <c r="AZ59" s="586"/>
      <c r="BA59" s="586"/>
      <c r="BB59" s="586"/>
    </row>
    <row r="60" spans="1:54" s="574" customFormat="1" hidden="1">
      <c r="A60" s="576"/>
      <c r="B60" s="581"/>
      <c r="G60" s="263"/>
      <c r="H60" s="263"/>
      <c r="I60" s="263"/>
      <c r="J60" s="263"/>
      <c r="K60" s="263"/>
      <c r="L60" s="263"/>
      <c r="M60" s="263"/>
      <c r="N60" s="263"/>
      <c r="O60" s="263"/>
      <c r="P60" s="263"/>
      <c r="Q60" s="263"/>
      <c r="R60" s="263"/>
      <c r="S60" s="263"/>
      <c r="T60" s="263"/>
      <c r="U60" s="263"/>
      <c r="V60" s="586"/>
      <c r="W60" s="586"/>
      <c r="X60" s="586"/>
      <c r="Y60" s="586"/>
      <c r="Z60" s="586"/>
      <c r="AA60" s="586"/>
      <c r="AB60" s="586"/>
      <c r="AC60" s="586"/>
      <c r="AD60" s="586"/>
      <c r="AE60" s="586"/>
      <c r="AF60" s="586"/>
      <c r="AG60" s="586"/>
      <c r="AH60" s="586"/>
      <c r="AI60" s="586"/>
      <c r="AJ60" s="586"/>
      <c r="AK60" s="586"/>
      <c r="AL60" s="586"/>
      <c r="AM60" s="586"/>
      <c r="AN60" s="586"/>
      <c r="AO60" s="586"/>
      <c r="AP60" s="586"/>
      <c r="AQ60" s="586"/>
      <c r="AR60" s="586"/>
      <c r="AS60" s="586"/>
      <c r="AT60" s="586"/>
      <c r="AU60" s="586"/>
      <c r="AV60" s="586"/>
      <c r="AW60" s="586"/>
      <c r="AX60" s="586"/>
      <c r="AY60" s="586"/>
      <c r="AZ60" s="586"/>
      <c r="BA60" s="586"/>
      <c r="BB60" s="586"/>
    </row>
    <row r="61" spans="1:54" s="574" customFormat="1" hidden="1">
      <c r="G61" s="263"/>
      <c r="H61" s="263"/>
      <c r="I61" s="263"/>
      <c r="J61" s="263"/>
      <c r="K61" s="263"/>
      <c r="L61" s="263"/>
      <c r="M61" s="263"/>
      <c r="N61" s="263"/>
      <c r="O61" s="263"/>
      <c r="P61" s="263"/>
      <c r="Q61" s="263"/>
      <c r="R61" s="263"/>
      <c r="S61" s="263"/>
      <c r="T61" s="263"/>
      <c r="U61" s="263"/>
      <c r="V61" s="586"/>
      <c r="W61" s="586"/>
      <c r="X61" s="586"/>
      <c r="Y61" s="586"/>
      <c r="Z61" s="586"/>
      <c r="AA61" s="586"/>
      <c r="AB61" s="586"/>
      <c r="AC61" s="586"/>
      <c r="AD61" s="586"/>
      <c r="AE61" s="586"/>
      <c r="AF61" s="586"/>
      <c r="AG61" s="586"/>
      <c r="AH61" s="586"/>
      <c r="AI61" s="586"/>
      <c r="AJ61" s="586"/>
      <c r="AK61" s="586"/>
      <c r="AL61" s="586"/>
      <c r="AM61" s="586"/>
      <c r="AN61" s="586"/>
      <c r="AO61" s="586"/>
      <c r="AP61" s="586"/>
      <c r="AQ61" s="586"/>
      <c r="AR61" s="586"/>
      <c r="AS61" s="586"/>
      <c r="AT61" s="586"/>
      <c r="AU61" s="586"/>
      <c r="AV61" s="586"/>
      <c r="AW61" s="586"/>
      <c r="AX61" s="586"/>
      <c r="AY61" s="586"/>
      <c r="AZ61" s="586"/>
      <c r="BA61" s="586"/>
      <c r="BB61" s="586"/>
    </row>
    <row r="62" spans="1:54" s="574" customFormat="1" hidden="1">
      <c r="A62" s="576"/>
      <c r="B62" s="580"/>
      <c r="D62" s="580"/>
      <c r="E62" s="578"/>
      <c r="F62" s="579"/>
      <c r="G62" s="263"/>
      <c r="H62" s="263"/>
      <c r="I62" s="263"/>
      <c r="J62" s="263"/>
      <c r="K62" s="263"/>
      <c r="L62" s="263"/>
      <c r="M62" s="263"/>
      <c r="N62" s="263"/>
      <c r="O62" s="263"/>
      <c r="P62" s="263"/>
      <c r="Q62" s="263"/>
      <c r="R62" s="263"/>
      <c r="S62" s="263"/>
      <c r="T62" s="263"/>
      <c r="U62" s="263"/>
      <c r="V62" s="586"/>
      <c r="W62" s="586"/>
      <c r="X62" s="586"/>
      <c r="Y62" s="586"/>
      <c r="Z62" s="586"/>
      <c r="AA62" s="586"/>
      <c r="AB62" s="586"/>
      <c r="AC62" s="586"/>
      <c r="AD62" s="586"/>
      <c r="AE62" s="586"/>
      <c r="AF62" s="586"/>
      <c r="AG62" s="586"/>
      <c r="AH62" s="586"/>
      <c r="AI62" s="586"/>
      <c r="AJ62" s="586"/>
      <c r="AK62" s="586"/>
      <c r="AL62" s="586"/>
      <c r="AM62" s="586"/>
      <c r="AN62" s="586"/>
      <c r="AO62" s="586"/>
      <c r="AP62" s="586"/>
      <c r="AQ62" s="586"/>
      <c r="AR62" s="586"/>
      <c r="AS62" s="586"/>
      <c r="AT62" s="586"/>
      <c r="AU62" s="586"/>
      <c r="AV62" s="586"/>
      <c r="AW62" s="586"/>
      <c r="AX62" s="586"/>
      <c r="AY62" s="586"/>
      <c r="AZ62" s="586"/>
      <c r="BA62" s="586"/>
      <c r="BB62" s="586"/>
    </row>
    <row r="63" spans="1:54" s="574" customFormat="1" hidden="1">
      <c r="A63" s="576"/>
      <c r="B63" s="581"/>
      <c r="G63" s="263"/>
      <c r="H63" s="263"/>
      <c r="I63" s="263"/>
      <c r="J63" s="263"/>
      <c r="K63" s="263"/>
      <c r="L63" s="263"/>
      <c r="M63" s="263"/>
      <c r="N63" s="263"/>
      <c r="O63" s="263"/>
      <c r="P63" s="263"/>
      <c r="Q63" s="263"/>
      <c r="R63" s="263"/>
      <c r="S63" s="263"/>
      <c r="T63" s="263"/>
      <c r="U63" s="263"/>
      <c r="V63" s="586"/>
      <c r="W63" s="586"/>
      <c r="X63" s="586"/>
      <c r="Y63" s="586"/>
      <c r="Z63" s="586"/>
      <c r="AA63" s="586"/>
      <c r="AB63" s="586"/>
      <c r="AC63" s="586"/>
      <c r="AD63" s="586"/>
      <c r="AE63" s="586"/>
      <c r="AF63" s="586"/>
      <c r="AG63" s="586"/>
      <c r="AH63" s="586"/>
      <c r="AI63" s="586"/>
      <c r="AJ63" s="586"/>
      <c r="AK63" s="586"/>
      <c r="AL63" s="586"/>
      <c r="AM63" s="586"/>
      <c r="AN63" s="586"/>
      <c r="AO63" s="586"/>
      <c r="AP63" s="586"/>
      <c r="AQ63" s="586"/>
      <c r="AR63" s="586"/>
      <c r="AS63" s="586"/>
      <c r="AT63" s="586"/>
      <c r="AU63" s="586"/>
      <c r="AV63" s="586"/>
      <c r="AW63" s="586"/>
      <c r="AX63" s="586"/>
      <c r="AY63" s="586"/>
      <c r="AZ63" s="586"/>
      <c r="BA63" s="586"/>
      <c r="BB63" s="586"/>
    </row>
    <row r="64" spans="1:54" s="574" customFormat="1" hidden="1">
      <c r="G64" s="263"/>
      <c r="H64" s="263"/>
      <c r="I64" s="263"/>
      <c r="J64" s="263"/>
      <c r="K64" s="263"/>
      <c r="L64" s="263"/>
      <c r="M64" s="263"/>
      <c r="N64" s="263"/>
      <c r="O64" s="263"/>
      <c r="P64" s="263"/>
      <c r="Q64" s="263"/>
      <c r="R64" s="263"/>
      <c r="S64" s="263"/>
      <c r="T64" s="263"/>
      <c r="U64" s="263"/>
      <c r="V64" s="586"/>
      <c r="W64" s="586"/>
      <c r="X64" s="586"/>
      <c r="Y64" s="586"/>
      <c r="Z64" s="586"/>
      <c r="AA64" s="586"/>
      <c r="AB64" s="586"/>
      <c r="AC64" s="586"/>
      <c r="AD64" s="586"/>
      <c r="AE64" s="586"/>
      <c r="AF64" s="586"/>
      <c r="AG64" s="586"/>
      <c r="AH64" s="586"/>
      <c r="AI64" s="586"/>
      <c r="AJ64" s="586"/>
      <c r="AK64" s="586"/>
      <c r="AL64" s="586"/>
      <c r="AM64" s="586"/>
      <c r="AN64" s="586"/>
      <c r="AO64" s="586"/>
      <c r="AP64" s="586"/>
      <c r="AQ64" s="586"/>
      <c r="AR64" s="586"/>
      <c r="AS64" s="586"/>
      <c r="AT64" s="586"/>
      <c r="AU64" s="586"/>
      <c r="AV64" s="586"/>
      <c r="AW64" s="586"/>
      <c r="AX64" s="586"/>
      <c r="AY64" s="586"/>
      <c r="AZ64" s="586"/>
      <c r="BA64" s="586"/>
      <c r="BB64" s="586"/>
    </row>
    <row r="65" spans="1:54" s="574" customFormat="1" hidden="1">
      <c r="A65" s="576"/>
      <c r="B65" s="580"/>
      <c r="D65" s="580"/>
      <c r="E65" s="578"/>
      <c r="F65" s="579"/>
      <c r="G65" s="263"/>
      <c r="H65" s="263"/>
      <c r="I65" s="263"/>
      <c r="J65" s="263"/>
      <c r="K65" s="263"/>
      <c r="L65" s="263"/>
      <c r="M65" s="263"/>
      <c r="N65" s="263"/>
      <c r="O65" s="263"/>
      <c r="P65" s="263"/>
      <c r="Q65" s="263"/>
      <c r="R65" s="263"/>
      <c r="S65" s="263"/>
      <c r="T65" s="263"/>
      <c r="U65" s="263"/>
      <c r="V65" s="586"/>
      <c r="W65" s="586"/>
      <c r="X65" s="586"/>
      <c r="Y65" s="586"/>
      <c r="Z65" s="586"/>
      <c r="AA65" s="586"/>
      <c r="AB65" s="586"/>
      <c r="AC65" s="586"/>
      <c r="AD65" s="586"/>
      <c r="AE65" s="586"/>
      <c r="AF65" s="586"/>
      <c r="AG65" s="586"/>
      <c r="AH65" s="586"/>
      <c r="AI65" s="586"/>
      <c r="AJ65" s="586"/>
      <c r="AK65" s="586"/>
      <c r="AL65" s="586"/>
      <c r="AM65" s="586"/>
      <c r="AN65" s="586"/>
      <c r="AO65" s="586"/>
      <c r="AP65" s="586"/>
      <c r="AQ65" s="586"/>
      <c r="AR65" s="586"/>
      <c r="AS65" s="586"/>
      <c r="AT65" s="586"/>
      <c r="AU65" s="586"/>
      <c r="AV65" s="586"/>
      <c r="AW65" s="586"/>
      <c r="AX65" s="586"/>
      <c r="AY65" s="586"/>
      <c r="AZ65" s="586"/>
      <c r="BA65" s="586"/>
      <c r="BB65" s="586"/>
    </row>
    <row r="66" spans="1:54" s="574" customFormat="1" hidden="1">
      <c r="A66" s="576"/>
      <c r="B66" s="581"/>
      <c r="G66" s="263"/>
      <c r="H66" s="263"/>
      <c r="I66" s="263"/>
      <c r="J66" s="263"/>
      <c r="K66" s="263"/>
      <c r="L66" s="263"/>
      <c r="M66" s="263"/>
      <c r="N66" s="263"/>
      <c r="O66" s="263"/>
      <c r="P66" s="263"/>
      <c r="Q66" s="263"/>
      <c r="R66" s="263"/>
      <c r="S66" s="263"/>
      <c r="T66" s="263"/>
      <c r="U66" s="263"/>
      <c r="V66" s="586"/>
      <c r="W66" s="586"/>
      <c r="X66" s="586"/>
      <c r="Y66" s="586"/>
      <c r="Z66" s="586"/>
      <c r="AA66" s="586"/>
      <c r="AB66" s="586"/>
      <c r="AC66" s="586"/>
      <c r="AD66" s="586"/>
      <c r="AE66" s="586"/>
      <c r="AF66" s="586"/>
      <c r="AG66" s="586"/>
      <c r="AH66" s="586"/>
      <c r="AI66" s="586"/>
      <c r="AJ66" s="586"/>
      <c r="AK66" s="586"/>
      <c r="AL66" s="586"/>
      <c r="AM66" s="586"/>
      <c r="AN66" s="586"/>
      <c r="AO66" s="586"/>
      <c r="AP66" s="586"/>
      <c r="AQ66" s="586"/>
      <c r="AR66" s="586"/>
      <c r="AS66" s="586"/>
      <c r="AT66" s="586"/>
      <c r="AU66" s="586"/>
      <c r="AV66" s="586"/>
      <c r="AW66" s="586"/>
      <c r="AX66" s="586"/>
      <c r="AY66" s="586"/>
      <c r="AZ66" s="586"/>
      <c r="BA66" s="586"/>
      <c r="BB66" s="586"/>
    </row>
    <row r="67" spans="1:54" s="574" customFormat="1" hidden="1">
      <c r="G67" s="263"/>
      <c r="H67" s="263"/>
      <c r="I67" s="263"/>
      <c r="J67" s="263"/>
      <c r="K67" s="263"/>
      <c r="L67" s="263"/>
      <c r="M67" s="263"/>
      <c r="N67" s="263"/>
      <c r="O67" s="263"/>
      <c r="P67" s="263"/>
      <c r="Q67" s="263"/>
      <c r="R67" s="263"/>
      <c r="S67" s="263"/>
      <c r="T67" s="263"/>
      <c r="U67" s="263"/>
      <c r="V67" s="586"/>
      <c r="W67" s="586"/>
      <c r="X67" s="586"/>
      <c r="Y67" s="586"/>
      <c r="Z67" s="586"/>
      <c r="AA67" s="586"/>
      <c r="AB67" s="586"/>
      <c r="AC67" s="586"/>
      <c r="AD67" s="586"/>
      <c r="AE67" s="586"/>
      <c r="AF67" s="586"/>
      <c r="AG67" s="586"/>
      <c r="AH67" s="586"/>
      <c r="AI67" s="586"/>
      <c r="AJ67" s="586"/>
      <c r="AK67" s="586"/>
      <c r="AL67" s="586"/>
      <c r="AM67" s="586"/>
      <c r="AN67" s="586"/>
      <c r="AO67" s="586"/>
      <c r="AP67" s="586"/>
      <c r="AQ67" s="586"/>
      <c r="AR67" s="586"/>
      <c r="AS67" s="586"/>
      <c r="AT67" s="586"/>
      <c r="AU67" s="586"/>
      <c r="AV67" s="586"/>
      <c r="AW67" s="586"/>
      <c r="AX67" s="586"/>
      <c r="AY67" s="586"/>
      <c r="AZ67" s="586"/>
      <c r="BA67" s="586"/>
      <c r="BB67" s="586"/>
    </row>
    <row r="68" spans="1:54" s="574" customFormat="1" hidden="1">
      <c r="A68" s="576"/>
      <c r="B68" s="580"/>
      <c r="D68" s="580"/>
      <c r="E68" s="578"/>
      <c r="F68" s="579"/>
      <c r="G68" s="263"/>
      <c r="H68" s="263"/>
      <c r="I68" s="263"/>
      <c r="J68" s="263"/>
      <c r="K68" s="263"/>
      <c r="L68" s="263"/>
      <c r="M68" s="263"/>
      <c r="N68" s="263"/>
      <c r="O68" s="263"/>
      <c r="P68" s="263"/>
      <c r="Q68" s="263"/>
      <c r="R68" s="263"/>
      <c r="S68" s="263"/>
      <c r="T68" s="263"/>
      <c r="U68" s="263"/>
      <c r="V68" s="586"/>
      <c r="W68" s="586"/>
      <c r="X68" s="586"/>
      <c r="Y68" s="586"/>
      <c r="Z68" s="586"/>
      <c r="AA68" s="586"/>
      <c r="AB68" s="586"/>
      <c r="AC68" s="586"/>
      <c r="AD68" s="586"/>
      <c r="AE68" s="586"/>
      <c r="AF68" s="586"/>
      <c r="AG68" s="586"/>
      <c r="AH68" s="586"/>
      <c r="AI68" s="586"/>
      <c r="AJ68" s="586"/>
      <c r="AK68" s="586"/>
      <c r="AL68" s="586"/>
      <c r="AM68" s="586"/>
      <c r="AN68" s="586"/>
      <c r="AO68" s="586"/>
      <c r="AP68" s="586"/>
      <c r="AQ68" s="586"/>
      <c r="AR68" s="586"/>
      <c r="AS68" s="586"/>
      <c r="AT68" s="586"/>
      <c r="AU68" s="586"/>
      <c r="AV68" s="586"/>
      <c r="AW68" s="586"/>
      <c r="AX68" s="586"/>
      <c r="AY68" s="586"/>
      <c r="AZ68" s="586"/>
      <c r="BA68" s="586"/>
      <c r="BB68" s="586"/>
    </row>
    <row r="69" spans="1:54" s="574" customFormat="1" hidden="1">
      <c r="A69" s="576"/>
      <c r="B69" s="581"/>
      <c r="G69" s="263"/>
      <c r="H69" s="263"/>
      <c r="I69" s="263"/>
      <c r="J69" s="263"/>
      <c r="K69" s="263"/>
      <c r="L69" s="263"/>
      <c r="M69" s="263"/>
      <c r="N69" s="263"/>
      <c r="O69" s="263"/>
      <c r="P69" s="263"/>
      <c r="Q69" s="263"/>
      <c r="R69" s="263"/>
      <c r="S69" s="263"/>
      <c r="T69" s="263"/>
      <c r="U69" s="263"/>
      <c r="V69" s="586"/>
      <c r="W69" s="586"/>
      <c r="X69" s="586"/>
      <c r="Y69" s="586"/>
      <c r="Z69" s="586"/>
      <c r="AA69" s="586"/>
      <c r="AB69" s="586"/>
      <c r="AC69" s="586"/>
      <c r="AD69" s="586"/>
      <c r="AE69" s="586"/>
      <c r="AF69" s="586"/>
      <c r="AG69" s="586"/>
      <c r="AH69" s="586"/>
      <c r="AI69" s="586"/>
      <c r="AJ69" s="586"/>
      <c r="AK69" s="586"/>
      <c r="AL69" s="586"/>
      <c r="AM69" s="586"/>
      <c r="AN69" s="586"/>
      <c r="AO69" s="586"/>
      <c r="AP69" s="586"/>
      <c r="AQ69" s="586"/>
      <c r="AR69" s="586"/>
      <c r="AS69" s="586"/>
      <c r="AT69" s="586"/>
      <c r="AU69" s="586"/>
      <c r="AV69" s="586"/>
      <c r="AW69" s="586"/>
      <c r="AX69" s="586"/>
      <c r="AY69" s="586"/>
      <c r="AZ69" s="586"/>
      <c r="BA69" s="586"/>
      <c r="BB69" s="586"/>
    </row>
    <row r="70" spans="1:54" s="574" customFormat="1" hidden="1">
      <c r="G70" s="263"/>
      <c r="H70" s="263"/>
      <c r="I70" s="263"/>
      <c r="J70" s="263"/>
      <c r="K70" s="263"/>
      <c r="L70" s="263"/>
      <c r="M70" s="263"/>
      <c r="N70" s="263"/>
      <c r="O70" s="263"/>
      <c r="P70" s="263"/>
      <c r="Q70" s="263"/>
      <c r="R70" s="263"/>
      <c r="S70" s="263"/>
      <c r="T70" s="263"/>
      <c r="U70" s="263"/>
      <c r="V70" s="586"/>
      <c r="W70" s="586"/>
      <c r="X70" s="586"/>
      <c r="Y70" s="586"/>
      <c r="Z70" s="586"/>
      <c r="AA70" s="586"/>
      <c r="AB70" s="586"/>
      <c r="AC70" s="586"/>
      <c r="AD70" s="586"/>
      <c r="AE70" s="586"/>
      <c r="AF70" s="586"/>
      <c r="AG70" s="586"/>
      <c r="AH70" s="586"/>
      <c r="AI70" s="586"/>
      <c r="AJ70" s="586"/>
      <c r="AK70" s="586"/>
      <c r="AL70" s="586"/>
      <c r="AM70" s="586"/>
      <c r="AN70" s="586"/>
      <c r="AO70" s="586"/>
      <c r="AP70" s="586"/>
      <c r="AQ70" s="586"/>
      <c r="AR70" s="586"/>
      <c r="AS70" s="586"/>
      <c r="AT70" s="586"/>
      <c r="AU70" s="586"/>
      <c r="AV70" s="586"/>
      <c r="AW70" s="586"/>
      <c r="AX70" s="586"/>
      <c r="AY70" s="586"/>
      <c r="AZ70" s="586"/>
      <c r="BA70" s="586"/>
      <c r="BB70" s="586"/>
    </row>
    <row r="71" spans="1:54" s="574" customFormat="1" hidden="1">
      <c r="A71" s="576"/>
      <c r="B71" s="580"/>
      <c r="D71" s="580"/>
      <c r="E71" s="578"/>
      <c r="F71" s="579"/>
      <c r="G71" s="263"/>
      <c r="H71" s="263"/>
      <c r="I71" s="263"/>
      <c r="J71" s="263"/>
      <c r="K71" s="263"/>
      <c r="L71" s="263"/>
      <c r="M71" s="263"/>
      <c r="N71" s="263"/>
      <c r="O71" s="263"/>
      <c r="P71" s="263"/>
      <c r="Q71" s="263"/>
      <c r="R71" s="263"/>
      <c r="S71" s="263"/>
      <c r="T71" s="263"/>
      <c r="U71" s="263"/>
      <c r="V71" s="586"/>
      <c r="W71" s="586"/>
      <c r="X71" s="586"/>
      <c r="Y71" s="586"/>
      <c r="Z71" s="586"/>
      <c r="AA71" s="586"/>
      <c r="AB71" s="586"/>
      <c r="AC71" s="586"/>
      <c r="AD71" s="586"/>
      <c r="AE71" s="586"/>
      <c r="AF71" s="586"/>
      <c r="AG71" s="586"/>
      <c r="AH71" s="586"/>
      <c r="AI71" s="586"/>
      <c r="AJ71" s="586"/>
      <c r="AK71" s="586"/>
      <c r="AL71" s="586"/>
      <c r="AM71" s="586"/>
      <c r="AN71" s="586"/>
      <c r="AO71" s="586"/>
      <c r="AP71" s="586"/>
      <c r="AQ71" s="586"/>
      <c r="AR71" s="586"/>
      <c r="AS71" s="586"/>
      <c r="AT71" s="586"/>
      <c r="AU71" s="586"/>
      <c r="AV71" s="586"/>
      <c r="AW71" s="586"/>
      <c r="AX71" s="586"/>
      <c r="AY71" s="586"/>
      <c r="AZ71" s="586"/>
      <c r="BA71" s="586"/>
      <c r="BB71" s="586"/>
    </row>
    <row r="72" spans="1:54" s="574" customFormat="1" hidden="1">
      <c r="A72" s="576"/>
      <c r="B72" s="581"/>
      <c r="G72" s="263"/>
      <c r="H72" s="263"/>
      <c r="I72" s="263"/>
      <c r="J72" s="263"/>
      <c r="K72" s="263"/>
      <c r="L72" s="263"/>
      <c r="M72" s="263"/>
      <c r="N72" s="263"/>
      <c r="O72" s="263"/>
      <c r="P72" s="263"/>
      <c r="Q72" s="263"/>
      <c r="R72" s="263"/>
      <c r="S72" s="263"/>
      <c r="T72" s="263"/>
      <c r="U72" s="263"/>
      <c r="V72" s="586"/>
      <c r="W72" s="586"/>
      <c r="X72" s="586"/>
      <c r="Y72" s="586"/>
      <c r="Z72" s="586"/>
      <c r="AA72" s="586"/>
      <c r="AB72" s="586"/>
      <c r="AC72" s="586"/>
      <c r="AD72" s="586"/>
      <c r="AE72" s="586"/>
      <c r="AF72" s="586"/>
      <c r="AG72" s="586"/>
      <c r="AH72" s="586"/>
      <c r="AI72" s="586"/>
      <c r="AJ72" s="586"/>
      <c r="AK72" s="586"/>
      <c r="AL72" s="586"/>
      <c r="AM72" s="586"/>
      <c r="AN72" s="586"/>
      <c r="AO72" s="586"/>
      <c r="AP72" s="586"/>
      <c r="AQ72" s="586"/>
      <c r="AR72" s="586"/>
      <c r="AS72" s="586"/>
      <c r="AT72" s="586"/>
      <c r="AU72" s="586"/>
      <c r="AV72" s="586"/>
      <c r="AW72" s="586"/>
      <c r="AX72" s="586"/>
      <c r="AY72" s="586"/>
      <c r="AZ72" s="586"/>
      <c r="BA72" s="586"/>
      <c r="BB72" s="586"/>
    </row>
    <row r="73" spans="1:54" s="574" customFormat="1" hidden="1">
      <c r="G73" s="263"/>
      <c r="H73" s="263"/>
      <c r="I73" s="263"/>
      <c r="J73" s="263"/>
      <c r="K73" s="263"/>
      <c r="L73" s="263"/>
      <c r="M73" s="263"/>
      <c r="N73" s="263"/>
      <c r="O73" s="263"/>
      <c r="P73" s="263"/>
      <c r="Q73" s="263"/>
      <c r="R73" s="263"/>
      <c r="S73" s="263"/>
      <c r="T73" s="263"/>
      <c r="U73" s="263"/>
      <c r="V73" s="586"/>
      <c r="W73" s="586"/>
      <c r="X73" s="586"/>
      <c r="Y73" s="586"/>
      <c r="Z73" s="586"/>
      <c r="AA73" s="586"/>
      <c r="AB73" s="586"/>
      <c r="AC73" s="586"/>
      <c r="AD73" s="586"/>
      <c r="AE73" s="586"/>
      <c r="AF73" s="586"/>
      <c r="AG73" s="586"/>
      <c r="AH73" s="586"/>
      <c r="AI73" s="586"/>
      <c r="AJ73" s="586"/>
      <c r="AK73" s="586"/>
      <c r="AL73" s="586"/>
      <c r="AM73" s="586"/>
      <c r="AN73" s="586"/>
      <c r="AO73" s="586"/>
      <c r="AP73" s="586"/>
      <c r="AQ73" s="586"/>
      <c r="AR73" s="586"/>
      <c r="AS73" s="586"/>
      <c r="AT73" s="586"/>
      <c r="AU73" s="586"/>
      <c r="AV73" s="586"/>
      <c r="AW73" s="586"/>
      <c r="AX73" s="586"/>
      <c r="AY73" s="586"/>
      <c r="AZ73" s="586"/>
      <c r="BA73" s="586"/>
      <c r="BB73" s="586"/>
    </row>
    <row r="74" spans="1:54" s="574" customFormat="1" hidden="1">
      <c r="A74" s="576"/>
      <c r="B74" s="580"/>
      <c r="D74" s="580"/>
      <c r="E74" s="578"/>
      <c r="F74" s="579"/>
      <c r="G74" s="263"/>
      <c r="H74" s="263"/>
      <c r="I74" s="263"/>
      <c r="J74" s="263"/>
      <c r="K74" s="263"/>
      <c r="L74" s="263"/>
      <c r="M74" s="263"/>
      <c r="N74" s="263"/>
      <c r="O74" s="263"/>
      <c r="P74" s="263"/>
      <c r="Q74" s="263"/>
      <c r="R74" s="263"/>
      <c r="S74" s="263"/>
      <c r="T74" s="263"/>
      <c r="U74" s="263"/>
      <c r="V74" s="586"/>
      <c r="W74" s="586"/>
      <c r="X74" s="586"/>
      <c r="Y74" s="586"/>
      <c r="Z74" s="586"/>
      <c r="AA74" s="586"/>
      <c r="AB74" s="586"/>
      <c r="AC74" s="586"/>
      <c r="AD74" s="586"/>
      <c r="AE74" s="586"/>
      <c r="AF74" s="586"/>
      <c r="AG74" s="586"/>
      <c r="AH74" s="586"/>
      <c r="AI74" s="586"/>
      <c r="AJ74" s="586"/>
      <c r="AK74" s="586"/>
      <c r="AL74" s="586"/>
      <c r="AM74" s="586"/>
      <c r="AN74" s="586"/>
      <c r="AO74" s="586"/>
      <c r="AP74" s="586"/>
      <c r="AQ74" s="586"/>
      <c r="AR74" s="586"/>
      <c r="AS74" s="586"/>
      <c r="AT74" s="586"/>
      <c r="AU74" s="586"/>
      <c r="AV74" s="586"/>
      <c r="AW74" s="586"/>
      <c r="AX74" s="586"/>
      <c r="AY74" s="586"/>
      <c r="AZ74" s="586"/>
      <c r="BA74" s="586"/>
      <c r="BB74" s="586"/>
    </row>
    <row r="75" spans="1:54" s="574" customFormat="1" hidden="1">
      <c r="A75" s="576"/>
      <c r="B75" s="581"/>
      <c r="G75" s="263"/>
      <c r="H75" s="263"/>
      <c r="I75" s="263"/>
      <c r="J75" s="263"/>
      <c r="K75" s="263"/>
      <c r="L75" s="263"/>
      <c r="M75" s="263"/>
      <c r="N75" s="263"/>
      <c r="O75" s="263"/>
      <c r="P75" s="263"/>
      <c r="Q75" s="263"/>
      <c r="R75" s="263"/>
      <c r="S75" s="263"/>
      <c r="T75" s="263"/>
      <c r="U75" s="263"/>
      <c r="V75" s="586"/>
      <c r="W75" s="586"/>
      <c r="X75" s="586"/>
      <c r="Y75" s="586"/>
      <c r="Z75" s="586"/>
      <c r="AA75" s="586"/>
      <c r="AB75" s="586"/>
      <c r="AC75" s="586"/>
      <c r="AD75" s="586"/>
      <c r="AE75" s="586"/>
      <c r="AF75" s="586"/>
      <c r="AG75" s="586"/>
      <c r="AH75" s="586"/>
      <c r="AI75" s="586"/>
      <c r="AJ75" s="586"/>
      <c r="AK75" s="586"/>
      <c r="AL75" s="586"/>
      <c r="AM75" s="586"/>
      <c r="AN75" s="586"/>
      <c r="AO75" s="586"/>
      <c r="AP75" s="586"/>
      <c r="AQ75" s="586"/>
      <c r="AR75" s="586"/>
      <c r="AS75" s="586"/>
      <c r="AT75" s="586"/>
      <c r="AU75" s="586"/>
      <c r="AV75" s="586"/>
      <c r="AW75" s="586"/>
      <c r="AX75" s="586"/>
      <c r="AY75" s="586"/>
      <c r="AZ75" s="586"/>
      <c r="BA75" s="586"/>
      <c r="BB75" s="586"/>
    </row>
    <row r="76" spans="1:54" s="574" customFormat="1" hidden="1">
      <c r="G76" s="263"/>
      <c r="H76" s="263"/>
      <c r="I76" s="263"/>
      <c r="J76" s="263"/>
      <c r="K76" s="263"/>
      <c r="L76" s="263"/>
      <c r="M76" s="263"/>
      <c r="N76" s="263"/>
      <c r="O76" s="263"/>
      <c r="P76" s="263"/>
      <c r="Q76" s="263"/>
      <c r="R76" s="263"/>
      <c r="S76" s="263"/>
      <c r="T76" s="263"/>
      <c r="U76" s="263"/>
      <c r="V76" s="586"/>
      <c r="W76" s="586"/>
      <c r="X76" s="586"/>
      <c r="Y76" s="586"/>
      <c r="Z76" s="586"/>
      <c r="AA76" s="586"/>
      <c r="AB76" s="586"/>
      <c r="AC76" s="586"/>
      <c r="AD76" s="586"/>
      <c r="AE76" s="586"/>
      <c r="AF76" s="586"/>
      <c r="AG76" s="586"/>
      <c r="AH76" s="586"/>
      <c r="AI76" s="586"/>
      <c r="AJ76" s="586"/>
      <c r="AK76" s="586"/>
      <c r="AL76" s="586"/>
      <c r="AM76" s="586"/>
      <c r="AN76" s="586"/>
      <c r="AO76" s="586"/>
      <c r="AP76" s="586"/>
      <c r="AQ76" s="586"/>
      <c r="AR76" s="586"/>
      <c r="AS76" s="586"/>
      <c r="AT76" s="586"/>
      <c r="AU76" s="586"/>
      <c r="AV76" s="586"/>
      <c r="AW76" s="586"/>
      <c r="AX76" s="586"/>
      <c r="AY76" s="586"/>
      <c r="AZ76" s="586"/>
      <c r="BA76" s="586"/>
      <c r="BB76" s="586"/>
    </row>
    <row r="77" spans="1:54" s="574" customFormat="1" hidden="1">
      <c r="A77" s="576"/>
      <c r="B77" s="580"/>
      <c r="D77" s="580"/>
      <c r="E77" s="578"/>
      <c r="F77" s="579"/>
      <c r="G77" s="263"/>
      <c r="H77" s="263"/>
      <c r="I77" s="263"/>
      <c r="J77" s="263"/>
      <c r="K77" s="263"/>
      <c r="L77" s="263"/>
      <c r="M77" s="263"/>
      <c r="N77" s="263"/>
      <c r="O77" s="263"/>
      <c r="P77" s="263"/>
      <c r="Q77" s="263"/>
      <c r="R77" s="263"/>
      <c r="S77" s="263"/>
      <c r="T77" s="263"/>
      <c r="U77" s="263"/>
      <c r="V77" s="586"/>
      <c r="W77" s="586"/>
      <c r="X77" s="586"/>
      <c r="Y77" s="586"/>
      <c r="Z77" s="586"/>
      <c r="AA77" s="586"/>
      <c r="AB77" s="586"/>
      <c r="AC77" s="586"/>
      <c r="AD77" s="586"/>
      <c r="AE77" s="586"/>
      <c r="AF77" s="586"/>
      <c r="AG77" s="586"/>
      <c r="AH77" s="586"/>
      <c r="AI77" s="586"/>
      <c r="AJ77" s="586"/>
      <c r="AK77" s="586"/>
      <c r="AL77" s="586"/>
      <c r="AM77" s="586"/>
      <c r="AN77" s="586"/>
      <c r="AO77" s="586"/>
      <c r="AP77" s="586"/>
      <c r="AQ77" s="586"/>
      <c r="AR77" s="586"/>
      <c r="AS77" s="586"/>
      <c r="AT77" s="586"/>
      <c r="AU77" s="586"/>
      <c r="AV77" s="586"/>
      <c r="AW77" s="586"/>
      <c r="AX77" s="586"/>
      <c r="AY77" s="586"/>
      <c r="AZ77" s="586"/>
      <c r="BA77" s="586"/>
      <c r="BB77" s="586"/>
    </row>
    <row r="78" spans="1:54" s="574" customFormat="1" hidden="1">
      <c r="A78" s="576"/>
      <c r="B78" s="581"/>
      <c r="G78" s="263"/>
      <c r="H78" s="263"/>
      <c r="I78" s="263"/>
      <c r="J78" s="263"/>
      <c r="K78" s="263"/>
      <c r="L78" s="263"/>
      <c r="M78" s="263"/>
      <c r="N78" s="263"/>
      <c r="O78" s="263"/>
      <c r="P78" s="263"/>
      <c r="Q78" s="263"/>
      <c r="R78" s="263"/>
      <c r="S78" s="263"/>
      <c r="T78" s="263"/>
      <c r="U78" s="263"/>
      <c r="V78" s="586"/>
      <c r="W78" s="586"/>
      <c r="X78" s="586"/>
      <c r="Y78" s="586"/>
      <c r="Z78" s="586"/>
      <c r="AA78" s="586"/>
      <c r="AB78" s="586"/>
      <c r="AC78" s="586"/>
      <c r="AD78" s="586"/>
      <c r="AE78" s="586"/>
      <c r="AF78" s="586"/>
      <c r="AG78" s="586"/>
      <c r="AH78" s="586"/>
      <c r="AI78" s="586"/>
      <c r="AJ78" s="586"/>
      <c r="AK78" s="586"/>
      <c r="AL78" s="586"/>
      <c r="AM78" s="586"/>
      <c r="AN78" s="586"/>
      <c r="AO78" s="586"/>
      <c r="AP78" s="586"/>
      <c r="AQ78" s="586"/>
      <c r="AR78" s="586"/>
      <c r="AS78" s="586"/>
      <c r="AT78" s="586"/>
      <c r="AU78" s="586"/>
      <c r="AV78" s="586"/>
      <c r="AW78" s="586"/>
      <c r="AX78" s="586"/>
      <c r="AY78" s="586"/>
      <c r="AZ78" s="586"/>
      <c r="BA78" s="586"/>
      <c r="BB78" s="586"/>
    </row>
    <row r="79" spans="1:54" s="574" customFormat="1" hidden="1">
      <c r="G79" s="263"/>
      <c r="H79" s="263"/>
      <c r="I79" s="263"/>
      <c r="J79" s="263"/>
      <c r="K79" s="263"/>
      <c r="L79" s="263"/>
      <c r="M79" s="263"/>
      <c r="N79" s="263"/>
      <c r="O79" s="263"/>
      <c r="P79" s="263"/>
      <c r="Q79" s="263"/>
      <c r="R79" s="263"/>
      <c r="S79" s="263"/>
      <c r="T79" s="263"/>
      <c r="U79" s="263"/>
      <c r="V79" s="586"/>
      <c r="W79" s="586"/>
      <c r="X79" s="586"/>
      <c r="Y79" s="586"/>
      <c r="Z79" s="586"/>
      <c r="AA79" s="586"/>
      <c r="AB79" s="586"/>
      <c r="AC79" s="586"/>
      <c r="AD79" s="586"/>
      <c r="AE79" s="586"/>
      <c r="AF79" s="586"/>
      <c r="AG79" s="586"/>
      <c r="AH79" s="586"/>
      <c r="AI79" s="586"/>
      <c r="AJ79" s="586"/>
      <c r="AK79" s="586"/>
      <c r="AL79" s="586"/>
      <c r="AM79" s="586"/>
      <c r="AN79" s="586"/>
      <c r="AO79" s="586"/>
      <c r="AP79" s="586"/>
      <c r="AQ79" s="586"/>
      <c r="AR79" s="586"/>
      <c r="AS79" s="586"/>
      <c r="AT79" s="586"/>
      <c r="AU79" s="586"/>
      <c r="AV79" s="586"/>
      <c r="AW79" s="586"/>
      <c r="AX79" s="586"/>
      <c r="AY79" s="586"/>
      <c r="AZ79" s="586"/>
      <c r="BA79" s="586"/>
      <c r="BB79" s="586"/>
    </row>
    <row r="80" spans="1:54" s="574" customFormat="1" hidden="1">
      <c r="A80" s="576"/>
      <c r="B80" s="580"/>
      <c r="D80" s="580"/>
      <c r="E80" s="578"/>
      <c r="F80" s="579"/>
      <c r="G80" s="263"/>
      <c r="H80" s="263"/>
      <c r="I80" s="263"/>
      <c r="J80" s="263"/>
      <c r="K80" s="263"/>
      <c r="L80" s="263"/>
      <c r="M80" s="263"/>
      <c r="N80" s="263"/>
      <c r="O80" s="263"/>
      <c r="P80" s="263"/>
      <c r="Q80" s="263"/>
      <c r="R80" s="263"/>
      <c r="S80" s="263"/>
      <c r="T80" s="263"/>
      <c r="U80" s="263"/>
      <c r="V80" s="586"/>
      <c r="W80" s="586"/>
      <c r="X80" s="586"/>
      <c r="Y80" s="586"/>
      <c r="Z80" s="586"/>
      <c r="AA80" s="586"/>
      <c r="AB80" s="586"/>
      <c r="AC80" s="586"/>
      <c r="AD80" s="586"/>
      <c r="AE80" s="586"/>
      <c r="AF80" s="586"/>
      <c r="AG80" s="586"/>
      <c r="AH80" s="586"/>
      <c r="AI80" s="586"/>
      <c r="AJ80" s="586"/>
      <c r="AK80" s="586"/>
      <c r="AL80" s="586"/>
      <c r="AM80" s="586"/>
      <c r="AN80" s="586"/>
      <c r="AO80" s="586"/>
      <c r="AP80" s="586"/>
      <c r="AQ80" s="586"/>
      <c r="AR80" s="586"/>
      <c r="AS80" s="586"/>
      <c r="AT80" s="586"/>
      <c r="AU80" s="586"/>
      <c r="AV80" s="586"/>
      <c r="AW80" s="586"/>
      <c r="AX80" s="586"/>
      <c r="AY80" s="586"/>
      <c r="AZ80" s="586"/>
      <c r="BA80" s="586"/>
      <c r="BB80" s="586"/>
    </row>
    <row r="81" spans="1:54" s="574" customFormat="1" hidden="1">
      <c r="A81" s="576"/>
      <c r="B81" s="581"/>
      <c r="G81" s="263"/>
      <c r="H81" s="263"/>
      <c r="I81" s="263"/>
      <c r="J81" s="263"/>
      <c r="K81" s="263"/>
      <c r="L81" s="263"/>
      <c r="M81" s="263"/>
      <c r="N81" s="263"/>
      <c r="O81" s="263"/>
      <c r="P81" s="263"/>
      <c r="Q81" s="263"/>
      <c r="R81" s="263"/>
      <c r="S81" s="263"/>
      <c r="T81" s="263"/>
      <c r="U81" s="263"/>
      <c r="V81" s="586"/>
      <c r="W81" s="586"/>
      <c r="X81" s="586"/>
      <c r="Y81" s="586"/>
      <c r="Z81" s="586"/>
      <c r="AA81" s="586"/>
      <c r="AB81" s="586"/>
      <c r="AC81" s="586"/>
      <c r="AD81" s="586"/>
      <c r="AE81" s="586"/>
      <c r="AF81" s="586"/>
      <c r="AG81" s="586"/>
      <c r="AH81" s="586"/>
      <c r="AI81" s="586"/>
      <c r="AJ81" s="586"/>
      <c r="AK81" s="586"/>
      <c r="AL81" s="586"/>
      <c r="AM81" s="586"/>
      <c r="AN81" s="586"/>
      <c r="AO81" s="586"/>
      <c r="AP81" s="586"/>
      <c r="AQ81" s="586"/>
      <c r="AR81" s="586"/>
      <c r="AS81" s="586"/>
      <c r="AT81" s="586"/>
      <c r="AU81" s="586"/>
      <c r="AV81" s="586"/>
      <c r="AW81" s="586"/>
      <c r="AX81" s="586"/>
      <c r="AY81" s="586"/>
      <c r="AZ81" s="586"/>
      <c r="BA81" s="586"/>
      <c r="BB81" s="586"/>
    </row>
    <row r="82" spans="1:54" s="574" customFormat="1" hidden="1">
      <c r="G82" s="263"/>
      <c r="H82" s="263"/>
      <c r="I82" s="263"/>
      <c r="J82" s="263"/>
      <c r="K82" s="263"/>
      <c r="L82" s="263"/>
      <c r="M82" s="263"/>
      <c r="N82" s="263"/>
      <c r="O82" s="263"/>
      <c r="P82" s="263"/>
      <c r="Q82" s="263"/>
      <c r="R82" s="263"/>
      <c r="S82" s="263"/>
      <c r="T82" s="263"/>
      <c r="U82" s="263"/>
      <c r="V82" s="586"/>
      <c r="W82" s="586"/>
      <c r="X82" s="586"/>
      <c r="Y82" s="586"/>
      <c r="Z82" s="586"/>
      <c r="AA82" s="586"/>
      <c r="AB82" s="586"/>
      <c r="AC82" s="586"/>
      <c r="AD82" s="586"/>
      <c r="AE82" s="586"/>
      <c r="AF82" s="586"/>
      <c r="AG82" s="586"/>
      <c r="AH82" s="586"/>
      <c r="AI82" s="586"/>
      <c r="AJ82" s="586"/>
      <c r="AK82" s="586"/>
      <c r="AL82" s="586"/>
      <c r="AM82" s="586"/>
      <c r="AN82" s="586"/>
      <c r="AO82" s="586"/>
      <c r="AP82" s="586"/>
      <c r="AQ82" s="586"/>
      <c r="AR82" s="586"/>
      <c r="AS82" s="586"/>
      <c r="AT82" s="586"/>
      <c r="AU82" s="586"/>
      <c r="AV82" s="586"/>
      <c r="AW82" s="586"/>
      <c r="AX82" s="586"/>
      <c r="AY82" s="586"/>
      <c r="AZ82" s="586"/>
      <c r="BA82" s="586"/>
      <c r="BB82" s="586"/>
    </row>
    <row r="83" spans="1:54" s="574" customFormat="1" hidden="1">
      <c r="A83" s="576"/>
      <c r="B83" s="583"/>
      <c r="D83" s="580"/>
      <c r="E83" s="578"/>
      <c r="F83" s="579"/>
      <c r="G83" s="263"/>
      <c r="H83" s="263"/>
      <c r="I83" s="263"/>
      <c r="J83" s="263"/>
      <c r="K83" s="263"/>
      <c r="L83" s="263"/>
      <c r="M83" s="263"/>
      <c r="N83" s="263"/>
      <c r="O83" s="263"/>
      <c r="P83" s="263"/>
      <c r="Q83" s="263"/>
      <c r="R83" s="263"/>
      <c r="S83" s="263"/>
      <c r="T83" s="263"/>
      <c r="U83" s="263"/>
      <c r="V83" s="586"/>
      <c r="W83" s="586"/>
      <c r="X83" s="586"/>
      <c r="Y83" s="586"/>
      <c r="Z83" s="586"/>
      <c r="AA83" s="586"/>
      <c r="AB83" s="586"/>
      <c r="AC83" s="586"/>
      <c r="AD83" s="586"/>
      <c r="AE83" s="586"/>
      <c r="AF83" s="586"/>
      <c r="AG83" s="586"/>
      <c r="AH83" s="586"/>
      <c r="AI83" s="586"/>
      <c r="AJ83" s="586"/>
      <c r="AK83" s="586"/>
      <c r="AL83" s="586"/>
      <c r="AM83" s="586"/>
      <c r="AN83" s="586"/>
      <c r="AO83" s="586"/>
      <c r="AP83" s="586"/>
      <c r="AQ83" s="586"/>
      <c r="AR83" s="586"/>
      <c r="AS83" s="586"/>
      <c r="AT83" s="586"/>
      <c r="AU83" s="586"/>
      <c r="AV83" s="586"/>
      <c r="AW83" s="586"/>
      <c r="AX83" s="586"/>
      <c r="AY83" s="586"/>
      <c r="AZ83" s="586"/>
      <c r="BA83" s="586"/>
      <c r="BB83" s="586"/>
    </row>
    <row r="84" spans="1:54" s="574" customFormat="1" hidden="1">
      <c r="A84" s="576"/>
      <c r="B84" s="581"/>
      <c r="G84" s="263"/>
      <c r="H84" s="263"/>
      <c r="I84" s="263"/>
      <c r="J84" s="263"/>
      <c r="K84" s="263"/>
      <c r="L84" s="263"/>
      <c r="M84" s="263"/>
      <c r="N84" s="263"/>
      <c r="O84" s="263"/>
      <c r="P84" s="263"/>
      <c r="Q84" s="263"/>
      <c r="R84" s="263"/>
      <c r="S84" s="263"/>
      <c r="T84" s="263"/>
      <c r="U84" s="263"/>
      <c r="V84" s="586"/>
      <c r="W84" s="586"/>
      <c r="X84" s="586"/>
      <c r="Y84" s="586"/>
      <c r="Z84" s="586"/>
      <c r="AA84" s="586"/>
      <c r="AB84" s="586"/>
      <c r="AC84" s="586"/>
      <c r="AD84" s="586"/>
      <c r="AE84" s="586"/>
      <c r="AF84" s="586"/>
      <c r="AG84" s="586"/>
      <c r="AH84" s="586"/>
      <c r="AI84" s="586"/>
      <c r="AJ84" s="586"/>
      <c r="AK84" s="586"/>
      <c r="AL84" s="586"/>
      <c r="AM84" s="586"/>
      <c r="AN84" s="586"/>
      <c r="AO84" s="586"/>
      <c r="AP84" s="586"/>
      <c r="AQ84" s="586"/>
      <c r="AR84" s="586"/>
      <c r="AS84" s="586"/>
      <c r="AT84" s="586"/>
      <c r="AU84" s="586"/>
      <c r="AV84" s="586"/>
      <c r="AW84" s="586"/>
      <c r="AX84" s="586"/>
      <c r="AY84" s="586"/>
      <c r="AZ84" s="586"/>
      <c r="BA84" s="586"/>
      <c r="BB84" s="586"/>
    </row>
    <row r="85" spans="1:54" s="574" customFormat="1" hidden="1">
      <c r="G85" s="263"/>
      <c r="H85" s="263"/>
      <c r="I85" s="263"/>
      <c r="J85" s="263"/>
      <c r="K85" s="263"/>
      <c r="L85" s="263"/>
      <c r="M85" s="263"/>
      <c r="N85" s="263"/>
      <c r="O85" s="263"/>
      <c r="P85" s="263"/>
      <c r="Q85" s="263"/>
      <c r="R85" s="263"/>
      <c r="S85" s="263"/>
      <c r="T85" s="263"/>
      <c r="U85" s="263"/>
      <c r="V85" s="586"/>
      <c r="W85" s="586"/>
      <c r="X85" s="586"/>
      <c r="Y85" s="586"/>
      <c r="Z85" s="586"/>
      <c r="AA85" s="586"/>
      <c r="AB85" s="586"/>
      <c r="AC85" s="586"/>
      <c r="AD85" s="586"/>
      <c r="AE85" s="586"/>
      <c r="AF85" s="586"/>
      <c r="AG85" s="586"/>
      <c r="AH85" s="586"/>
      <c r="AI85" s="586"/>
      <c r="AJ85" s="586"/>
      <c r="AK85" s="586"/>
      <c r="AL85" s="586"/>
      <c r="AM85" s="586"/>
      <c r="AN85" s="586"/>
      <c r="AO85" s="586"/>
      <c r="AP85" s="586"/>
      <c r="AQ85" s="586"/>
      <c r="AR85" s="586"/>
      <c r="AS85" s="586"/>
      <c r="AT85" s="586"/>
      <c r="AU85" s="586"/>
      <c r="AV85" s="586"/>
      <c r="AW85" s="586"/>
      <c r="AX85" s="586"/>
      <c r="AY85" s="586"/>
      <c r="AZ85" s="586"/>
      <c r="BA85" s="586"/>
      <c r="BB85" s="586"/>
    </row>
    <row r="86" spans="1:54" s="574" customFormat="1" hidden="1">
      <c r="A86" s="576"/>
      <c r="B86" s="582"/>
      <c r="D86" s="580"/>
      <c r="E86" s="578"/>
      <c r="F86" s="579"/>
      <c r="G86" s="263"/>
      <c r="H86" s="263"/>
      <c r="I86" s="263"/>
      <c r="J86" s="263"/>
      <c r="K86" s="263"/>
      <c r="L86" s="263"/>
      <c r="M86" s="263"/>
      <c r="N86" s="263"/>
      <c r="O86" s="263"/>
      <c r="P86" s="263"/>
      <c r="Q86" s="263"/>
      <c r="R86" s="263"/>
      <c r="S86" s="263"/>
      <c r="T86" s="263"/>
      <c r="U86" s="263"/>
      <c r="V86" s="586"/>
      <c r="W86" s="586"/>
      <c r="X86" s="586"/>
      <c r="Y86" s="586"/>
      <c r="Z86" s="586"/>
      <c r="AA86" s="586"/>
      <c r="AB86" s="586"/>
      <c r="AC86" s="586"/>
      <c r="AD86" s="586"/>
      <c r="AE86" s="586"/>
      <c r="AF86" s="586"/>
      <c r="AG86" s="586"/>
      <c r="AH86" s="586"/>
      <c r="AI86" s="586"/>
      <c r="AJ86" s="586"/>
      <c r="AK86" s="586"/>
      <c r="AL86" s="586"/>
      <c r="AM86" s="586"/>
      <c r="AN86" s="586"/>
      <c r="AO86" s="586"/>
      <c r="AP86" s="586"/>
      <c r="AQ86" s="586"/>
      <c r="AR86" s="586"/>
      <c r="AS86" s="586"/>
      <c r="AT86" s="586"/>
      <c r="AU86" s="586"/>
      <c r="AV86" s="586"/>
      <c r="AW86" s="586"/>
      <c r="AX86" s="586"/>
      <c r="AY86" s="586"/>
      <c r="AZ86" s="586"/>
      <c r="BA86" s="586"/>
      <c r="BB86" s="586"/>
    </row>
    <row r="87" spans="1:54" s="574" customFormat="1" hidden="1">
      <c r="A87" s="576"/>
      <c r="B87" s="581"/>
      <c r="G87" s="263"/>
      <c r="H87" s="263"/>
      <c r="I87" s="263"/>
      <c r="J87" s="263"/>
      <c r="K87" s="263"/>
      <c r="L87" s="263"/>
      <c r="M87" s="263"/>
      <c r="N87" s="263"/>
      <c r="O87" s="263"/>
      <c r="P87" s="263"/>
      <c r="Q87" s="263"/>
      <c r="R87" s="263"/>
      <c r="S87" s="263"/>
      <c r="T87" s="263"/>
      <c r="U87" s="263"/>
      <c r="V87" s="586"/>
      <c r="W87" s="586"/>
      <c r="X87" s="586"/>
      <c r="Y87" s="586"/>
      <c r="Z87" s="586"/>
      <c r="AA87" s="586"/>
      <c r="AB87" s="586"/>
      <c r="AC87" s="586"/>
      <c r="AD87" s="586"/>
      <c r="AE87" s="586"/>
      <c r="AF87" s="586"/>
      <c r="AG87" s="586"/>
      <c r="AH87" s="586"/>
      <c r="AI87" s="586"/>
      <c r="AJ87" s="586"/>
      <c r="AK87" s="586"/>
      <c r="AL87" s="586"/>
      <c r="AM87" s="586"/>
      <c r="AN87" s="586"/>
      <c r="AO87" s="586"/>
      <c r="AP87" s="586"/>
      <c r="AQ87" s="586"/>
      <c r="AR87" s="586"/>
      <c r="AS87" s="586"/>
      <c r="AT87" s="586"/>
      <c r="AU87" s="586"/>
      <c r="AV87" s="586"/>
      <c r="AW87" s="586"/>
      <c r="AX87" s="586"/>
      <c r="AY87" s="586"/>
      <c r="AZ87" s="586"/>
      <c r="BA87" s="586"/>
      <c r="BB87" s="586"/>
    </row>
    <row r="88" spans="1:54" s="574" customFormat="1" hidden="1">
      <c r="G88" s="263"/>
      <c r="H88" s="263"/>
      <c r="I88" s="263"/>
      <c r="J88" s="263"/>
      <c r="K88" s="263"/>
      <c r="L88" s="263"/>
      <c r="M88" s="263"/>
      <c r="N88" s="263"/>
      <c r="O88" s="263"/>
      <c r="P88" s="263"/>
      <c r="Q88" s="263"/>
      <c r="R88" s="263"/>
      <c r="S88" s="263"/>
      <c r="T88" s="263"/>
      <c r="U88" s="263"/>
      <c r="V88" s="586"/>
      <c r="W88" s="586"/>
      <c r="X88" s="586"/>
      <c r="Y88" s="586"/>
      <c r="Z88" s="586"/>
      <c r="AA88" s="586"/>
      <c r="AB88" s="586"/>
      <c r="AC88" s="586"/>
      <c r="AD88" s="586"/>
      <c r="AE88" s="586"/>
      <c r="AF88" s="586"/>
      <c r="AG88" s="586"/>
      <c r="AH88" s="586"/>
      <c r="AI88" s="586"/>
      <c r="AJ88" s="586"/>
      <c r="AK88" s="586"/>
      <c r="AL88" s="586"/>
      <c r="AM88" s="586"/>
      <c r="AN88" s="586"/>
      <c r="AO88" s="586"/>
      <c r="AP88" s="586"/>
      <c r="AQ88" s="586"/>
      <c r="AR88" s="586"/>
      <c r="AS88" s="586"/>
      <c r="AT88" s="586"/>
      <c r="AU88" s="586"/>
      <c r="AV88" s="586"/>
      <c r="AW88" s="586"/>
      <c r="AX88" s="586"/>
      <c r="AY88" s="586"/>
      <c r="AZ88" s="586"/>
      <c r="BA88" s="586"/>
      <c r="BB88" s="586"/>
    </row>
    <row r="89" spans="1:54" s="574" customFormat="1" hidden="1">
      <c r="A89" s="576"/>
      <c r="B89" s="580"/>
      <c r="D89" s="580"/>
      <c r="E89" s="578"/>
      <c r="F89" s="579"/>
      <c r="G89" s="263"/>
      <c r="H89" s="263"/>
      <c r="I89" s="263"/>
      <c r="J89" s="263"/>
      <c r="K89" s="263"/>
      <c r="L89" s="263"/>
      <c r="M89" s="263"/>
      <c r="N89" s="263"/>
      <c r="O89" s="263"/>
      <c r="P89" s="263"/>
      <c r="Q89" s="263"/>
      <c r="R89" s="263"/>
      <c r="S89" s="263"/>
      <c r="T89" s="263"/>
      <c r="U89" s="263"/>
      <c r="V89" s="586"/>
      <c r="W89" s="586"/>
      <c r="X89" s="586"/>
      <c r="Y89" s="586"/>
      <c r="Z89" s="586"/>
      <c r="AA89" s="586"/>
      <c r="AB89" s="586"/>
      <c r="AC89" s="586"/>
      <c r="AD89" s="586"/>
      <c r="AE89" s="586"/>
      <c r="AF89" s="586"/>
      <c r="AG89" s="586"/>
      <c r="AH89" s="586"/>
      <c r="AI89" s="586"/>
      <c r="AJ89" s="586"/>
      <c r="AK89" s="586"/>
      <c r="AL89" s="586"/>
      <c r="AM89" s="586"/>
      <c r="AN89" s="586"/>
      <c r="AO89" s="586"/>
      <c r="AP89" s="586"/>
      <c r="AQ89" s="586"/>
      <c r="AR89" s="586"/>
      <c r="AS89" s="586"/>
      <c r="AT89" s="586"/>
      <c r="AU89" s="586"/>
      <c r="AV89" s="586"/>
      <c r="AW89" s="586"/>
      <c r="AX89" s="586"/>
      <c r="AY89" s="586"/>
      <c r="AZ89" s="586"/>
      <c r="BA89" s="586"/>
      <c r="BB89" s="586"/>
    </row>
    <row r="90" spans="1:54" s="574" customFormat="1" hidden="1">
      <c r="A90" s="576"/>
      <c r="B90" s="581"/>
      <c r="G90" s="263"/>
      <c r="H90" s="263"/>
      <c r="I90" s="263"/>
      <c r="J90" s="263"/>
      <c r="K90" s="263"/>
      <c r="L90" s="263"/>
      <c r="M90" s="263"/>
      <c r="N90" s="263"/>
      <c r="O90" s="263"/>
      <c r="P90" s="263"/>
      <c r="Q90" s="263"/>
      <c r="R90" s="263"/>
      <c r="S90" s="263"/>
      <c r="T90" s="263"/>
      <c r="U90" s="263"/>
      <c r="V90" s="586"/>
      <c r="W90" s="586"/>
      <c r="X90" s="586"/>
      <c r="Y90" s="586"/>
      <c r="Z90" s="586"/>
      <c r="AA90" s="586"/>
      <c r="AB90" s="586"/>
      <c r="AC90" s="586"/>
      <c r="AD90" s="586"/>
      <c r="AE90" s="586"/>
      <c r="AF90" s="586"/>
      <c r="AG90" s="586"/>
      <c r="AH90" s="586"/>
      <c r="AI90" s="586"/>
      <c r="AJ90" s="586"/>
      <c r="AK90" s="586"/>
      <c r="AL90" s="586"/>
      <c r="AM90" s="586"/>
      <c r="AN90" s="586"/>
      <c r="AO90" s="586"/>
      <c r="AP90" s="586"/>
      <c r="AQ90" s="586"/>
      <c r="AR90" s="586"/>
      <c r="AS90" s="586"/>
      <c r="AT90" s="586"/>
      <c r="AU90" s="586"/>
      <c r="AV90" s="586"/>
      <c r="AW90" s="586"/>
      <c r="AX90" s="586"/>
      <c r="AY90" s="586"/>
      <c r="AZ90" s="586"/>
      <c r="BA90" s="586"/>
      <c r="BB90" s="586"/>
    </row>
    <row r="91" spans="1:54" s="574" customFormat="1" hidden="1">
      <c r="G91" s="263"/>
      <c r="H91" s="263"/>
      <c r="I91" s="263"/>
      <c r="J91" s="263"/>
      <c r="K91" s="263"/>
      <c r="L91" s="263"/>
      <c r="M91" s="263"/>
      <c r="N91" s="263"/>
      <c r="O91" s="263"/>
      <c r="P91" s="263"/>
      <c r="Q91" s="263"/>
      <c r="R91" s="263"/>
      <c r="S91" s="263"/>
      <c r="T91" s="263"/>
      <c r="U91" s="263"/>
      <c r="V91" s="586"/>
      <c r="W91" s="586"/>
      <c r="X91" s="586"/>
      <c r="Y91" s="586"/>
      <c r="Z91" s="586"/>
      <c r="AA91" s="586"/>
      <c r="AB91" s="586"/>
      <c r="AC91" s="586"/>
      <c r="AD91" s="586"/>
      <c r="AE91" s="586"/>
      <c r="AF91" s="586"/>
      <c r="AG91" s="586"/>
      <c r="AH91" s="586"/>
      <c r="AI91" s="586"/>
      <c r="AJ91" s="586"/>
      <c r="AK91" s="586"/>
      <c r="AL91" s="586"/>
      <c r="AM91" s="586"/>
      <c r="AN91" s="586"/>
      <c r="AO91" s="586"/>
      <c r="AP91" s="586"/>
      <c r="AQ91" s="586"/>
      <c r="AR91" s="586"/>
      <c r="AS91" s="586"/>
      <c r="AT91" s="586"/>
      <c r="AU91" s="586"/>
      <c r="AV91" s="586"/>
      <c r="AW91" s="586"/>
      <c r="AX91" s="586"/>
      <c r="AY91" s="586"/>
      <c r="AZ91" s="586"/>
      <c r="BA91" s="586"/>
      <c r="BB91" s="586"/>
    </row>
    <row r="92" spans="1:54" s="574" customFormat="1" hidden="1">
      <c r="A92" s="576"/>
      <c r="B92" s="580"/>
      <c r="D92" s="580"/>
      <c r="E92" s="578"/>
      <c r="F92" s="579"/>
      <c r="G92" s="263"/>
      <c r="H92" s="263"/>
      <c r="I92" s="263"/>
      <c r="J92" s="263"/>
      <c r="K92" s="263"/>
      <c r="L92" s="263"/>
      <c r="M92" s="263"/>
      <c r="N92" s="263"/>
      <c r="O92" s="263"/>
      <c r="P92" s="263"/>
      <c r="Q92" s="263"/>
      <c r="R92" s="263"/>
      <c r="S92" s="263"/>
      <c r="T92" s="263"/>
      <c r="U92" s="263"/>
      <c r="V92" s="586"/>
      <c r="W92" s="586"/>
      <c r="X92" s="586"/>
      <c r="Y92" s="586"/>
      <c r="Z92" s="586"/>
      <c r="AA92" s="586"/>
      <c r="AB92" s="586"/>
      <c r="AC92" s="586"/>
      <c r="AD92" s="586"/>
      <c r="AE92" s="586"/>
      <c r="AF92" s="586"/>
      <c r="AG92" s="586"/>
      <c r="AH92" s="586"/>
      <c r="AI92" s="586"/>
      <c r="AJ92" s="586"/>
      <c r="AK92" s="586"/>
      <c r="AL92" s="586"/>
      <c r="AM92" s="586"/>
      <c r="AN92" s="586"/>
      <c r="AO92" s="586"/>
      <c r="AP92" s="586"/>
      <c r="AQ92" s="586"/>
      <c r="AR92" s="586"/>
      <c r="AS92" s="586"/>
      <c r="AT92" s="586"/>
      <c r="AU92" s="586"/>
      <c r="AV92" s="586"/>
      <c r="AW92" s="586"/>
      <c r="AX92" s="586"/>
      <c r="AY92" s="586"/>
      <c r="AZ92" s="586"/>
      <c r="BA92" s="586"/>
      <c r="BB92" s="586"/>
    </row>
    <row r="93" spans="1:54" s="574" customFormat="1" hidden="1">
      <c r="A93" s="576"/>
      <c r="B93" s="581"/>
      <c r="G93" s="263"/>
      <c r="H93" s="263"/>
      <c r="I93" s="263"/>
      <c r="J93" s="263"/>
      <c r="K93" s="263"/>
      <c r="L93" s="263"/>
      <c r="M93" s="263"/>
      <c r="N93" s="263"/>
      <c r="O93" s="263"/>
      <c r="P93" s="263"/>
      <c r="Q93" s="263"/>
      <c r="R93" s="263"/>
      <c r="S93" s="263"/>
      <c r="T93" s="263"/>
      <c r="U93" s="263"/>
      <c r="V93" s="586"/>
      <c r="W93" s="586"/>
      <c r="X93" s="586"/>
      <c r="Y93" s="586"/>
      <c r="Z93" s="586"/>
      <c r="AA93" s="586"/>
      <c r="AB93" s="586"/>
      <c r="AC93" s="586"/>
      <c r="AD93" s="586"/>
      <c r="AE93" s="586"/>
      <c r="AF93" s="586"/>
      <c r="AG93" s="586"/>
      <c r="AH93" s="586"/>
      <c r="AI93" s="586"/>
      <c r="AJ93" s="586"/>
      <c r="AK93" s="586"/>
      <c r="AL93" s="586"/>
      <c r="AM93" s="586"/>
      <c r="AN93" s="586"/>
      <c r="AO93" s="586"/>
      <c r="AP93" s="586"/>
      <c r="AQ93" s="586"/>
      <c r="AR93" s="586"/>
      <c r="AS93" s="586"/>
      <c r="AT93" s="586"/>
      <c r="AU93" s="586"/>
      <c r="AV93" s="586"/>
      <c r="AW93" s="586"/>
      <c r="AX93" s="586"/>
      <c r="AY93" s="586"/>
      <c r="AZ93" s="586"/>
      <c r="BA93" s="586"/>
      <c r="BB93" s="586"/>
    </row>
    <row r="94" spans="1:54" s="574" customFormat="1" hidden="1">
      <c r="G94" s="263"/>
      <c r="H94" s="263"/>
      <c r="I94" s="263"/>
      <c r="J94" s="263"/>
      <c r="K94" s="263"/>
      <c r="L94" s="263"/>
      <c r="M94" s="263"/>
      <c r="N94" s="263"/>
      <c r="O94" s="263"/>
      <c r="P94" s="263"/>
      <c r="Q94" s="263"/>
      <c r="R94" s="263"/>
      <c r="S94" s="263"/>
      <c r="T94" s="263"/>
      <c r="U94" s="263"/>
      <c r="V94" s="586"/>
      <c r="W94" s="586"/>
      <c r="X94" s="586"/>
      <c r="Y94" s="586"/>
      <c r="Z94" s="586"/>
      <c r="AA94" s="586"/>
      <c r="AB94" s="586"/>
      <c r="AC94" s="586"/>
      <c r="AD94" s="586"/>
      <c r="AE94" s="586"/>
      <c r="AF94" s="586"/>
      <c r="AG94" s="586"/>
      <c r="AH94" s="586"/>
      <c r="AI94" s="586"/>
      <c r="AJ94" s="586"/>
      <c r="AK94" s="586"/>
      <c r="AL94" s="586"/>
      <c r="AM94" s="586"/>
      <c r="AN94" s="586"/>
      <c r="AO94" s="586"/>
      <c r="AP94" s="586"/>
      <c r="AQ94" s="586"/>
      <c r="AR94" s="586"/>
      <c r="AS94" s="586"/>
      <c r="AT94" s="586"/>
      <c r="AU94" s="586"/>
      <c r="AV94" s="586"/>
      <c r="AW94" s="586"/>
      <c r="AX94" s="586"/>
      <c r="AY94" s="586"/>
      <c r="AZ94" s="586"/>
      <c r="BA94" s="586"/>
      <c r="BB94" s="586"/>
    </row>
    <row r="95" spans="1:54" s="574" customFormat="1" hidden="1">
      <c r="A95" s="576"/>
      <c r="B95" s="580"/>
      <c r="D95" s="580"/>
      <c r="E95" s="578"/>
      <c r="F95" s="579"/>
      <c r="G95" s="263"/>
      <c r="H95" s="263"/>
      <c r="I95" s="263"/>
      <c r="J95" s="263"/>
      <c r="K95" s="263"/>
      <c r="L95" s="263"/>
      <c r="M95" s="263"/>
      <c r="N95" s="263"/>
      <c r="O95" s="263"/>
      <c r="P95" s="263"/>
      <c r="Q95" s="263"/>
      <c r="R95" s="263"/>
      <c r="S95" s="263"/>
      <c r="T95" s="263"/>
      <c r="U95" s="263"/>
      <c r="V95" s="586"/>
      <c r="W95" s="586"/>
      <c r="X95" s="586"/>
      <c r="Y95" s="586"/>
      <c r="Z95" s="586"/>
      <c r="AA95" s="586"/>
      <c r="AB95" s="586"/>
      <c r="AC95" s="586"/>
      <c r="AD95" s="586"/>
      <c r="AE95" s="586"/>
      <c r="AF95" s="586"/>
      <c r="AG95" s="586"/>
      <c r="AH95" s="586"/>
      <c r="AI95" s="586"/>
      <c r="AJ95" s="586"/>
      <c r="AK95" s="586"/>
      <c r="AL95" s="586"/>
      <c r="AM95" s="586"/>
      <c r="AN95" s="586"/>
      <c r="AO95" s="586"/>
      <c r="AP95" s="586"/>
      <c r="AQ95" s="586"/>
      <c r="AR95" s="586"/>
      <c r="AS95" s="586"/>
      <c r="AT95" s="586"/>
      <c r="AU95" s="586"/>
      <c r="AV95" s="586"/>
      <c r="AW95" s="586"/>
      <c r="AX95" s="586"/>
      <c r="AY95" s="586"/>
      <c r="AZ95" s="586"/>
      <c r="BA95" s="586"/>
      <c r="BB95" s="586"/>
    </row>
    <row r="96" spans="1:54" s="574" customFormat="1" hidden="1">
      <c r="A96" s="576"/>
      <c r="B96" s="581"/>
      <c r="G96" s="263"/>
      <c r="H96" s="263"/>
      <c r="I96" s="263"/>
      <c r="J96" s="263"/>
      <c r="K96" s="263"/>
      <c r="L96" s="263"/>
      <c r="M96" s="263"/>
      <c r="N96" s="263"/>
      <c r="O96" s="263"/>
      <c r="P96" s="263"/>
      <c r="Q96" s="263"/>
      <c r="R96" s="263"/>
      <c r="S96" s="263"/>
      <c r="T96" s="263"/>
      <c r="U96" s="263"/>
      <c r="V96" s="586"/>
      <c r="W96" s="586"/>
      <c r="X96" s="586"/>
      <c r="Y96" s="586"/>
      <c r="Z96" s="586"/>
      <c r="AA96" s="586"/>
      <c r="AB96" s="586"/>
      <c r="AC96" s="586"/>
      <c r="AD96" s="586"/>
      <c r="AE96" s="586"/>
      <c r="AF96" s="586"/>
      <c r="AG96" s="586"/>
      <c r="AH96" s="586"/>
      <c r="AI96" s="586"/>
      <c r="AJ96" s="586"/>
      <c r="AK96" s="586"/>
      <c r="AL96" s="586"/>
      <c r="AM96" s="586"/>
      <c r="AN96" s="586"/>
      <c r="AO96" s="586"/>
      <c r="AP96" s="586"/>
      <c r="AQ96" s="586"/>
      <c r="AR96" s="586"/>
      <c r="AS96" s="586"/>
      <c r="AT96" s="586"/>
      <c r="AU96" s="586"/>
      <c r="AV96" s="586"/>
      <c r="AW96" s="586"/>
      <c r="AX96" s="586"/>
      <c r="AY96" s="586"/>
      <c r="AZ96" s="586"/>
      <c r="BA96" s="586"/>
      <c r="BB96" s="586"/>
    </row>
    <row r="97" spans="1:54" s="574" customFormat="1" hidden="1">
      <c r="G97" s="263"/>
      <c r="H97" s="263"/>
      <c r="I97" s="263"/>
      <c r="J97" s="263"/>
      <c r="K97" s="263"/>
      <c r="L97" s="263"/>
      <c r="M97" s="263"/>
      <c r="N97" s="263"/>
      <c r="O97" s="263"/>
      <c r="P97" s="263"/>
      <c r="Q97" s="263"/>
      <c r="R97" s="263"/>
      <c r="S97" s="263"/>
      <c r="T97" s="263"/>
      <c r="U97" s="263"/>
      <c r="V97" s="586"/>
      <c r="W97" s="586"/>
      <c r="X97" s="586"/>
      <c r="Y97" s="586"/>
      <c r="Z97" s="586"/>
      <c r="AA97" s="586"/>
      <c r="AB97" s="586"/>
      <c r="AC97" s="586"/>
      <c r="AD97" s="586"/>
      <c r="AE97" s="586"/>
      <c r="AF97" s="586"/>
      <c r="AG97" s="586"/>
      <c r="AH97" s="586"/>
      <c r="AI97" s="586"/>
      <c r="AJ97" s="586"/>
      <c r="AK97" s="586"/>
      <c r="AL97" s="586"/>
      <c r="AM97" s="586"/>
      <c r="AN97" s="586"/>
      <c r="AO97" s="586"/>
      <c r="AP97" s="586"/>
      <c r="AQ97" s="586"/>
      <c r="AR97" s="586"/>
      <c r="AS97" s="586"/>
      <c r="AT97" s="586"/>
      <c r="AU97" s="586"/>
      <c r="AV97" s="586"/>
      <c r="AW97" s="586"/>
      <c r="AX97" s="586"/>
      <c r="AY97" s="586"/>
      <c r="AZ97" s="586"/>
      <c r="BA97" s="586"/>
      <c r="BB97" s="586"/>
    </row>
    <row r="98" spans="1:54" s="574" customFormat="1" hidden="1">
      <c r="A98" s="576"/>
      <c r="B98" s="580"/>
      <c r="D98" s="580"/>
      <c r="E98" s="578"/>
      <c r="F98" s="579"/>
      <c r="G98" s="263"/>
      <c r="H98" s="263"/>
      <c r="I98" s="263"/>
      <c r="J98" s="263"/>
      <c r="K98" s="263"/>
      <c r="L98" s="263"/>
      <c r="M98" s="263"/>
      <c r="N98" s="263"/>
      <c r="O98" s="263"/>
      <c r="P98" s="263"/>
      <c r="Q98" s="263"/>
      <c r="R98" s="263"/>
      <c r="S98" s="263"/>
      <c r="T98" s="263"/>
      <c r="U98" s="263"/>
      <c r="V98" s="586"/>
      <c r="W98" s="586"/>
      <c r="X98" s="586"/>
      <c r="Y98" s="586"/>
      <c r="Z98" s="586"/>
      <c r="AA98" s="586"/>
      <c r="AB98" s="586"/>
      <c r="AC98" s="586"/>
      <c r="AD98" s="586"/>
      <c r="AE98" s="586"/>
      <c r="AF98" s="586"/>
      <c r="AG98" s="586"/>
      <c r="AH98" s="586"/>
      <c r="AI98" s="586"/>
      <c r="AJ98" s="586"/>
      <c r="AK98" s="586"/>
      <c r="AL98" s="586"/>
      <c r="AM98" s="586"/>
      <c r="AN98" s="586"/>
      <c r="AO98" s="586"/>
      <c r="AP98" s="586"/>
      <c r="AQ98" s="586"/>
      <c r="AR98" s="586"/>
      <c r="AS98" s="586"/>
      <c r="AT98" s="586"/>
      <c r="AU98" s="586"/>
      <c r="AV98" s="586"/>
      <c r="AW98" s="586"/>
      <c r="AX98" s="586"/>
      <c r="AY98" s="586"/>
      <c r="AZ98" s="586"/>
      <c r="BA98" s="586"/>
      <c r="BB98" s="586"/>
    </row>
    <row r="99" spans="1:54" s="574" customFormat="1" hidden="1">
      <c r="A99" s="576"/>
      <c r="B99" s="581"/>
      <c r="G99" s="263"/>
      <c r="H99" s="263"/>
      <c r="I99" s="263"/>
      <c r="J99" s="263"/>
      <c r="K99" s="263"/>
      <c r="L99" s="263"/>
      <c r="M99" s="263"/>
      <c r="N99" s="263"/>
      <c r="O99" s="263"/>
      <c r="P99" s="263"/>
      <c r="Q99" s="263"/>
      <c r="R99" s="263"/>
      <c r="S99" s="263"/>
      <c r="T99" s="263"/>
      <c r="U99" s="263"/>
      <c r="V99" s="586"/>
      <c r="W99" s="586"/>
      <c r="X99" s="586"/>
      <c r="Y99" s="586"/>
      <c r="Z99" s="586"/>
      <c r="AA99" s="586"/>
      <c r="AB99" s="586"/>
      <c r="AC99" s="586"/>
      <c r="AD99" s="586"/>
      <c r="AE99" s="586"/>
      <c r="AF99" s="586"/>
      <c r="AG99" s="586"/>
      <c r="AH99" s="586"/>
      <c r="AI99" s="586"/>
      <c r="AJ99" s="586"/>
      <c r="AK99" s="586"/>
      <c r="AL99" s="586"/>
      <c r="AM99" s="586"/>
      <c r="AN99" s="586"/>
      <c r="AO99" s="586"/>
      <c r="AP99" s="586"/>
      <c r="AQ99" s="586"/>
      <c r="AR99" s="586"/>
      <c r="AS99" s="586"/>
      <c r="AT99" s="586"/>
      <c r="AU99" s="586"/>
      <c r="AV99" s="586"/>
      <c r="AW99" s="586"/>
      <c r="AX99" s="586"/>
      <c r="AY99" s="586"/>
      <c r="AZ99" s="586"/>
      <c r="BA99" s="586"/>
      <c r="BB99" s="586"/>
    </row>
    <row r="100" spans="1:54" s="574" customFormat="1" hidden="1">
      <c r="G100" s="263"/>
      <c r="H100" s="263"/>
      <c r="I100" s="263"/>
      <c r="J100" s="263"/>
      <c r="K100" s="263"/>
      <c r="L100" s="263"/>
      <c r="M100" s="263"/>
      <c r="N100" s="263"/>
      <c r="O100" s="263"/>
      <c r="P100" s="263"/>
      <c r="Q100" s="263"/>
      <c r="R100" s="263"/>
      <c r="S100" s="263"/>
      <c r="T100" s="263"/>
      <c r="U100" s="263"/>
      <c r="V100" s="586"/>
      <c r="W100" s="586"/>
      <c r="X100" s="586"/>
      <c r="Y100" s="586"/>
      <c r="Z100" s="586"/>
      <c r="AA100" s="586"/>
      <c r="AB100" s="586"/>
      <c r="AC100" s="586"/>
      <c r="AD100" s="586"/>
      <c r="AE100" s="586"/>
      <c r="AF100" s="586"/>
      <c r="AG100" s="586"/>
      <c r="AH100" s="586"/>
      <c r="AI100" s="586"/>
      <c r="AJ100" s="586"/>
      <c r="AK100" s="586"/>
      <c r="AL100" s="586"/>
      <c r="AM100" s="586"/>
      <c r="AN100" s="586"/>
      <c r="AO100" s="586"/>
      <c r="AP100" s="586"/>
      <c r="AQ100" s="586"/>
      <c r="AR100" s="586"/>
      <c r="AS100" s="586"/>
      <c r="AT100" s="586"/>
      <c r="AU100" s="586"/>
      <c r="AV100" s="586"/>
      <c r="AW100" s="586"/>
      <c r="AX100" s="586"/>
      <c r="AY100" s="586"/>
      <c r="AZ100" s="586"/>
      <c r="BA100" s="586"/>
      <c r="BB100" s="586"/>
    </row>
    <row r="101" spans="1:54" s="574" customFormat="1" hidden="1">
      <c r="A101" s="576"/>
      <c r="B101" s="580"/>
      <c r="D101" s="580"/>
      <c r="E101" s="578"/>
      <c r="F101" s="579"/>
      <c r="G101" s="263"/>
      <c r="H101" s="263"/>
      <c r="I101" s="263"/>
      <c r="J101" s="263"/>
      <c r="K101" s="263"/>
      <c r="L101" s="263"/>
      <c r="M101" s="263"/>
      <c r="N101" s="263"/>
      <c r="O101" s="263"/>
      <c r="P101" s="263"/>
      <c r="Q101" s="263"/>
      <c r="R101" s="263"/>
      <c r="S101" s="263"/>
      <c r="T101" s="263"/>
      <c r="U101" s="263"/>
      <c r="V101" s="586"/>
      <c r="W101" s="586"/>
      <c r="X101" s="586"/>
      <c r="Y101" s="586"/>
      <c r="Z101" s="586"/>
      <c r="AA101" s="586"/>
      <c r="AB101" s="586"/>
      <c r="AC101" s="586"/>
      <c r="AD101" s="586"/>
      <c r="AE101" s="586"/>
      <c r="AF101" s="586"/>
      <c r="AG101" s="586"/>
      <c r="AH101" s="586"/>
      <c r="AI101" s="586"/>
      <c r="AJ101" s="586"/>
      <c r="AK101" s="586"/>
      <c r="AL101" s="586"/>
      <c r="AM101" s="586"/>
      <c r="AN101" s="586"/>
      <c r="AO101" s="586"/>
      <c r="AP101" s="586"/>
      <c r="AQ101" s="586"/>
      <c r="AR101" s="586"/>
      <c r="AS101" s="586"/>
      <c r="AT101" s="586"/>
      <c r="AU101" s="586"/>
      <c r="AV101" s="586"/>
      <c r="AW101" s="586"/>
      <c r="AX101" s="586"/>
      <c r="AY101" s="586"/>
      <c r="AZ101" s="586"/>
      <c r="BA101" s="586"/>
      <c r="BB101" s="586"/>
    </row>
    <row r="102" spans="1:54" s="574" customFormat="1" hidden="1">
      <c r="A102" s="576"/>
      <c r="B102" s="581"/>
      <c r="G102" s="263"/>
      <c r="H102" s="263"/>
      <c r="I102" s="263"/>
      <c r="J102" s="263"/>
      <c r="K102" s="263"/>
      <c r="L102" s="263"/>
      <c r="M102" s="263"/>
      <c r="N102" s="263"/>
      <c r="O102" s="263"/>
      <c r="P102" s="263"/>
      <c r="Q102" s="263"/>
      <c r="R102" s="263"/>
      <c r="S102" s="263"/>
      <c r="T102" s="263"/>
      <c r="U102" s="263"/>
      <c r="V102" s="586"/>
      <c r="W102" s="586"/>
      <c r="X102" s="586"/>
      <c r="Y102" s="586"/>
      <c r="Z102" s="586"/>
      <c r="AA102" s="586"/>
      <c r="AB102" s="586"/>
      <c r="AC102" s="586"/>
      <c r="AD102" s="586"/>
      <c r="AE102" s="586"/>
      <c r="AF102" s="586"/>
      <c r="AG102" s="586"/>
      <c r="AH102" s="586"/>
      <c r="AI102" s="586"/>
      <c r="AJ102" s="586"/>
      <c r="AK102" s="586"/>
      <c r="AL102" s="586"/>
      <c r="AM102" s="586"/>
      <c r="AN102" s="586"/>
      <c r="AO102" s="586"/>
      <c r="AP102" s="586"/>
      <c r="AQ102" s="586"/>
      <c r="AR102" s="586"/>
      <c r="AS102" s="586"/>
      <c r="AT102" s="586"/>
      <c r="AU102" s="586"/>
      <c r="AV102" s="586"/>
      <c r="AW102" s="586"/>
      <c r="AX102" s="586"/>
      <c r="AY102" s="586"/>
      <c r="AZ102" s="586"/>
      <c r="BA102" s="586"/>
      <c r="BB102" s="586"/>
    </row>
    <row r="103" spans="1:54" s="574" customFormat="1" hidden="1">
      <c r="G103" s="263"/>
      <c r="H103" s="263"/>
      <c r="I103" s="263"/>
      <c r="J103" s="263"/>
      <c r="K103" s="263"/>
      <c r="L103" s="263"/>
      <c r="M103" s="263"/>
      <c r="N103" s="263"/>
      <c r="O103" s="263"/>
      <c r="P103" s="263"/>
      <c r="Q103" s="263"/>
      <c r="R103" s="263"/>
      <c r="S103" s="263"/>
      <c r="T103" s="263"/>
      <c r="U103" s="263"/>
      <c r="V103" s="586"/>
      <c r="W103" s="586"/>
      <c r="X103" s="586"/>
      <c r="Y103" s="586"/>
      <c r="Z103" s="586"/>
      <c r="AA103" s="586"/>
      <c r="AB103" s="586"/>
      <c r="AC103" s="586"/>
      <c r="AD103" s="586"/>
      <c r="AE103" s="586"/>
      <c r="AF103" s="586"/>
      <c r="AG103" s="586"/>
      <c r="AH103" s="586"/>
      <c r="AI103" s="586"/>
      <c r="AJ103" s="586"/>
      <c r="AK103" s="586"/>
      <c r="AL103" s="586"/>
      <c r="AM103" s="586"/>
      <c r="AN103" s="586"/>
      <c r="AO103" s="586"/>
      <c r="AP103" s="586"/>
      <c r="AQ103" s="586"/>
      <c r="AR103" s="586"/>
      <c r="AS103" s="586"/>
      <c r="AT103" s="586"/>
      <c r="AU103" s="586"/>
      <c r="AV103" s="586"/>
      <c r="AW103" s="586"/>
      <c r="AX103" s="586"/>
      <c r="AY103" s="586"/>
      <c r="AZ103" s="586"/>
      <c r="BA103" s="586"/>
      <c r="BB103" s="586"/>
    </row>
    <row r="104" spans="1:54" s="574" customFormat="1" hidden="1">
      <c r="A104" s="576"/>
      <c r="B104" s="580"/>
      <c r="D104" s="580"/>
      <c r="E104" s="578"/>
      <c r="F104" s="579"/>
      <c r="G104" s="263"/>
      <c r="H104" s="263"/>
      <c r="I104" s="263"/>
      <c r="J104" s="263"/>
      <c r="K104" s="263"/>
      <c r="L104" s="263"/>
      <c r="M104" s="263"/>
      <c r="N104" s="263"/>
      <c r="O104" s="263"/>
      <c r="P104" s="263"/>
      <c r="Q104" s="263"/>
      <c r="R104" s="263"/>
      <c r="S104" s="263"/>
      <c r="T104" s="263"/>
      <c r="U104" s="263"/>
      <c r="V104" s="586"/>
      <c r="W104" s="586"/>
      <c r="X104" s="586"/>
      <c r="Y104" s="586"/>
      <c r="Z104" s="586"/>
      <c r="AA104" s="586"/>
      <c r="AB104" s="586"/>
      <c r="AC104" s="586"/>
      <c r="AD104" s="586"/>
      <c r="AE104" s="586"/>
      <c r="AF104" s="586"/>
      <c r="AG104" s="586"/>
      <c r="AH104" s="586"/>
      <c r="AI104" s="586"/>
      <c r="AJ104" s="586"/>
      <c r="AK104" s="586"/>
      <c r="AL104" s="586"/>
      <c r="AM104" s="586"/>
      <c r="AN104" s="586"/>
      <c r="AO104" s="586"/>
      <c r="AP104" s="586"/>
      <c r="AQ104" s="586"/>
      <c r="AR104" s="586"/>
      <c r="AS104" s="586"/>
      <c r="AT104" s="586"/>
      <c r="AU104" s="586"/>
      <c r="AV104" s="586"/>
      <c r="AW104" s="586"/>
      <c r="AX104" s="586"/>
      <c r="AY104" s="586"/>
      <c r="AZ104" s="586"/>
      <c r="BA104" s="586"/>
      <c r="BB104" s="586"/>
    </row>
    <row r="105" spans="1:54" s="574" customFormat="1" hidden="1">
      <c r="A105" s="576"/>
      <c r="B105" s="581"/>
      <c r="G105" s="263"/>
      <c r="H105" s="263"/>
      <c r="I105" s="263"/>
      <c r="J105" s="263"/>
      <c r="K105" s="263"/>
      <c r="L105" s="263"/>
      <c r="M105" s="263"/>
      <c r="N105" s="263"/>
      <c r="O105" s="263"/>
      <c r="P105" s="263"/>
      <c r="Q105" s="263"/>
      <c r="R105" s="263"/>
      <c r="S105" s="263"/>
      <c r="T105" s="263"/>
      <c r="U105" s="263"/>
      <c r="V105" s="586"/>
      <c r="W105" s="586"/>
      <c r="X105" s="586"/>
      <c r="Y105" s="586"/>
      <c r="Z105" s="586"/>
      <c r="AA105" s="586"/>
      <c r="AB105" s="586"/>
      <c r="AC105" s="586"/>
      <c r="AD105" s="586"/>
      <c r="AE105" s="586"/>
      <c r="AF105" s="586"/>
      <c r="AG105" s="586"/>
      <c r="AH105" s="586"/>
      <c r="AI105" s="586"/>
      <c r="AJ105" s="586"/>
      <c r="AK105" s="586"/>
      <c r="AL105" s="586"/>
      <c r="AM105" s="586"/>
      <c r="AN105" s="586"/>
      <c r="AO105" s="586"/>
      <c r="AP105" s="586"/>
      <c r="AQ105" s="586"/>
      <c r="AR105" s="586"/>
      <c r="AS105" s="586"/>
      <c r="AT105" s="586"/>
      <c r="AU105" s="586"/>
      <c r="AV105" s="586"/>
      <c r="AW105" s="586"/>
      <c r="AX105" s="586"/>
      <c r="AY105" s="586"/>
      <c r="AZ105" s="586"/>
      <c r="BA105" s="586"/>
      <c r="BB105" s="586"/>
    </row>
    <row r="106" spans="1:54" s="574" customFormat="1" hidden="1">
      <c r="G106" s="263"/>
      <c r="H106" s="263"/>
      <c r="I106" s="263"/>
      <c r="J106" s="263"/>
      <c r="K106" s="263"/>
      <c r="L106" s="263"/>
      <c r="M106" s="263"/>
      <c r="N106" s="263"/>
      <c r="O106" s="263"/>
      <c r="P106" s="263"/>
      <c r="Q106" s="263"/>
      <c r="R106" s="263"/>
      <c r="S106" s="263"/>
      <c r="T106" s="263"/>
      <c r="U106" s="263"/>
      <c r="V106" s="586"/>
      <c r="W106" s="586"/>
      <c r="X106" s="586"/>
      <c r="Y106" s="586"/>
      <c r="Z106" s="586"/>
      <c r="AA106" s="586"/>
      <c r="AB106" s="586"/>
      <c r="AC106" s="586"/>
      <c r="AD106" s="586"/>
      <c r="AE106" s="586"/>
      <c r="AF106" s="586"/>
      <c r="AG106" s="586"/>
      <c r="AH106" s="586"/>
      <c r="AI106" s="586"/>
      <c r="AJ106" s="586"/>
      <c r="AK106" s="586"/>
      <c r="AL106" s="586"/>
      <c r="AM106" s="586"/>
      <c r="AN106" s="586"/>
      <c r="AO106" s="586"/>
      <c r="AP106" s="586"/>
      <c r="AQ106" s="586"/>
      <c r="AR106" s="586"/>
      <c r="AS106" s="586"/>
      <c r="AT106" s="586"/>
      <c r="AU106" s="586"/>
      <c r="AV106" s="586"/>
      <c r="AW106" s="586"/>
      <c r="AX106" s="586"/>
      <c r="AY106" s="586"/>
      <c r="AZ106" s="586"/>
      <c r="BA106" s="586"/>
      <c r="BB106" s="586"/>
    </row>
    <row r="107" spans="1:54" s="574" customFormat="1" hidden="1">
      <c r="A107" s="576"/>
      <c r="B107" s="580"/>
      <c r="D107" s="580"/>
      <c r="E107" s="578"/>
      <c r="F107" s="579"/>
      <c r="G107" s="263"/>
      <c r="H107" s="263"/>
      <c r="I107" s="263"/>
      <c r="J107" s="263"/>
      <c r="K107" s="263"/>
      <c r="L107" s="263"/>
      <c r="M107" s="263"/>
      <c r="N107" s="263"/>
      <c r="O107" s="263"/>
      <c r="P107" s="263"/>
      <c r="Q107" s="263"/>
      <c r="R107" s="263"/>
      <c r="S107" s="263"/>
      <c r="T107" s="263"/>
      <c r="U107" s="263"/>
      <c r="V107" s="586"/>
      <c r="W107" s="586"/>
      <c r="X107" s="586"/>
      <c r="Y107" s="586"/>
      <c r="Z107" s="586"/>
      <c r="AA107" s="586"/>
      <c r="AB107" s="586"/>
      <c r="AC107" s="586"/>
      <c r="AD107" s="586"/>
      <c r="AE107" s="586"/>
      <c r="AF107" s="586"/>
      <c r="AG107" s="586"/>
      <c r="AH107" s="586"/>
      <c r="AI107" s="586"/>
      <c r="AJ107" s="586"/>
      <c r="AK107" s="586"/>
      <c r="AL107" s="586"/>
      <c r="AM107" s="586"/>
      <c r="AN107" s="586"/>
      <c r="AO107" s="586"/>
      <c r="AP107" s="586"/>
      <c r="AQ107" s="586"/>
      <c r="AR107" s="586"/>
      <c r="AS107" s="586"/>
      <c r="AT107" s="586"/>
      <c r="AU107" s="586"/>
      <c r="AV107" s="586"/>
      <c r="AW107" s="586"/>
      <c r="AX107" s="586"/>
      <c r="AY107" s="586"/>
      <c r="AZ107" s="586"/>
      <c r="BA107" s="586"/>
      <c r="BB107" s="586"/>
    </row>
    <row r="108" spans="1:54" s="574" customFormat="1" hidden="1">
      <c r="A108" s="576"/>
      <c r="B108" s="581"/>
      <c r="G108" s="263"/>
      <c r="H108" s="263"/>
      <c r="I108" s="263"/>
      <c r="J108" s="263"/>
      <c r="K108" s="263"/>
      <c r="L108" s="263"/>
      <c r="M108" s="263"/>
      <c r="N108" s="263"/>
      <c r="O108" s="263"/>
      <c r="P108" s="263"/>
      <c r="Q108" s="263"/>
      <c r="R108" s="263"/>
      <c r="S108" s="263"/>
      <c r="T108" s="263"/>
      <c r="U108" s="263"/>
      <c r="V108" s="586"/>
      <c r="W108" s="586"/>
      <c r="X108" s="586"/>
      <c r="Y108" s="586"/>
      <c r="Z108" s="586"/>
      <c r="AA108" s="586"/>
      <c r="AB108" s="586"/>
      <c r="AC108" s="586"/>
      <c r="AD108" s="586"/>
      <c r="AE108" s="586"/>
      <c r="AF108" s="586"/>
      <c r="AG108" s="586"/>
      <c r="AH108" s="586"/>
      <c r="AI108" s="586"/>
      <c r="AJ108" s="586"/>
      <c r="AK108" s="586"/>
      <c r="AL108" s="586"/>
      <c r="AM108" s="586"/>
      <c r="AN108" s="586"/>
      <c r="AO108" s="586"/>
      <c r="AP108" s="586"/>
      <c r="AQ108" s="586"/>
      <c r="AR108" s="586"/>
      <c r="AS108" s="586"/>
      <c r="AT108" s="586"/>
      <c r="AU108" s="586"/>
      <c r="AV108" s="586"/>
      <c r="AW108" s="586"/>
      <c r="AX108" s="586"/>
      <c r="AY108" s="586"/>
      <c r="AZ108" s="586"/>
      <c r="BA108" s="586"/>
      <c r="BB108" s="586"/>
    </row>
    <row r="109" spans="1:54" s="574" customFormat="1" hidden="1">
      <c r="G109" s="263"/>
      <c r="H109" s="263"/>
      <c r="I109" s="263"/>
      <c r="J109" s="263"/>
      <c r="K109" s="263"/>
      <c r="L109" s="263"/>
      <c r="M109" s="263"/>
      <c r="N109" s="263"/>
      <c r="O109" s="263"/>
      <c r="P109" s="263"/>
      <c r="Q109" s="263"/>
      <c r="R109" s="263"/>
      <c r="S109" s="263"/>
      <c r="T109" s="263"/>
      <c r="U109" s="263"/>
      <c r="V109" s="586"/>
      <c r="W109" s="586"/>
      <c r="X109" s="586"/>
      <c r="Y109" s="586"/>
      <c r="Z109" s="586"/>
      <c r="AA109" s="586"/>
      <c r="AB109" s="586"/>
      <c r="AC109" s="586"/>
      <c r="AD109" s="586"/>
      <c r="AE109" s="586"/>
      <c r="AF109" s="586"/>
      <c r="AG109" s="586"/>
      <c r="AH109" s="586"/>
      <c r="AI109" s="586"/>
      <c r="AJ109" s="586"/>
      <c r="AK109" s="586"/>
      <c r="AL109" s="586"/>
      <c r="AM109" s="586"/>
      <c r="AN109" s="586"/>
      <c r="AO109" s="586"/>
      <c r="AP109" s="586"/>
      <c r="AQ109" s="586"/>
      <c r="AR109" s="586"/>
      <c r="AS109" s="586"/>
      <c r="AT109" s="586"/>
      <c r="AU109" s="586"/>
      <c r="AV109" s="586"/>
      <c r="AW109" s="586"/>
      <c r="AX109" s="586"/>
      <c r="AY109" s="586"/>
      <c r="AZ109" s="586"/>
      <c r="BA109" s="586"/>
      <c r="BB109" s="586"/>
    </row>
    <row r="110" spans="1:54" s="574" customFormat="1" hidden="1">
      <c r="A110" s="576"/>
      <c r="B110" s="580"/>
      <c r="D110" s="580"/>
      <c r="E110" s="578"/>
      <c r="F110" s="579"/>
      <c r="G110" s="263"/>
      <c r="H110" s="263"/>
      <c r="I110" s="263"/>
      <c r="J110" s="263"/>
      <c r="K110" s="263"/>
      <c r="L110" s="263"/>
      <c r="M110" s="263"/>
      <c r="N110" s="263"/>
      <c r="O110" s="263"/>
      <c r="P110" s="263"/>
      <c r="Q110" s="263"/>
      <c r="R110" s="263"/>
      <c r="S110" s="263"/>
      <c r="T110" s="263"/>
      <c r="U110" s="263"/>
      <c r="V110" s="586"/>
      <c r="W110" s="586"/>
      <c r="X110" s="586"/>
      <c r="Y110" s="586"/>
      <c r="Z110" s="586"/>
      <c r="AA110" s="586"/>
      <c r="AB110" s="586"/>
      <c r="AC110" s="586"/>
      <c r="AD110" s="586"/>
      <c r="AE110" s="586"/>
      <c r="AF110" s="586"/>
      <c r="AG110" s="586"/>
      <c r="AH110" s="586"/>
      <c r="AI110" s="586"/>
      <c r="AJ110" s="586"/>
      <c r="AK110" s="586"/>
      <c r="AL110" s="586"/>
      <c r="AM110" s="586"/>
      <c r="AN110" s="586"/>
      <c r="AO110" s="586"/>
      <c r="AP110" s="586"/>
      <c r="AQ110" s="586"/>
      <c r="AR110" s="586"/>
      <c r="AS110" s="586"/>
      <c r="AT110" s="586"/>
      <c r="AU110" s="586"/>
      <c r="AV110" s="586"/>
      <c r="AW110" s="586"/>
      <c r="AX110" s="586"/>
      <c r="AY110" s="586"/>
      <c r="AZ110" s="586"/>
      <c r="BA110" s="586"/>
      <c r="BB110" s="586"/>
    </row>
    <row r="111" spans="1:54" s="574" customFormat="1" hidden="1">
      <c r="A111" s="576"/>
      <c r="B111" s="581"/>
      <c r="G111" s="263"/>
      <c r="H111" s="263"/>
      <c r="I111" s="263"/>
      <c r="J111" s="263"/>
      <c r="K111" s="263"/>
      <c r="L111" s="263"/>
      <c r="M111" s="263"/>
      <c r="N111" s="263"/>
      <c r="O111" s="263"/>
      <c r="P111" s="263"/>
      <c r="Q111" s="263"/>
      <c r="R111" s="263"/>
      <c r="S111" s="263"/>
      <c r="T111" s="263"/>
      <c r="U111" s="263"/>
      <c r="V111" s="586"/>
      <c r="W111" s="586"/>
      <c r="X111" s="586"/>
      <c r="Y111" s="586"/>
      <c r="Z111" s="586"/>
      <c r="AA111" s="586"/>
      <c r="AB111" s="586"/>
      <c r="AC111" s="586"/>
      <c r="AD111" s="586"/>
      <c r="AE111" s="586"/>
      <c r="AF111" s="586"/>
      <c r="AG111" s="586"/>
      <c r="AH111" s="586"/>
      <c r="AI111" s="586"/>
      <c r="AJ111" s="586"/>
      <c r="AK111" s="586"/>
      <c r="AL111" s="586"/>
      <c r="AM111" s="586"/>
      <c r="AN111" s="586"/>
      <c r="AO111" s="586"/>
      <c r="AP111" s="586"/>
      <c r="AQ111" s="586"/>
      <c r="AR111" s="586"/>
      <c r="AS111" s="586"/>
      <c r="AT111" s="586"/>
      <c r="AU111" s="586"/>
      <c r="AV111" s="586"/>
      <c r="AW111" s="586"/>
      <c r="AX111" s="586"/>
      <c r="AY111" s="586"/>
      <c r="AZ111" s="586"/>
      <c r="BA111" s="586"/>
      <c r="BB111" s="586"/>
    </row>
    <row r="112" spans="1:54" s="574" customFormat="1" hidden="1">
      <c r="G112" s="263"/>
      <c r="H112" s="263"/>
      <c r="I112" s="263"/>
      <c r="J112" s="263"/>
      <c r="K112" s="263"/>
      <c r="L112" s="263"/>
      <c r="M112" s="263"/>
      <c r="N112" s="263"/>
      <c r="O112" s="263"/>
      <c r="P112" s="263"/>
      <c r="Q112" s="263"/>
      <c r="R112" s="263"/>
      <c r="S112" s="263"/>
      <c r="T112" s="263"/>
      <c r="U112" s="263"/>
      <c r="V112" s="586"/>
      <c r="W112" s="586"/>
      <c r="X112" s="586"/>
      <c r="Y112" s="586"/>
      <c r="Z112" s="586"/>
      <c r="AA112" s="586"/>
      <c r="AB112" s="586"/>
      <c r="AC112" s="586"/>
      <c r="AD112" s="586"/>
      <c r="AE112" s="586"/>
      <c r="AF112" s="586"/>
      <c r="AG112" s="586"/>
      <c r="AH112" s="586"/>
      <c r="AI112" s="586"/>
      <c r="AJ112" s="586"/>
      <c r="AK112" s="586"/>
      <c r="AL112" s="586"/>
      <c r="AM112" s="586"/>
      <c r="AN112" s="586"/>
      <c r="AO112" s="586"/>
      <c r="AP112" s="586"/>
      <c r="AQ112" s="586"/>
      <c r="AR112" s="586"/>
      <c r="AS112" s="586"/>
      <c r="AT112" s="586"/>
      <c r="AU112" s="586"/>
      <c r="AV112" s="586"/>
      <c r="AW112" s="586"/>
      <c r="AX112" s="586"/>
      <c r="AY112" s="586"/>
      <c r="AZ112" s="586"/>
      <c r="BA112" s="586"/>
      <c r="BB112" s="586"/>
    </row>
    <row r="113" spans="1:54" s="574" customFormat="1" hidden="1">
      <c r="A113" s="576"/>
      <c r="B113" s="580"/>
      <c r="D113" s="580"/>
      <c r="E113" s="578"/>
      <c r="F113" s="579"/>
      <c r="G113" s="263"/>
      <c r="H113" s="263"/>
      <c r="I113" s="263"/>
      <c r="J113" s="263"/>
      <c r="K113" s="263"/>
      <c r="L113" s="263"/>
      <c r="M113" s="263"/>
      <c r="N113" s="263"/>
      <c r="O113" s="263"/>
      <c r="P113" s="263"/>
      <c r="Q113" s="263"/>
      <c r="R113" s="263"/>
      <c r="S113" s="263"/>
      <c r="T113" s="263"/>
      <c r="U113" s="263"/>
      <c r="V113" s="586"/>
      <c r="W113" s="586"/>
      <c r="X113" s="586"/>
      <c r="Y113" s="586"/>
      <c r="Z113" s="586"/>
      <c r="AA113" s="586"/>
      <c r="AB113" s="586"/>
      <c r="AC113" s="586"/>
      <c r="AD113" s="586"/>
      <c r="AE113" s="586"/>
      <c r="AF113" s="586"/>
      <c r="AG113" s="586"/>
      <c r="AH113" s="586"/>
      <c r="AI113" s="586"/>
      <c r="AJ113" s="586"/>
      <c r="AK113" s="586"/>
      <c r="AL113" s="586"/>
      <c r="AM113" s="586"/>
      <c r="AN113" s="586"/>
      <c r="AO113" s="586"/>
      <c r="AP113" s="586"/>
      <c r="AQ113" s="586"/>
      <c r="AR113" s="586"/>
      <c r="AS113" s="586"/>
      <c r="AT113" s="586"/>
      <c r="AU113" s="586"/>
      <c r="AV113" s="586"/>
      <c r="AW113" s="586"/>
      <c r="AX113" s="586"/>
      <c r="AY113" s="586"/>
      <c r="AZ113" s="586"/>
      <c r="BA113" s="586"/>
      <c r="BB113" s="586"/>
    </row>
    <row r="114" spans="1:54" s="574" customFormat="1" hidden="1">
      <c r="A114" s="576"/>
      <c r="B114" s="581"/>
      <c r="G114" s="263"/>
      <c r="H114" s="263"/>
      <c r="I114" s="263"/>
      <c r="J114" s="263"/>
      <c r="K114" s="263"/>
      <c r="L114" s="263"/>
      <c r="M114" s="263"/>
      <c r="N114" s="263"/>
      <c r="O114" s="263"/>
      <c r="P114" s="263"/>
      <c r="Q114" s="263"/>
      <c r="R114" s="263"/>
      <c r="S114" s="263"/>
      <c r="T114" s="263"/>
      <c r="U114" s="263"/>
      <c r="V114" s="586"/>
      <c r="W114" s="586"/>
      <c r="X114" s="586"/>
      <c r="Y114" s="586"/>
      <c r="Z114" s="586"/>
      <c r="AA114" s="586"/>
      <c r="AB114" s="586"/>
      <c r="AC114" s="586"/>
      <c r="AD114" s="586"/>
      <c r="AE114" s="586"/>
      <c r="AF114" s="586"/>
      <c r="AG114" s="586"/>
      <c r="AH114" s="586"/>
      <c r="AI114" s="586"/>
      <c r="AJ114" s="586"/>
      <c r="AK114" s="586"/>
      <c r="AL114" s="586"/>
      <c r="AM114" s="586"/>
      <c r="AN114" s="586"/>
      <c r="AO114" s="586"/>
      <c r="AP114" s="586"/>
      <c r="AQ114" s="586"/>
      <c r="AR114" s="586"/>
      <c r="AS114" s="586"/>
      <c r="AT114" s="586"/>
      <c r="AU114" s="586"/>
      <c r="AV114" s="586"/>
      <c r="AW114" s="586"/>
      <c r="AX114" s="586"/>
      <c r="AY114" s="586"/>
      <c r="AZ114" s="586"/>
      <c r="BA114" s="586"/>
      <c r="BB114" s="586"/>
    </row>
    <row r="115" spans="1:54" s="574" customFormat="1" hidden="1">
      <c r="G115" s="263"/>
      <c r="H115" s="263"/>
      <c r="I115" s="263"/>
      <c r="J115" s="263"/>
      <c r="K115" s="263"/>
      <c r="L115" s="263"/>
      <c r="M115" s="263"/>
      <c r="N115" s="263"/>
      <c r="O115" s="263"/>
      <c r="P115" s="263"/>
      <c r="Q115" s="263"/>
      <c r="R115" s="263"/>
      <c r="S115" s="263"/>
      <c r="T115" s="263"/>
      <c r="U115" s="263"/>
      <c r="V115" s="586"/>
      <c r="W115" s="586"/>
      <c r="X115" s="586"/>
      <c r="Y115" s="586"/>
      <c r="Z115" s="586"/>
      <c r="AA115" s="586"/>
      <c r="AB115" s="586"/>
      <c r="AC115" s="586"/>
      <c r="AD115" s="586"/>
      <c r="AE115" s="586"/>
      <c r="AF115" s="586"/>
      <c r="AG115" s="586"/>
      <c r="AH115" s="586"/>
      <c r="AI115" s="586"/>
      <c r="AJ115" s="586"/>
      <c r="AK115" s="586"/>
      <c r="AL115" s="586"/>
      <c r="AM115" s="586"/>
      <c r="AN115" s="586"/>
      <c r="AO115" s="586"/>
      <c r="AP115" s="586"/>
      <c r="AQ115" s="586"/>
      <c r="AR115" s="586"/>
      <c r="AS115" s="586"/>
      <c r="AT115" s="586"/>
      <c r="AU115" s="586"/>
      <c r="AV115" s="586"/>
      <c r="AW115" s="586"/>
      <c r="AX115" s="586"/>
      <c r="AY115" s="586"/>
      <c r="AZ115" s="586"/>
      <c r="BA115" s="586"/>
      <c r="BB115" s="586"/>
    </row>
    <row r="116" spans="1:54" s="574" customFormat="1" hidden="1">
      <c r="A116" s="576"/>
      <c r="B116" s="580"/>
      <c r="D116" s="580"/>
      <c r="E116" s="578"/>
      <c r="F116" s="579"/>
      <c r="G116" s="263"/>
      <c r="H116" s="263"/>
      <c r="I116" s="263"/>
      <c r="J116" s="263"/>
      <c r="K116" s="263"/>
      <c r="L116" s="263"/>
      <c r="M116" s="263"/>
      <c r="N116" s="263"/>
      <c r="O116" s="263"/>
      <c r="P116" s="263"/>
      <c r="Q116" s="263"/>
      <c r="R116" s="263"/>
      <c r="S116" s="263"/>
      <c r="T116" s="263"/>
      <c r="U116" s="263"/>
      <c r="V116" s="586"/>
      <c r="W116" s="586"/>
      <c r="X116" s="586"/>
      <c r="Y116" s="586"/>
      <c r="Z116" s="586"/>
      <c r="AA116" s="586"/>
      <c r="AB116" s="586"/>
      <c r="AC116" s="586"/>
      <c r="AD116" s="586"/>
      <c r="AE116" s="586"/>
      <c r="AF116" s="586"/>
      <c r="AG116" s="586"/>
      <c r="AH116" s="586"/>
      <c r="AI116" s="586"/>
      <c r="AJ116" s="586"/>
      <c r="AK116" s="586"/>
      <c r="AL116" s="586"/>
      <c r="AM116" s="586"/>
      <c r="AN116" s="586"/>
      <c r="AO116" s="586"/>
      <c r="AP116" s="586"/>
      <c r="AQ116" s="586"/>
      <c r="AR116" s="586"/>
      <c r="AS116" s="586"/>
      <c r="AT116" s="586"/>
      <c r="AU116" s="586"/>
      <c r="AV116" s="586"/>
      <c r="AW116" s="586"/>
      <c r="AX116" s="586"/>
      <c r="AY116" s="586"/>
      <c r="AZ116" s="586"/>
      <c r="BA116" s="586"/>
      <c r="BB116" s="586"/>
    </row>
    <row r="117" spans="1:54" s="574" customFormat="1" hidden="1">
      <c r="A117" s="576"/>
      <c r="B117" s="581"/>
      <c r="G117" s="263"/>
      <c r="H117" s="263"/>
      <c r="I117" s="263"/>
      <c r="J117" s="263"/>
      <c r="K117" s="263"/>
      <c r="L117" s="263"/>
      <c r="M117" s="263"/>
      <c r="N117" s="263"/>
      <c r="O117" s="263"/>
      <c r="P117" s="263"/>
      <c r="Q117" s="263"/>
      <c r="R117" s="263"/>
      <c r="S117" s="263"/>
      <c r="T117" s="263"/>
      <c r="U117" s="263"/>
      <c r="V117" s="586"/>
      <c r="W117" s="586"/>
      <c r="X117" s="586"/>
      <c r="Y117" s="586"/>
      <c r="Z117" s="586"/>
      <c r="AA117" s="586"/>
      <c r="AB117" s="586"/>
      <c r="AC117" s="586"/>
      <c r="AD117" s="586"/>
      <c r="AE117" s="586"/>
      <c r="AF117" s="586"/>
      <c r="AG117" s="586"/>
      <c r="AH117" s="586"/>
      <c r="AI117" s="586"/>
      <c r="AJ117" s="586"/>
      <c r="AK117" s="586"/>
      <c r="AL117" s="586"/>
      <c r="AM117" s="586"/>
      <c r="AN117" s="586"/>
      <c r="AO117" s="586"/>
      <c r="AP117" s="586"/>
      <c r="AQ117" s="586"/>
      <c r="AR117" s="586"/>
      <c r="AS117" s="586"/>
      <c r="AT117" s="586"/>
      <c r="AU117" s="586"/>
      <c r="AV117" s="586"/>
      <c r="AW117" s="586"/>
      <c r="AX117" s="586"/>
      <c r="AY117" s="586"/>
      <c r="AZ117" s="586"/>
      <c r="BA117" s="586"/>
      <c r="BB117" s="586"/>
    </row>
    <row r="118" spans="1:54" s="574" customFormat="1" hidden="1">
      <c r="G118" s="263"/>
      <c r="H118" s="263"/>
      <c r="I118" s="263"/>
      <c r="J118" s="263"/>
      <c r="K118" s="263"/>
      <c r="L118" s="263"/>
      <c r="M118" s="263"/>
      <c r="N118" s="263"/>
      <c r="O118" s="263"/>
      <c r="P118" s="263"/>
      <c r="Q118" s="263"/>
      <c r="R118" s="263"/>
      <c r="S118" s="263"/>
      <c r="T118" s="263"/>
      <c r="U118" s="263"/>
      <c r="V118" s="586"/>
      <c r="W118" s="586"/>
      <c r="X118" s="586"/>
      <c r="Y118" s="586"/>
      <c r="Z118" s="586"/>
      <c r="AA118" s="586"/>
      <c r="AB118" s="586"/>
      <c r="AC118" s="586"/>
      <c r="AD118" s="586"/>
      <c r="AE118" s="586"/>
      <c r="AF118" s="586"/>
      <c r="AG118" s="586"/>
      <c r="AH118" s="586"/>
      <c r="AI118" s="586"/>
      <c r="AJ118" s="586"/>
      <c r="AK118" s="586"/>
      <c r="AL118" s="586"/>
      <c r="AM118" s="586"/>
      <c r="AN118" s="586"/>
      <c r="AO118" s="586"/>
      <c r="AP118" s="586"/>
      <c r="AQ118" s="586"/>
      <c r="AR118" s="586"/>
      <c r="AS118" s="586"/>
      <c r="AT118" s="586"/>
      <c r="AU118" s="586"/>
      <c r="AV118" s="586"/>
      <c r="AW118" s="586"/>
      <c r="AX118" s="586"/>
      <c r="AY118" s="586"/>
      <c r="AZ118" s="586"/>
      <c r="BA118" s="586"/>
      <c r="BB118" s="586"/>
    </row>
    <row r="119" spans="1:54" s="574" customFormat="1" hidden="1">
      <c r="A119" s="576"/>
      <c r="B119" s="580"/>
      <c r="D119" s="580"/>
      <c r="E119" s="578"/>
      <c r="F119" s="579"/>
      <c r="G119" s="263"/>
      <c r="H119" s="263"/>
      <c r="I119" s="263"/>
      <c r="J119" s="263"/>
      <c r="K119" s="263"/>
      <c r="L119" s="263"/>
      <c r="M119" s="263"/>
      <c r="N119" s="263"/>
      <c r="O119" s="263"/>
      <c r="P119" s="263"/>
      <c r="Q119" s="263"/>
      <c r="R119" s="263"/>
      <c r="S119" s="263"/>
      <c r="T119" s="263"/>
      <c r="U119" s="263"/>
      <c r="V119" s="586"/>
      <c r="W119" s="586"/>
      <c r="X119" s="586"/>
      <c r="Y119" s="586"/>
      <c r="Z119" s="586"/>
      <c r="AA119" s="586"/>
      <c r="AB119" s="586"/>
      <c r="AC119" s="586"/>
      <c r="AD119" s="586"/>
      <c r="AE119" s="586"/>
      <c r="AF119" s="586"/>
      <c r="AG119" s="586"/>
      <c r="AH119" s="586"/>
      <c r="AI119" s="586"/>
      <c r="AJ119" s="586"/>
      <c r="AK119" s="586"/>
      <c r="AL119" s="586"/>
      <c r="AM119" s="586"/>
      <c r="AN119" s="586"/>
      <c r="AO119" s="586"/>
      <c r="AP119" s="586"/>
      <c r="AQ119" s="586"/>
      <c r="AR119" s="586"/>
      <c r="AS119" s="586"/>
      <c r="AT119" s="586"/>
      <c r="AU119" s="586"/>
      <c r="AV119" s="586"/>
      <c r="AW119" s="586"/>
      <c r="AX119" s="586"/>
      <c r="AY119" s="586"/>
      <c r="AZ119" s="586"/>
      <c r="BA119" s="586"/>
      <c r="BB119" s="586"/>
    </row>
    <row r="120" spans="1:54" s="574" customFormat="1" hidden="1">
      <c r="A120" s="576"/>
      <c r="B120" s="581"/>
      <c r="G120" s="263"/>
      <c r="H120" s="263"/>
      <c r="I120" s="263"/>
      <c r="J120" s="263"/>
      <c r="K120" s="263"/>
      <c r="L120" s="263"/>
      <c r="M120" s="263"/>
      <c r="N120" s="263"/>
      <c r="O120" s="263"/>
      <c r="P120" s="263"/>
      <c r="Q120" s="263"/>
      <c r="R120" s="263"/>
      <c r="S120" s="263"/>
      <c r="T120" s="263"/>
      <c r="U120" s="263"/>
      <c r="V120" s="586"/>
      <c r="W120" s="586"/>
      <c r="X120" s="586"/>
      <c r="Y120" s="586"/>
      <c r="Z120" s="586"/>
      <c r="AA120" s="586"/>
      <c r="AB120" s="586"/>
      <c r="AC120" s="586"/>
      <c r="AD120" s="586"/>
      <c r="AE120" s="586"/>
      <c r="AF120" s="586"/>
      <c r="AG120" s="586"/>
      <c r="AH120" s="586"/>
      <c r="AI120" s="586"/>
      <c r="AJ120" s="586"/>
      <c r="AK120" s="586"/>
      <c r="AL120" s="586"/>
      <c r="AM120" s="586"/>
      <c r="AN120" s="586"/>
      <c r="AO120" s="586"/>
      <c r="AP120" s="586"/>
      <c r="AQ120" s="586"/>
      <c r="AR120" s="586"/>
      <c r="AS120" s="586"/>
      <c r="AT120" s="586"/>
      <c r="AU120" s="586"/>
      <c r="AV120" s="586"/>
      <c r="AW120" s="586"/>
      <c r="AX120" s="586"/>
      <c r="AY120" s="586"/>
      <c r="AZ120" s="586"/>
      <c r="BA120" s="586"/>
      <c r="BB120" s="586"/>
    </row>
    <row r="121" spans="1:54" s="574" customFormat="1" hidden="1">
      <c r="G121" s="263"/>
      <c r="H121" s="263"/>
      <c r="I121" s="263"/>
      <c r="J121" s="263"/>
      <c r="K121" s="263"/>
      <c r="L121" s="263"/>
      <c r="M121" s="263"/>
      <c r="N121" s="263"/>
      <c r="O121" s="263"/>
      <c r="P121" s="263"/>
      <c r="Q121" s="263"/>
      <c r="R121" s="263"/>
      <c r="S121" s="263"/>
      <c r="T121" s="263"/>
      <c r="U121" s="263"/>
      <c r="V121" s="586"/>
      <c r="W121" s="586"/>
      <c r="X121" s="586"/>
      <c r="Y121" s="586"/>
      <c r="Z121" s="586"/>
      <c r="AA121" s="586"/>
      <c r="AB121" s="586"/>
      <c r="AC121" s="586"/>
      <c r="AD121" s="586"/>
      <c r="AE121" s="586"/>
      <c r="AF121" s="586"/>
      <c r="AG121" s="586"/>
      <c r="AH121" s="586"/>
      <c r="AI121" s="586"/>
      <c r="AJ121" s="586"/>
      <c r="AK121" s="586"/>
      <c r="AL121" s="586"/>
      <c r="AM121" s="586"/>
      <c r="AN121" s="586"/>
      <c r="AO121" s="586"/>
      <c r="AP121" s="586"/>
      <c r="AQ121" s="586"/>
      <c r="AR121" s="586"/>
      <c r="AS121" s="586"/>
      <c r="AT121" s="586"/>
      <c r="AU121" s="586"/>
      <c r="AV121" s="586"/>
      <c r="AW121" s="586"/>
      <c r="AX121" s="586"/>
      <c r="AY121" s="586"/>
      <c r="AZ121" s="586"/>
      <c r="BA121" s="586"/>
      <c r="BB121" s="586"/>
    </row>
    <row r="122" spans="1:54" s="574" customFormat="1" hidden="1">
      <c r="A122" s="576"/>
      <c r="B122" s="580"/>
      <c r="D122" s="580"/>
      <c r="E122" s="578"/>
      <c r="F122" s="579"/>
      <c r="G122" s="263"/>
      <c r="H122" s="263"/>
      <c r="I122" s="263"/>
      <c r="J122" s="263"/>
      <c r="K122" s="263"/>
      <c r="L122" s="263"/>
      <c r="M122" s="263"/>
      <c r="N122" s="263"/>
      <c r="O122" s="263"/>
      <c r="P122" s="263"/>
      <c r="Q122" s="263"/>
      <c r="R122" s="263"/>
      <c r="S122" s="263"/>
      <c r="T122" s="263"/>
      <c r="U122" s="263"/>
      <c r="V122" s="586"/>
      <c r="W122" s="586"/>
      <c r="X122" s="586"/>
      <c r="Y122" s="586"/>
      <c r="Z122" s="586"/>
      <c r="AA122" s="586"/>
      <c r="AB122" s="586"/>
      <c r="AC122" s="586"/>
      <c r="AD122" s="586"/>
      <c r="AE122" s="586"/>
      <c r="AF122" s="586"/>
      <c r="AG122" s="586"/>
      <c r="AH122" s="586"/>
      <c r="AI122" s="586"/>
      <c r="AJ122" s="586"/>
      <c r="AK122" s="586"/>
      <c r="AL122" s="586"/>
      <c r="AM122" s="586"/>
      <c r="AN122" s="586"/>
      <c r="AO122" s="586"/>
      <c r="AP122" s="586"/>
      <c r="AQ122" s="586"/>
      <c r="AR122" s="586"/>
      <c r="AS122" s="586"/>
      <c r="AT122" s="586"/>
      <c r="AU122" s="586"/>
      <c r="AV122" s="586"/>
      <c r="AW122" s="586"/>
      <c r="AX122" s="586"/>
      <c r="AY122" s="586"/>
      <c r="AZ122" s="586"/>
      <c r="BA122" s="586"/>
      <c r="BB122" s="586"/>
    </row>
    <row r="123" spans="1:54" s="574" customFormat="1" hidden="1">
      <c r="A123" s="576"/>
      <c r="B123" s="581"/>
      <c r="G123" s="263"/>
      <c r="H123" s="263"/>
      <c r="I123" s="263"/>
      <c r="J123" s="263"/>
      <c r="K123" s="263"/>
      <c r="L123" s="263"/>
      <c r="M123" s="263"/>
      <c r="N123" s="263"/>
      <c r="O123" s="263"/>
      <c r="P123" s="263"/>
      <c r="Q123" s="263"/>
      <c r="R123" s="263"/>
      <c r="S123" s="263"/>
      <c r="T123" s="263"/>
      <c r="U123" s="263"/>
      <c r="V123" s="586"/>
      <c r="W123" s="586"/>
      <c r="X123" s="586"/>
      <c r="Y123" s="586"/>
      <c r="Z123" s="586"/>
      <c r="AA123" s="586"/>
      <c r="AB123" s="586"/>
      <c r="AC123" s="586"/>
      <c r="AD123" s="586"/>
      <c r="AE123" s="586"/>
      <c r="AF123" s="586"/>
      <c r="AG123" s="586"/>
      <c r="AH123" s="586"/>
      <c r="AI123" s="586"/>
      <c r="AJ123" s="586"/>
      <c r="AK123" s="586"/>
      <c r="AL123" s="586"/>
      <c r="AM123" s="586"/>
      <c r="AN123" s="586"/>
      <c r="AO123" s="586"/>
      <c r="AP123" s="586"/>
      <c r="AQ123" s="586"/>
      <c r="AR123" s="586"/>
      <c r="AS123" s="586"/>
      <c r="AT123" s="586"/>
      <c r="AU123" s="586"/>
      <c r="AV123" s="586"/>
      <c r="AW123" s="586"/>
      <c r="AX123" s="586"/>
      <c r="AY123" s="586"/>
      <c r="AZ123" s="586"/>
      <c r="BA123" s="586"/>
      <c r="BB123" s="586"/>
    </row>
    <row r="124" spans="1:54" s="574" customFormat="1" hidden="1">
      <c r="G124" s="263"/>
      <c r="H124" s="263"/>
      <c r="I124" s="263"/>
      <c r="J124" s="263"/>
      <c r="K124" s="263"/>
      <c r="L124" s="263"/>
      <c r="M124" s="263"/>
      <c r="N124" s="263"/>
      <c r="O124" s="263"/>
      <c r="P124" s="263"/>
      <c r="Q124" s="263"/>
      <c r="R124" s="263"/>
      <c r="S124" s="263"/>
      <c r="T124" s="263"/>
      <c r="U124" s="263"/>
      <c r="V124" s="586"/>
      <c r="W124" s="586"/>
      <c r="X124" s="586"/>
      <c r="Y124" s="586"/>
      <c r="Z124" s="586"/>
      <c r="AA124" s="586"/>
      <c r="AB124" s="586"/>
      <c r="AC124" s="586"/>
      <c r="AD124" s="586"/>
      <c r="AE124" s="586"/>
      <c r="AF124" s="586"/>
      <c r="AG124" s="586"/>
      <c r="AH124" s="586"/>
      <c r="AI124" s="586"/>
      <c r="AJ124" s="586"/>
      <c r="AK124" s="586"/>
      <c r="AL124" s="586"/>
      <c r="AM124" s="586"/>
      <c r="AN124" s="586"/>
      <c r="AO124" s="586"/>
      <c r="AP124" s="586"/>
      <c r="AQ124" s="586"/>
      <c r="AR124" s="586"/>
      <c r="AS124" s="586"/>
      <c r="AT124" s="586"/>
      <c r="AU124" s="586"/>
      <c r="AV124" s="586"/>
      <c r="AW124" s="586"/>
      <c r="AX124" s="586"/>
      <c r="AY124" s="586"/>
      <c r="AZ124" s="586"/>
      <c r="BA124" s="586"/>
      <c r="BB124" s="586"/>
    </row>
    <row r="125" spans="1:54" s="574" customFormat="1" hidden="1">
      <c r="A125" s="576"/>
      <c r="B125" s="580"/>
      <c r="D125" s="584"/>
      <c r="E125" s="578"/>
      <c r="F125" s="579"/>
      <c r="G125" s="263"/>
      <c r="H125" s="263"/>
      <c r="I125" s="263"/>
      <c r="J125" s="263"/>
      <c r="K125" s="263"/>
      <c r="L125" s="263"/>
      <c r="M125" s="263"/>
      <c r="N125" s="263"/>
      <c r="O125" s="263"/>
      <c r="P125" s="263"/>
      <c r="Q125" s="263"/>
      <c r="R125" s="263"/>
      <c r="S125" s="263"/>
      <c r="T125" s="263"/>
      <c r="U125" s="263"/>
      <c r="V125" s="586"/>
      <c r="W125" s="586"/>
      <c r="X125" s="586"/>
      <c r="Y125" s="586"/>
      <c r="Z125" s="586"/>
      <c r="AA125" s="586"/>
      <c r="AB125" s="586"/>
      <c r="AC125" s="586"/>
      <c r="AD125" s="586"/>
      <c r="AE125" s="586"/>
      <c r="AF125" s="586"/>
      <c r="AG125" s="586"/>
      <c r="AH125" s="586"/>
      <c r="AI125" s="586"/>
      <c r="AJ125" s="586"/>
      <c r="AK125" s="586"/>
      <c r="AL125" s="586"/>
      <c r="AM125" s="586"/>
      <c r="AN125" s="586"/>
      <c r="AO125" s="586"/>
      <c r="AP125" s="586"/>
      <c r="AQ125" s="586"/>
      <c r="AR125" s="586"/>
      <c r="AS125" s="586"/>
      <c r="AT125" s="586"/>
      <c r="AU125" s="586"/>
      <c r="AV125" s="586"/>
      <c r="AW125" s="586"/>
      <c r="AX125" s="586"/>
      <c r="AY125" s="586"/>
      <c r="AZ125" s="586"/>
      <c r="BA125" s="586"/>
      <c r="BB125" s="586"/>
    </row>
    <row r="126" spans="1:54" s="574" customFormat="1" hidden="1">
      <c r="A126" s="576"/>
      <c r="B126" s="581"/>
      <c r="G126" s="263"/>
      <c r="H126" s="263"/>
      <c r="I126" s="263"/>
      <c r="J126" s="263"/>
      <c r="K126" s="263"/>
      <c r="L126" s="263"/>
      <c r="M126" s="263"/>
      <c r="N126" s="263"/>
      <c r="O126" s="263"/>
      <c r="P126" s="263"/>
      <c r="Q126" s="263"/>
      <c r="R126" s="263"/>
      <c r="S126" s="263"/>
      <c r="T126" s="263"/>
      <c r="U126" s="263"/>
      <c r="V126" s="586"/>
      <c r="W126" s="586"/>
      <c r="X126" s="586"/>
      <c r="Y126" s="586"/>
      <c r="Z126" s="586"/>
      <c r="AA126" s="586"/>
      <c r="AB126" s="586"/>
      <c r="AC126" s="586"/>
      <c r="AD126" s="586"/>
      <c r="AE126" s="586"/>
      <c r="AF126" s="586"/>
      <c r="AG126" s="586"/>
      <c r="AH126" s="586"/>
      <c r="AI126" s="586"/>
      <c r="AJ126" s="586"/>
      <c r="AK126" s="586"/>
      <c r="AL126" s="586"/>
      <c r="AM126" s="586"/>
      <c r="AN126" s="586"/>
      <c r="AO126" s="586"/>
      <c r="AP126" s="586"/>
      <c r="AQ126" s="586"/>
      <c r="AR126" s="586"/>
      <c r="AS126" s="586"/>
      <c r="AT126" s="586"/>
      <c r="AU126" s="586"/>
      <c r="AV126" s="586"/>
      <c r="AW126" s="586"/>
      <c r="AX126" s="586"/>
      <c r="AY126" s="586"/>
      <c r="AZ126" s="586"/>
      <c r="BA126" s="586"/>
      <c r="BB126" s="586"/>
    </row>
    <row r="127" spans="1:54" s="574" customFormat="1" hidden="1">
      <c r="G127" s="263"/>
      <c r="H127" s="263"/>
      <c r="I127" s="263"/>
      <c r="J127" s="263"/>
      <c r="K127" s="263"/>
      <c r="L127" s="263"/>
      <c r="M127" s="263"/>
      <c r="N127" s="263"/>
      <c r="O127" s="263"/>
      <c r="P127" s="263"/>
      <c r="Q127" s="263"/>
      <c r="R127" s="263"/>
      <c r="S127" s="263"/>
      <c r="T127" s="263"/>
      <c r="U127" s="263"/>
      <c r="V127" s="586"/>
      <c r="W127" s="586"/>
      <c r="X127" s="586"/>
      <c r="Y127" s="586"/>
      <c r="Z127" s="586"/>
      <c r="AA127" s="586"/>
      <c r="AB127" s="586"/>
      <c r="AC127" s="586"/>
      <c r="AD127" s="586"/>
      <c r="AE127" s="586"/>
      <c r="AF127" s="586"/>
      <c r="AG127" s="586"/>
      <c r="AH127" s="586"/>
      <c r="AI127" s="586"/>
      <c r="AJ127" s="586"/>
      <c r="AK127" s="586"/>
      <c r="AL127" s="586"/>
      <c r="AM127" s="586"/>
      <c r="AN127" s="586"/>
      <c r="AO127" s="586"/>
      <c r="AP127" s="586"/>
      <c r="AQ127" s="586"/>
      <c r="AR127" s="586"/>
      <c r="AS127" s="586"/>
      <c r="AT127" s="586"/>
      <c r="AU127" s="586"/>
      <c r="AV127" s="586"/>
      <c r="AW127" s="586"/>
      <c r="AX127" s="586"/>
      <c r="AY127" s="586"/>
      <c r="AZ127" s="586"/>
      <c r="BA127" s="586"/>
      <c r="BB127" s="586"/>
    </row>
    <row r="128" spans="1:54" s="574" customFormat="1" hidden="1">
      <c r="A128" s="576"/>
      <c r="B128" s="580"/>
      <c r="D128" s="580"/>
      <c r="E128" s="578"/>
      <c r="F128" s="579"/>
      <c r="G128" s="263"/>
      <c r="H128" s="263"/>
      <c r="I128" s="263"/>
      <c r="J128" s="263"/>
      <c r="K128" s="263"/>
      <c r="L128" s="263"/>
      <c r="M128" s="263"/>
      <c r="N128" s="263"/>
      <c r="O128" s="263"/>
      <c r="P128" s="263"/>
      <c r="Q128" s="263"/>
      <c r="R128" s="263"/>
      <c r="S128" s="263"/>
      <c r="T128" s="263"/>
      <c r="U128" s="263"/>
      <c r="V128" s="586"/>
      <c r="W128" s="586"/>
      <c r="X128" s="586"/>
      <c r="Y128" s="586"/>
      <c r="Z128" s="586"/>
      <c r="AA128" s="586"/>
      <c r="AB128" s="586"/>
      <c r="AC128" s="586"/>
      <c r="AD128" s="586"/>
      <c r="AE128" s="586"/>
      <c r="AF128" s="586"/>
      <c r="AG128" s="586"/>
      <c r="AH128" s="586"/>
      <c r="AI128" s="586"/>
      <c r="AJ128" s="586"/>
      <c r="AK128" s="586"/>
      <c r="AL128" s="586"/>
      <c r="AM128" s="586"/>
      <c r="AN128" s="586"/>
      <c r="AO128" s="586"/>
      <c r="AP128" s="586"/>
      <c r="AQ128" s="586"/>
      <c r="AR128" s="586"/>
      <c r="AS128" s="586"/>
      <c r="AT128" s="586"/>
      <c r="AU128" s="586"/>
      <c r="AV128" s="586"/>
      <c r="AW128" s="586"/>
      <c r="AX128" s="586"/>
      <c r="AY128" s="586"/>
      <c r="AZ128" s="586"/>
      <c r="BA128" s="586"/>
      <c r="BB128" s="586"/>
    </row>
    <row r="129" spans="1:54" s="574" customFormat="1" hidden="1">
      <c r="A129" s="576"/>
      <c r="B129" s="581"/>
      <c r="G129" s="263"/>
      <c r="H129" s="263"/>
      <c r="I129" s="263"/>
      <c r="J129" s="263"/>
      <c r="K129" s="263"/>
      <c r="L129" s="263"/>
      <c r="M129" s="263"/>
      <c r="N129" s="263"/>
      <c r="O129" s="263"/>
      <c r="P129" s="263"/>
      <c r="Q129" s="263"/>
      <c r="R129" s="263"/>
      <c r="S129" s="263"/>
      <c r="T129" s="263"/>
      <c r="U129" s="263"/>
      <c r="V129" s="586"/>
      <c r="W129" s="586"/>
      <c r="X129" s="586"/>
      <c r="Y129" s="586"/>
      <c r="Z129" s="586"/>
      <c r="AA129" s="586"/>
      <c r="AB129" s="586"/>
      <c r="AC129" s="586"/>
      <c r="AD129" s="586"/>
      <c r="AE129" s="586"/>
      <c r="AF129" s="586"/>
      <c r="AG129" s="586"/>
      <c r="AH129" s="586"/>
      <c r="AI129" s="586"/>
      <c r="AJ129" s="586"/>
      <c r="AK129" s="586"/>
      <c r="AL129" s="586"/>
      <c r="AM129" s="586"/>
      <c r="AN129" s="586"/>
      <c r="AO129" s="586"/>
      <c r="AP129" s="586"/>
      <c r="AQ129" s="586"/>
      <c r="AR129" s="586"/>
      <c r="AS129" s="586"/>
      <c r="AT129" s="586"/>
      <c r="AU129" s="586"/>
      <c r="AV129" s="586"/>
      <c r="AW129" s="586"/>
      <c r="AX129" s="586"/>
      <c r="AY129" s="586"/>
      <c r="AZ129" s="586"/>
      <c r="BA129" s="586"/>
      <c r="BB129" s="586"/>
    </row>
    <row r="130" spans="1:54" s="574" customFormat="1" hidden="1">
      <c r="G130" s="263"/>
      <c r="H130" s="263"/>
      <c r="I130" s="263"/>
      <c r="J130" s="263"/>
      <c r="K130" s="263"/>
      <c r="L130" s="263"/>
      <c r="M130" s="263"/>
      <c r="N130" s="263"/>
      <c r="O130" s="263"/>
      <c r="P130" s="263"/>
      <c r="Q130" s="263"/>
      <c r="R130" s="263"/>
      <c r="S130" s="263"/>
      <c r="T130" s="263"/>
      <c r="U130" s="263"/>
      <c r="V130" s="586"/>
      <c r="W130" s="586"/>
      <c r="X130" s="586"/>
      <c r="Y130" s="586"/>
      <c r="Z130" s="586"/>
      <c r="AA130" s="586"/>
      <c r="AB130" s="586"/>
      <c r="AC130" s="586"/>
      <c r="AD130" s="586"/>
      <c r="AE130" s="586"/>
      <c r="AF130" s="586"/>
      <c r="AG130" s="586"/>
      <c r="AH130" s="586"/>
      <c r="AI130" s="586"/>
      <c r="AJ130" s="586"/>
      <c r="AK130" s="586"/>
      <c r="AL130" s="586"/>
      <c r="AM130" s="586"/>
      <c r="AN130" s="586"/>
      <c r="AO130" s="586"/>
      <c r="AP130" s="586"/>
      <c r="AQ130" s="586"/>
      <c r="AR130" s="586"/>
      <c r="AS130" s="586"/>
      <c r="AT130" s="586"/>
      <c r="AU130" s="586"/>
      <c r="AV130" s="586"/>
      <c r="AW130" s="586"/>
      <c r="AX130" s="586"/>
      <c r="AY130" s="586"/>
      <c r="AZ130" s="586"/>
      <c r="BA130" s="586"/>
      <c r="BB130" s="586"/>
    </row>
    <row r="131" spans="1:54" s="574" customFormat="1" hidden="1">
      <c r="A131" s="576"/>
      <c r="B131" s="580"/>
      <c r="D131" s="580"/>
      <c r="E131" s="578"/>
      <c r="F131" s="579"/>
      <c r="G131" s="263"/>
      <c r="H131" s="263"/>
      <c r="I131" s="263"/>
      <c r="J131" s="263"/>
      <c r="K131" s="263"/>
      <c r="L131" s="263"/>
      <c r="M131" s="263"/>
      <c r="N131" s="263"/>
      <c r="O131" s="263"/>
      <c r="P131" s="263"/>
      <c r="Q131" s="263"/>
      <c r="R131" s="263"/>
      <c r="S131" s="263"/>
      <c r="T131" s="263"/>
      <c r="U131" s="263"/>
      <c r="V131" s="586"/>
      <c r="W131" s="586"/>
      <c r="X131" s="586"/>
      <c r="Y131" s="586"/>
      <c r="Z131" s="586"/>
      <c r="AA131" s="586"/>
      <c r="AB131" s="586"/>
      <c r="AC131" s="586"/>
      <c r="AD131" s="586"/>
      <c r="AE131" s="586"/>
      <c r="AF131" s="586"/>
      <c r="AG131" s="586"/>
      <c r="AH131" s="586"/>
      <c r="AI131" s="586"/>
      <c r="AJ131" s="586"/>
      <c r="AK131" s="586"/>
      <c r="AL131" s="586"/>
      <c r="AM131" s="586"/>
      <c r="AN131" s="586"/>
      <c r="AO131" s="586"/>
      <c r="AP131" s="586"/>
      <c r="AQ131" s="586"/>
      <c r="AR131" s="586"/>
      <c r="AS131" s="586"/>
      <c r="AT131" s="586"/>
      <c r="AU131" s="586"/>
      <c r="AV131" s="586"/>
      <c r="AW131" s="586"/>
      <c r="AX131" s="586"/>
      <c r="AY131" s="586"/>
      <c r="AZ131" s="586"/>
      <c r="BA131" s="586"/>
      <c r="BB131" s="586"/>
    </row>
    <row r="132" spans="1:54" s="574" customFormat="1" hidden="1">
      <c r="A132" s="576"/>
      <c r="B132" s="581"/>
      <c r="G132" s="263"/>
      <c r="H132" s="263"/>
      <c r="I132" s="263"/>
      <c r="J132" s="263"/>
      <c r="K132" s="263"/>
      <c r="L132" s="263"/>
      <c r="M132" s="263"/>
      <c r="N132" s="263"/>
      <c r="O132" s="263"/>
      <c r="P132" s="263"/>
      <c r="Q132" s="263"/>
      <c r="R132" s="263"/>
      <c r="S132" s="263"/>
      <c r="T132" s="263"/>
      <c r="U132" s="263"/>
      <c r="V132" s="586"/>
      <c r="W132" s="586"/>
      <c r="X132" s="586"/>
      <c r="Y132" s="586"/>
      <c r="Z132" s="586"/>
      <c r="AA132" s="586"/>
      <c r="AB132" s="586"/>
      <c r="AC132" s="586"/>
      <c r="AD132" s="586"/>
      <c r="AE132" s="586"/>
      <c r="AF132" s="586"/>
      <c r="AG132" s="586"/>
      <c r="AH132" s="586"/>
      <c r="AI132" s="586"/>
      <c r="AJ132" s="586"/>
      <c r="AK132" s="586"/>
      <c r="AL132" s="586"/>
      <c r="AM132" s="586"/>
      <c r="AN132" s="586"/>
      <c r="AO132" s="586"/>
      <c r="AP132" s="586"/>
      <c r="AQ132" s="586"/>
      <c r="AR132" s="586"/>
      <c r="AS132" s="586"/>
      <c r="AT132" s="586"/>
      <c r="AU132" s="586"/>
      <c r="AV132" s="586"/>
      <c r="AW132" s="586"/>
      <c r="AX132" s="586"/>
      <c r="AY132" s="586"/>
      <c r="AZ132" s="586"/>
      <c r="BA132" s="586"/>
      <c r="BB132" s="586"/>
    </row>
    <row r="133" spans="1:54" s="574" customFormat="1" hidden="1">
      <c r="G133" s="263"/>
      <c r="H133" s="263"/>
      <c r="I133" s="263"/>
      <c r="J133" s="263"/>
      <c r="K133" s="263"/>
      <c r="L133" s="263"/>
      <c r="M133" s="263"/>
      <c r="N133" s="263"/>
      <c r="O133" s="263"/>
      <c r="P133" s="263"/>
      <c r="Q133" s="263"/>
      <c r="R133" s="263"/>
      <c r="S133" s="263"/>
      <c r="T133" s="263"/>
      <c r="U133" s="263"/>
      <c r="V133" s="586"/>
      <c r="W133" s="586"/>
      <c r="X133" s="586"/>
      <c r="Y133" s="586"/>
      <c r="Z133" s="586"/>
      <c r="AA133" s="586"/>
      <c r="AB133" s="586"/>
      <c r="AC133" s="586"/>
      <c r="AD133" s="586"/>
      <c r="AE133" s="586"/>
      <c r="AF133" s="586"/>
      <c r="AG133" s="586"/>
      <c r="AH133" s="586"/>
      <c r="AI133" s="586"/>
      <c r="AJ133" s="586"/>
      <c r="AK133" s="586"/>
      <c r="AL133" s="586"/>
      <c r="AM133" s="586"/>
      <c r="AN133" s="586"/>
      <c r="AO133" s="586"/>
      <c r="AP133" s="586"/>
      <c r="AQ133" s="586"/>
      <c r="AR133" s="586"/>
      <c r="AS133" s="586"/>
      <c r="AT133" s="586"/>
      <c r="AU133" s="586"/>
      <c r="AV133" s="586"/>
      <c r="AW133" s="586"/>
      <c r="AX133" s="586"/>
      <c r="AY133" s="586"/>
      <c r="AZ133" s="586"/>
      <c r="BA133" s="586"/>
      <c r="BB133" s="586"/>
    </row>
    <row r="134" spans="1:54" s="574" customFormat="1" hidden="1">
      <c r="A134" s="576"/>
      <c r="B134" s="580"/>
      <c r="D134" s="584"/>
      <c r="E134" s="578"/>
      <c r="F134" s="579"/>
      <c r="G134" s="263"/>
      <c r="H134" s="263"/>
      <c r="I134" s="263"/>
      <c r="J134" s="263"/>
      <c r="K134" s="263"/>
      <c r="L134" s="263"/>
      <c r="M134" s="263"/>
      <c r="N134" s="263"/>
      <c r="O134" s="263"/>
      <c r="P134" s="263"/>
      <c r="Q134" s="263"/>
      <c r="R134" s="263"/>
      <c r="S134" s="263"/>
      <c r="T134" s="263"/>
      <c r="U134" s="263"/>
      <c r="V134" s="586"/>
      <c r="W134" s="586"/>
      <c r="X134" s="586"/>
      <c r="Y134" s="586"/>
      <c r="Z134" s="586"/>
      <c r="AA134" s="586"/>
      <c r="AB134" s="586"/>
      <c r="AC134" s="586"/>
      <c r="AD134" s="586"/>
      <c r="AE134" s="586"/>
      <c r="AF134" s="586"/>
      <c r="AG134" s="586"/>
      <c r="AH134" s="586"/>
      <c r="AI134" s="586"/>
      <c r="AJ134" s="586"/>
      <c r="AK134" s="586"/>
      <c r="AL134" s="586"/>
      <c r="AM134" s="586"/>
      <c r="AN134" s="586"/>
      <c r="AO134" s="586"/>
      <c r="AP134" s="586"/>
      <c r="AQ134" s="586"/>
      <c r="AR134" s="586"/>
      <c r="AS134" s="586"/>
      <c r="AT134" s="586"/>
      <c r="AU134" s="586"/>
      <c r="AV134" s="586"/>
      <c r="AW134" s="586"/>
      <c r="AX134" s="586"/>
      <c r="AY134" s="586"/>
      <c r="AZ134" s="586"/>
      <c r="BA134" s="586"/>
      <c r="BB134" s="586"/>
    </row>
    <row r="135" spans="1:54" s="574" customFormat="1" hidden="1">
      <c r="A135" s="576"/>
      <c r="B135" s="581"/>
      <c r="G135" s="263"/>
      <c r="H135" s="263"/>
      <c r="I135" s="263"/>
      <c r="J135" s="263"/>
      <c r="K135" s="263"/>
      <c r="L135" s="263"/>
      <c r="M135" s="263"/>
      <c r="N135" s="263"/>
      <c r="O135" s="263"/>
      <c r="P135" s="263"/>
      <c r="Q135" s="263"/>
      <c r="R135" s="263"/>
      <c r="S135" s="263"/>
      <c r="T135" s="263"/>
      <c r="U135" s="263"/>
      <c r="V135" s="586"/>
      <c r="W135" s="586"/>
      <c r="X135" s="586"/>
      <c r="Y135" s="586"/>
      <c r="Z135" s="586"/>
      <c r="AA135" s="586"/>
      <c r="AB135" s="586"/>
      <c r="AC135" s="586"/>
      <c r="AD135" s="586"/>
      <c r="AE135" s="586"/>
      <c r="AF135" s="586"/>
      <c r="AG135" s="586"/>
      <c r="AH135" s="586"/>
      <c r="AI135" s="586"/>
      <c r="AJ135" s="586"/>
      <c r="AK135" s="586"/>
      <c r="AL135" s="586"/>
      <c r="AM135" s="586"/>
      <c r="AN135" s="586"/>
      <c r="AO135" s="586"/>
      <c r="AP135" s="586"/>
      <c r="AQ135" s="586"/>
      <c r="AR135" s="586"/>
      <c r="AS135" s="586"/>
      <c r="AT135" s="586"/>
      <c r="AU135" s="586"/>
      <c r="AV135" s="586"/>
      <c r="AW135" s="586"/>
      <c r="AX135" s="586"/>
      <c r="AY135" s="586"/>
      <c r="AZ135" s="586"/>
      <c r="BA135" s="586"/>
      <c r="BB135" s="586"/>
    </row>
    <row r="136" spans="1:54" s="574" customFormat="1" hidden="1">
      <c r="G136" s="263"/>
      <c r="H136" s="263"/>
      <c r="I136" s="263"/>
      <c r="J136" s="263"/>
      <c r="K136" s="263"/>
      <c r="L136" s="263"/>
      <c r="M136" s="263"/>
      <c r="N136" s="263"/>
      <c r="O136" s="263"/>
      <c r="P136" s="263"/>
      <c r="Q136" s="263"/>
      <c r="R136" s="263"/>
      <c r="S136" s="263"/>
      <c r="T136" s="263"/>
      <c r="U136" s="263"/>
      <c r="V136" s="586"/>
      <c r="W136" s="586"/>
      <c r="X136" s="586"/>
      <c r="Y136" s="586"/>
      <c r="Z136" s="586"/>
      <c r="AA136" s="586"/>
      <c r="AB136" s="586"/>
      <c r="AC136" s="586"/>
      <c r="AD136" s="586"/>
      <c r="AE136" s="586"/>
      <c r="AF136" s="586"/>
      <c r="AG136" s="586"/>
      <c r="AH136" s="586"/>
      <c r="AI136" s="586"/>
      <c r="AJ136" s="586"/>
      <c r="AK136" s="586"/>
      <c r="AL136" s="586"/>
      <c r="AM136" s="586"/>
      <c r="AN136" s="586"/>
      <c r="AO136" s="586"/>
      <c r="AP136" s="586"/>
      <c r="AQ136" s="586"/>
      <c r="AR136" s="586"/>
      <c r="AS136" s="586"/>
      <c r="AT136" s="586"/>
      <c r="AU136" s="586"/>
      <c r="AV136" s="586"/>
      <c r="AW136" s="586"/>
      <c r="AX136" s="586"/>
      <c r="AY136" s="586"/>
      <c r="AZ136" s="586"/>
      <c r="BA136" s="586"/>
      <c r="BB136" s="586"/>
    </row>
    <row r="137" spans="1:54" s="574" customFormat="1" hidden="1">
      <c r="A137" s="576"/>
      <c r="B137" s="580"/>
      <c r="D137" s="580"/>
      <c r="E137" s="578"/>
      <c r="F137" s="579"/>
      <c r="G137" s="263"/>
      <c r="H137" s="263"/>
      <c r="I137" s="263"/>
      <c r="J137" s="263"/>
      <c r="K137" s="263"/>
      <c r="L137" s="263"/>
      <c r="M137" s="263"/>
      <c r="N137" s="263"/>
      <c r="O137" s="263"/>
      <c r="P137" s="263"/>
      <c r="Q137" s="263"/>
      <c r="R137" s="263"/>
      <c r="S137" s="263"/>
      <c r="T137" s="263"/>
      <c r="U137" s="263"/>
      <c r="V137" s="586"/>
      <c r="W137" s="586"/>
      <c r="X137" s="586"/>
      <c r="Y137" s="586"/>
      <c r="Z137" s="586"/>
      <c r="AA137" s="586"/>
      <c r="AB137" s="586"/>
      <c r="AC137" s="586"/>
      <c r="AD137" s="586"/>
      <c r="AE137" s="586"/>
      <c r="AF137" s="586"/>
      <c r="AG137" s="586"/>
      <c r="AH137" s="586"/>
      <c r="AI137" s="586"/>
      <c r="AJ137" s="586"/>
      <c r="AK137" s="586"/>
      <c r="AL137" s="586"/>
      <c r="AM137" s="586"/>
      <c r="AN137" s="586"/>
      <c r="AO137" s="586"/>
      <c r="AP137" s="586"/>
      <c r="AQ137" s="586"/>
      <c r="AR137" s="586"/>
      <c r="AS137" s="586"/>
      <c r="AT137" s="586"/>
      <c r="AU137" s="586"/>
      <c r="AV137" s="586"/>
      <c r="AW137" s="586"/>
      <c r="AX137" s="586"/>
      <c r="AY137" s="586"/>
      <c r="AZ137" s="586"/>
      <c r="BA137" s="586"/>
      <c r="BB137" s="586"/>
    </row>
    <row r="138" spans="1:54" s="574" customFormat="1" hidden="1">
      <c r="A138" s="576"/>
      <c r="B138" s="581"/>
      <c r="G138" s="263"/>
      <c r="H138" s="263"/>
      <c r="I138" s="263"/>
      <c r="J138" s="263"/>
      <c r="K138" s="263"/>
      <c r="L138" s="263"/>
      <c r="M138" s="263"/>
      <c r="N138" s="263"/>
      <c r="O138" s="263"/>
      <c r="P138" s="263"/>
      <c r="Q138" s="263"/>
      <c r="R138" s="263"/>
      <c r="S138" s="263"/>
      <c r="T138" s="263"/>
      <c r="U138" s="263"/>
      <c r="V138" s="586"/>
      <c r="W138" s="586"/>
      <c r="X138" s="586"/>
      <c r="Y138" s="586"/>
      <c r="Z138" s="586"/>
      <c r="AA138" s="586"/>
      <c r="AB138" s="586"/>
      <c r="AC138" s="586"/>
      <c r="AD138" s="586"/>
      <c r="AE138" s="586"/>
      <c r="AF138" s="586"/>
      <c r="AG138" s="586"/>
      <c r="AH138" s="586"/>
      <c r="AI138" s="586"/>
      <c r="AJ138" s="586"/>
      <c r="AK138" s="586"/>
      <c r="AL138" s="586"/>
      <c r="AM138" s="586"/>
      <c r="AN138" s="586"/>
      <c r="AO138" s="586"/>
      <c r="AP138" s="586"/>
      <c r="AQ138" s="586"/>
      <c r="AR138" s="586"/>
      <c r="AS138" s="586"/>
      <c r="AT138" s="586"/>
      <c r="AU138" s="586"/>
      <c r="AV138" s="586"/>
      <c r="AW138" s="586"/>
      <c r="AX138" s="586"/>
      <c r="AY138" s="586"/>
      <c r="AZ138" s="586"/>
      <c r="BA138" s="586"/>
      <c r="BB138" s="586"/>
    </row>
    <row r="139" spans="1:54" s="574" customFormat="1" hidden="1">
      <c r="G139" s="263"/>
      <c r="H139" s="263"/>
      <c r="I139" s="263"/>
      <c r="J139" s="263"/>
      <c r="K139" s="263"/>
      <c r="L139" s="263"/>
      <c r="M139" s="263"/>
      <c r="N139" s="263"/>
      <c r="O139" s="263"/>
      <c r="P139" s="263"/>
      <c r="Q139" s="263"/>
      <c r="R139" s="263"/>
      <c r="S139" s="263"/>
      <c r="T139" s="263"/>
      <c r="U139" s="263"/>
      <c r="V139" s="586"/>
      <c r="W139" s="586"/>
      <c r="X139" s="586"/>
      <c r="Y139" s="586"/>
      <c r="Z139" s="586"/>
      <c r="AA139" s="586"/>
      <c r="AB139" s="586"/>
      <c r="AC139" s="586"/>
      <c r="AD139" s="586"/>
      <c r="AE139" s="586"/>
      <c r="AF139" s="586"/>
      <c r="AG139" s="586"/>
      <c r="AH139" s="586"/>
      <c r="AI139" s="586"/>
      <c r="AJ139" s="586"/>
      <c r="AK139" s="586"/>
      <c r="AL139" s="586"/>
      <c r="AM139" s="586"/>
      <c r="AN139" s="586"/>
      <c r="AO139" s="586"/>
      <c r="AP139" s="586"/>
      <c r="AQ139" s="586"/>
      <c r="AR139" s="586"/>
      <c r="AS139" s="586"/>
      <c r="AT139" s="586"/>
      <c r="AU139" s="586"/>
      <c r="AV139" s="586"/>
      <c r="AW139" s="586"/>
      <c r="AX139" s="586"/>
      <c r="AY139" s="586"/>
      <c r="AZ139" s="586"/>
      <c r="BA139" s="586"/>
      <c r="BB139" s="586"/>
    </row>
    <row r="140" spans="1:54" s="574" customFormat="1" hidden="1">
      <c r="A140" s="576"/>
      <c r="B140" s="580"/>
      <c r="D140" s="580"/>
      <c r="E140" s="578"/>
      <c r="F140" s="579"/>
      <c r="G140" s="263"/>
      <c r="H140" s="263"/>
      <c r="I140" s="263"/>
      <c r="J140" s="263"/>
      <c r="K140" s="263"/>
      <c r="L140" s="263"/>
      <c r="M140" s="263"/>
      <c r="N140" s="263"/>
      <c r="O140" s="263"/>
      <c r="P140" s="263"/>
      <c r="Q140" s="263"/>
      <c r="R140" s="263"/>
      <c r="S140" s="263"/>
      <c r="T140" s="263"/>
      <c r="U140" s="263"/>
      <c r="V140" s="586"/>
      <c r="W140" s="586"/>
      <c r="X140" s="586"/>
      <c r="Y140" s="586"/>
      <c r="Z140" s="586"/>
      <c r="AA140" s="586"/>
      <c r="AB140" s="586"/>
      <c r="AC140" s="586"/>
      <c r="AD140" s="586"/>
      <c r="AE140" s="586"/>
      <c r="AF140" s="586"/>
      <c r="AG140" s="586"/>
      <c r="AH140" s="586"/>
      <c r="AI140" s="586"/>
      <c r="AJ140" s="586"/>
      <c r="AK140" s="586"/>
      <c r="AL140" s="586"/>
      <c r="AM140" s="586"/>
      <c r="AN140" s="586"/>
      <c r="AO140" s="586"/>
      <c r="AP140" s="586"/>
      <c r="AQ140" s="586"/>
      <c r="AR140" s="586"/>
      <c r="AS140" s="586"/>
      <c r="AT140" s="586"/>
      <c r="AU140" s="586"/>
      <c r="AV140" s="586"/>
      <c r="AW140" s="586"/>
      <c r="AX140" s="586"/>
      <c r="AY140" s="586"/>
      <c r="AZ140" s="586"/>
      <c r="BA140" s="586"/>
      <c r="BB140" s="586"/>
    </row>
    <row r="141" spans="1:54" s="574" customFormat="1" hidden="1">
      <c r="A141" s="576"/>
      <c r="B141" s="581"/>
      <c r="G141" s="263"/>
      <c r="H141" s="263"/>
      <c r="I141" s="263"/>
      <c r="J141" s="263"/>
      <c r="K141" s="263"/>
      <c r="L141" s="263"/>
      <c r="M141" s="263"/>
      <c r="N141" s="263"/>
      <c r="O141" s="263"/>
      <c r="P141" s="263"/>
      <c r="Q141" s="263"/>
      <c r="R141" s="263"/>
      <c r="S141" s="263"/>
      <c r="T141" s="263"/>
      <c r="U141" s="263"/>
      <c r="V141" s="586"/>
      <c r="W141" s="586"/>
      <c r="X141" s="586"/>
      <c r="Y141" s="586"/>
      <c r="Z141" s="586"/>
      <c r="AA141" s="586"/>
      <c r="AB141" s="586"/>
      <c r="AC141" s="586"/>
      <c r="AD141" s="586"/>
      <c r="AE141" s="586"/>
      <c r="AF141" s="586"/>
      <c r="AG141" s="586"/>
      <c r="AH141" s="586"/>
      <c r="AI141" s="586"/>
      <c r="AJ141" s="586"/>
      <c r="AK141" s="586"/>
      <c r="AL141" s="586"/>
      <c r="AM141" s="586"/>
      <c r="AN141" s="586"/>
      <c r="AO141" s="586"/>
      <c r="AP141" s="586"/>
      <c r="AQ141" s="586"/>
      <c r="AR141" s="586"/>
      <c r="AS141" s="586"/>
      <c r="AT141" s="586"/>
      <c r="AU141" s="586"/>
      <c r="AV141" s="586"/>
      <c r="AW141" s="586"/>
      <c r="AX141" s="586"/>
      <c r="AY141" s="586"/>
      <c r="AZ141" s="586"/>
      <c r="BA141" s="586"/>
      <c r="BB141" s="586"/>
    </row>
    <row r="142" spans="1:54" s="574" customFormat="1" hidden="1">
      <c r="G142" s="263"/>
      <c r="H142" s="263"/>
      <c r="I142" s="263"/>
      <c r="J142" s="263"/>
      <c r="K142" s="263"/>
      <c r="L142" s="263"/>
      <c r="M142" s="263"/>
      <c r="N142" s="263"/>
      <c r="O142" s="263"/>
      <c r="P142" s="263"/>
      <c r="Q142" s="263"/>
      <c r="R142" s="263"/>
      <c r="S142" s="263"/>
      <c r="T142" s="263"/>
      <c r="U142" s="263"/>
      <c r="V142" s="586"/>
      <c r="W142" s="586"/>
      <c r="X142" s="586"/>
      <c r="Y142" s="586"/>
      <c r="Z142" s="586"/>
      <c r="AA142" s="586"/>
      <c r="AB142" s="586"/>
      <c r="AC142" s="586"/>
      <c r="AD142" s="586"/>
      <c r="AE142" s="586"/>
      <c r="AF142" s="586"/>
      <c r="AG142" s="586"/>
      <c r="AH142" s="586"/>
      <c r="AI142" s="586"/>
      <c r="AJ142" s="586"/>
      <c r="AK142" s="586"/>
      <c r="AL142" s="586"/>
      <c r="AM142" s="586"/>
      <c r="AN142" s="586"/>
      <c r="AO142" s="586"/>
      <c r="AP142" s="586"/>
      <c r="AQ142" s="586"/>
      <c r="AR142" s="586"/>
      <c r="AS142" s="586"/>
      <c r="AT142" s="586"/>
      <c r="AU142" s="586"/>
      <c r="AV142" s="586"/>
      <c r="AW142" s="586"/>
      <c r="AX142" s="586"/>
      <c r="AY142" s="586"/>
      <c r="AZ142" s="586"/>
      <c r="BA142" s="586"/>
      <c r="BB142" s="586"/>
    </row>
    <row r="143" spans="1:54" s="574" customFormat="1" hidden="1">
      <c r="A143" s="576"/>
      <c r="B143" s="580"/>
      <c r="D143" s="580"/>
      <c r="E143" s="578"/>
      <c r="F143" s="579"/>
      <c r="G143" s="263"/>
      <c r="H143" s="263"/>
      <c r="I143" s="263"/>
      <c r="J143" s="263"/>
      <c r="K143" s="263"/>
      <c r="L143" s="263"/>
      <c r="M143" s="263"/>
      <c r="N143" s="263"/>
      <c r="O143" s="263"/>
      <c r="P143" s="263"/>
      <c r="Q143" s="263"/>
      <c r="R143" s="263"/>
      <c r="S143" s="263"/>
      <c r="T143" s="263"/>
      <c r="U143" s="263"/>
      <c r="V143" s="586"/>
      <c r="W143" s="586"/>
      <c r="X143" s="586"/>
      <c r="Y143" s="586"/>
      <c r="Z143" s="586"/>
      <c r="AA143" s="586"/>
      <c r="AB143" s="586"/>
      <c r="AC143" s="586"/>
      <c r="AD143" s="586"/>
      <c r="AE143" s="586"/>
      <c r="AF143" s="586"/>
      <c r="AG143" s="586"/>
      <c r="AH143" s="586"/>
      <c r="AI143" s="586"/>
      <c r="AJ143" s="586"/>
      <c r="AK143" s="586"/>
      <c r="AL143" s="586"/>
      <c r="AM143" s="586"/>
      <c r="AN143" s="586"/>
      <c r="AO143" s="586"/>
      <c r="AP143" s="586"/>
      <c r="AQ143" s="586"/>
      <c r="AR143" s="586"/>
      <c r="AS143" s="586"/>
      <c r="AT143" s="586"/>
      <c r="AU143" s="586"/>
      <c r="AV143" s="586"/>
      <c r="AW143" s="586"/>
      <c r="AX143" s="586"/>
      <c r="AY143" s="586"/>
      <c r="AZ143" s="586"/>
      <c r="BA143" s="586"/>
      <c r="BB143" s="586"/>
    </row>
    <row r="144" spans="1:54" s="574" customFormat="1" hidden="1">
      <c r="A144" s="576"/>
      <c r="B144" s="581"/>
      <c r="G144" s="263"/>
      <c r="H144" s="263"/>
      <c r="I144" s="263"/>
      <c r="J144" s="263"/>
      <c r="K144" s="263"/>
      <c r="L144" s="263"/>
      <c r="M144" s="263"/>
      <c r="N144" s="263"/>
      <c r="O144" s="263"/>
      <c r="P144" s="263"/>
      <c r="Q144" s="263"/>
      <c r="R144" s="263"/>
      <c r="S144" s="263"/>
      <c r="T144" s="263"/>
      <c r="U144" s="263"/>
      <c r="V144" s="586"/>
      <c r="W144" s="586"/>
      <c r="X144" s="586"/>
      <c r="Y144" s="586"/>
      <c r="Z144" s="586"/>
      <c r="AA144" s="586"/>
      <c r="AB144" s="586"/>
      <c r="AC144" s="586"/>
      <c r="AD144" s="586"/>
      <c r="AE144" s="586"/>
      <c r="AF144" s="586"/>
      <c r="AG144" s="586"/>
      <c r="AH144" s="586"/>
      <c r="AI144" s="586"/>
      <c r="AJ144" s="586"/>
      <c r="AK144" s="586"/>
      <c r="AL144" s="586"/>
      <c r="AM144" s="586"/>
      <c r="AN144" s="586"/>
      <c r="AO144" s="586"/>
      <c r="AP144" s="586"/>
      <c r="AQ144" s="586"/>
      <c r="AR144" s="586"/>
      <c r="AS144" s="586"/>
      <c r="AT144" s="586"/>
      <c r="AU144" s="586"/>
      <c r="AV144" s="586"/>
      <c r="AW144" s="586"/>
      <c r="AX144" s="586"/>
      <c r="AY144" s="586"/>
      <c r="AZ144" s="586"/>
      <c r="BA144" s="586"/>
      <c r="BB144" s="586"/>
    </row>
    <row r="145" spans="1:54" s="574" customFormat="1" hidden="1">
      <c r="G145" s="263"/>
      <c r="H145" s="263"/>
      <c r="I145" s="263"/>
      <c r="J145" s="263"/>
      <c r="K145" s="263"/>
      <c r="L145" s="263"/>
      <c r="M145" s="263"/>
      <c r="N145" s="263"/>
      <c r="O145" s="263"/>
      <c r="P145" s="263"/>
      <c r="Q145" s="263"/>
      <c r="R145" s="263"/>
      <c r="S145" s="263"/>
      <c r="T145" s="263"/>
      <c r="U145" s="263"/>
      <c r="V145" s="586"/>
      <c r="W145" s="586"/>
      <c r="X145" s="586"/>
      <c r="Y145" s="586"/>
      <c r="Z145" s="586"/>
      <c r="AA145" s="586"/>
      <c r="AB145" s="586"/>
      <c r="AC145" s="586"/>
      <c r="AD145" s="586"/>
      <c r="AE145" s="586"/>
      <c r="AF145" s="586"/>
      <c r="AG145" s="586"/>
      <c r="AH145" s="586"/>
      <c r="AI145" s="586"/>
      <c r="AJ145" s="586"/>
      <c r="AK145" s="586"/>
      <c r="AL145" s="586"/>
      <c r="AM145" s="586"/>
      <c r="AN145" s="586"/>
      <c r="AO145" s="586"/>
      <c r="AP145" s="586"/>
      <c r="AQ145" s="586"/>
      <c r="AR145" s="586"/>
      <c r="AS145" s="586"/>
      <c r="AT145" s="586"/>
      <c r="AU145" s="586"/>
      <c r="AV145" s="586"/>
      <c r="AW145" s="586"/>
      <c r="AX145" s="586"/>
      <c r="AY145" s="586"/>
      <c r="AZ145" s="586"/>
      <c r="BA145" s="586"/>
      <c r="BB145" s="586"/>
    </row>
    <row r="146" spans="1:54" s="574" customFormat="1" hidden="1">
      <c r="A146" s="576"/>
      <c r="B146" s="580"/>
      <c r="D146" s="580"/>
      <c r="E146" s="578"/>
      <c r="F146" s="579"/>
      <c r="G146" s="263"/>
      <c r="H146" s="263"/>
      <c r="I146" s="263"/>
      <c r="J146" s="263"/>
      <c r="K146" s="263"/>
      <c r="L146" s="263"/>
      <c r="M146" s="263"/>
      <c r="N146" s="263"/>
      <c r="O146" s="263"/>
      <c r="P146" s="263"/>
      <c r="Q146" s="263"/>
      <c r="R146" s="263"/>
      <c r="S146" s="263"/>
      <c r="T146" s="263"/>
      <c r="U146" s="263"/>
      <c r="V146" s="586"/>
      <c r="W146" s="586"/>
      <c r="X146" s="586"/>
      <c r="Y146" s="586"/>
      <c r="Z146" s="586"/>
      <c r="AA146" s="586"/>
      <c r="AB146" s="586"/>
      <c r="AC146" s="586"/>
      <c r="AD146" s="586"/>
      <c r="AE146" s="586"/>
      <c r="AF146" s="586"/>
      <c r="AG146" s="586"/>
      <c r="AH146" s="586"/>
      <c r="AI146" s="586"/>
      <c r="AJ146" s="586"/>
      <c r="AK146" s="586"/>
      <c r="AL146" s="586"/>
      <c r="AM146" s="586"/>
      <c r="AN146" s="586"/>
      <c r="AO146" s="586"/>
      <c r="AP146" s="586"/>
      <c r="AQ146" s="586"/>
      <c r="AR146" s="586"/>
      <c r="AS146" s="586"/>
      <c r="AT146" s="586"/>
      <c r="AU146" s="586"/>
      <c r="AV146" s="586"/>
      <c r="AW146" s="586"/>
      <c r="AX146" s="586"/>
      <c r="AY146" s="586"/>
      <c r="AZ146" s="586"/>
      <c r="BA146" s="586"/>
      <c r="BB146" s="586"/>
    </row>
    <row r="147" spans="1:54" s="574" customFormat="1" hidden="1">
      <c r="A147" s="576"/>
      <c r="B147" s="581"/>
      <c r="G147" s="263"/>
      <c r="H147" s="263"/>
      <c r="I147" s="263"/>
      <c r="J147" s="263"/>
      <c r="K147" s="263"/>
      <c r="L147" s="263"/>
      <c r="M147" s="263"/>
      <c r="N147" s="263"/>
      <c r="O147" s="263"/>
      <c r="P147" s="263"/>
      <c r="Q147" s="263"/>
      <c r="R147" s="263"/>
      <c r="S147" s="263"/>
      <c r="T147" s="263"/>
      <c r="U147" s="263"/>
      <c r="V147" s="586"/>
      <c r="W147" s="586"/>
      <c r="X147" s="586"/>
      <c r="Y147" s="586"/>
      <c r="Z147" s="586"/>
      <c r="AA147" s="586"/>
      <c r="AB147" s="586"/>
      <c r="AC147" s="586"/>
      <c r="AD147" s="586"/>
      <c r="AE147" s="586"/>
      <c r="AF147" s="586"/>
      <c r="AG147" s="586"/>
      <c r="AH147" s="586"/>
      <c r="AI147" s="586"/>
      <c r="AJ147" s="586"/>
      <c r="AK147" s="586"/>
      <c r="AL147" s="586"/>
      <c r="AM147" s="586"/>
      <c r="AN147" s="586"/>
      <c r="AO147" s="586"/>
      <c r="AP147" s="586"/>
      <c r="AQ147" s="586"/>
      <c r="AR147" s="586"/>
      <c r="AS147" s="586"/>
      <c r="AT147" s="586"/>
      <c r="AU147" s="586"/>
      <c r="AV147" s="586"/>
      <c r="AW147" s="586"/>
      <c r="AX147" s="586"/>
      <c r="AY147" s="586"/>
      <c r="AZ147" s="586"/>
      <c r="BA147" s="586"/>
      <c r="BB147" s="586"/>
    </row>
    <row r="148" spans="1:54" s="574" customFormat="1" hidden="1">
      <c r="G148" s="263"/>
      <c r="H148" s="263"/>
      <c r="I148" s="263"/>
      <c r="J148" s="263"/>
      <c r="K148" s="263"/>
      <c r="L148" s="263"/>
      <c r="M148" s="263"/>
      <c r="N148" s="263"/>
      <c r="O148" s="263"/>
      <c r="P148" s="263"/>
      <c r="Q148" s="263"/>
      <c r="R148" s="263"/>
      <c r="S148" s="263"/>
      <c r="T148" s="263"/>
      <c r="U148" s="263"/>
      <c r="V148" s="586"/>
      <c r="W148" s="586"/>
      <c r="X148" s="586"/>
      <c r="Y148" s="586"/>
      <c r="Z148" s="586"/>
      <c r="AA148" s="586"/>
      <c r="AB148" s="586"/>
      <c r="AC148" s="586"/>
      <c r="AD148" s="586"/>
      <c r="AE148" s="586"/>
      <c r="AF148" s="586"/>
      <c r="AG148" s="586"/>
      <c r="AH148" s="586"/>
      <c r="AI148" s="586"/>
      <c r="AJ148" s="586"/>
      <c r="AK148" s="586"/>
      <c r="AL148" s="586"/>
      <c r="AM148" s="586"/>
      <c r="AN148" s="586"/>
      <c r="AO148" s="586"/>
      <c r="AP148" s="586"/>
      <c r="AQ148" s="586"/>
      <c r="AR148" s="586"/>
      <c r="AS148" s="586"/>
      <c r="AT148" s="586"/>
      <c r="AU148" s="586"/>
      <c r="AV148" s="586"/>
      <c r="AW148" s="586"/>
      <c r="AX148" s="586"/>
      <c r="AY148" s="586"/>
      <c r="AZ148" s="586"/>
      <c r="BA148" s="586"/>
      <c r="BB148" s="586"/>
    </row>
    <row r="149" spans="1:54" s="574" customFormat="1" hidden="1">
      <c r="A149" s="576"/>
      <c r="B149" s="580"/>
      <c r="D149" s="580"/>
      <c r="E149" s="578"/>
      <c r="F149" s="579"/>
      <c r="G149" s="263"/>
      <c r="H149" s="263"/>
      <c r="I149" s="263"/>
      <c r="J149" s="263"/>
      <c r="K149" s="263"/>
      <c r="L149" s="263"/>
      <c r="M149" s="263"/>
      <c r="N149" s="263"/>
      <c r="O149" s="263"/>
      <c r="P149" s="263"/>
      <c r="Q149" s="263"/>
      <c r="R149" s="263"/>
      <c r="S149" s="263"/>
      <c r="T149" s="263"/>
      <c r="U149" s="263"/>
      <c r="V149" s="586"/>
      <c r="W149" s="586"/>
      <c r="X149" s="586"/>
      <c r="Y149" s="586"/>
      <c r="Z149" s="586"/>
      <c r="AA149" s="586"/>
      <c r="AB149" s="586"/>
      <c r="AC149" s="586"/>
      <c r="AD149" s="586"/>
      <c r="AE149" s="586"/>
      <c r="AF149" s="586"/>
      <c r="AG149" s="586"/>
      <c r="AH149" s="586"/>
      <c r="AI149" s="586"/>
      <c r="AJ149" s="586"/>
      <c r="AK149" s="586"/>
      <c r="AL149" s="586"/>
      <c r="AM149" s="586"/>
      <c r="AN149" s="586"/>
      <c r="AO149" s="586"/>
      <c r="AP149" s="586"/>
      <c r="AQ149" s="586"/>
      <c r="AR149" s="586"/>
      <c r="AS149" s="586"/>
      <c r="AT149" s="586"/>
      <c r="AU149" s="586"/>
      <c r="AV149" s="586"/>
      <c r="AW149" s="586"/>
      <c r="AX149" s="586"/>
      <c r="AY149" s="586"/>
      <c r="AZ149" s="586"/>
      <c r="BA149" s="586"/>
      <c r="BB149" s="586"/>
    </row>
    <row r="150" spans="1:54" s="574" customFormat="1" hidden="1">
      <c r="A150" s="576"/>
      <c r="B150" s="581"/>
      <c r="G150" s="263"/>
      <c r="H150" s="263"/>
      <c r="I150" s="263"/>
      <c r="J150" s="263"/>
      <c r="K150" s="263"/>
      <c r="L150" s="263"/>
      <c r="M150" s="263"/>
      <c r="N150" s="263"/>
      <c r="O150" s="263"/>
      <c r="P150" s="263"/>
      <c r="Q150" s="263"/>
      <c r="R150" s="263"/>
      <c r="S150" s="263"/>
      <c r="T150" s="263"/>
      <c r="U150" s="263"/>
      <c r="V150" s="586"/>
      <c r="W150" s="586"/>
      <c r="X150" s="586"/>
      <c r="Y150" s="586"/>
      <c r="Z150" s="586"/>
      <c r="AA150" s="586"/>
      <c r="AB150" s="586"/>
      <c r="AC150" s="586"/>
      <c r="AD150" s="586"/>
      <c r="AE150" s="586"/>
      <c r="AF150" s="586"/>
      <c r="AG150" s="586"/>
      <c r="AH150" s="586"/>
      <c r="AI150" s="586"/>
      <c r="AJ150" s="586"/>
      <c r="AK150" s="586"/>
      <c r="AL150" s="586"/>
      <c r="AM150" s="586"/>
      <c r="AN150" s="586"/>
      <c r="AO150" s="586"/>
      <c r="AP150" s="586"/>
      <c r="AQ150" s="586"/>
      <c r="AR150" s="586"/>
      <c r="AS150" s="586"/>
      <c r="AT150" s="586"/>
      <c r="AU150" s="586"/>
      <c r="AV150" s="586"/>
      <c r="AW150" s="586"/>
      <c r="AX150" s="586"/>
      <c r="AY150" s="586"/>
      <c r="AZ150" s="586"/>
      <c r="BA150" s="586"/>
      <c r="BB150" s="586"/>
    </row>
    <row r="151" spans="1:54" s="574" customFormat="1" hidden="1">
      <c r="G151" s="263"/>
      <c r="H151" s="263"/>
      <c r="I151" s="263"/>
      <c r="J151" s="263"/>
      <c r="K151" s="263"/>
      <c r="L151" s="263"/>
      <c r="M151" s="263"/>
      <c r="N151" s="263"/>
      <c r="O151" s="263"/>
      <c r="P151" s="263"/>
      <c r="Q151" s="263"/>
      <c r="R151" s="263"/>
      <c r="S151" s="263"/>
      <c r="T151" s="263"/>
      <c r="U151" s="263"/>
      <c r="V151" s="586"/>
      <c r="W151" s="586"/>
      <c r="X151" s="586"/>
      <c r="Y151" s="586"/>
      <c r="Z151" s="586"/>
      <c r="AA151" s="586"/>
      <c r="AB151" s="586"/>
      <c r="AC151" s="586"/>
      <c r="AD151" s="586"/>
      <c r="AE151" s="586"/>
      <c r="AF151" s="586"/>
      <c r="AG151" s="586"/>
      <c r="AH151" s="586"/>
      <c r="AI151" s="586"/>
      <c r="AJ151" s="586"/>
      <c r="AK151" s="586"/>
      <c r="AL151" s="586"/>
      <c r="AM151" s="586"/>
      <c r="AN151" s="586"/>
      <c r="AO151" s="586"/>
      <c r="AP151" s="586"/>
      <c r="AQ151" s="586"/>
      <c r="AR151" s="586"/>
      <c r="AS151" s="586"/>
      <c r="AT151" s="586"/>
      <c r="AU151" s="586"/>
      <c r="AV151" s="586"/>
      <c r="AW151" s="586"/>
      <c r="AX151" s="586"/>
      <c r="AY151" s="586"/>
      <c r="AZ151" s="586"/>
      <c r="BA151" s="586"/>
      <c r="BB151" s="586"/>
    </row>
    <row r="152" spans="1:54" s="574" customFormat="1" hidden="1">
      <c r="A152" s="576"/>
      <c r="B152" s="580"/>
      <c r="D152" s="580"/>
      <c r="E152" s="578"/>
      <c r="F152" s="579"/>
      <c r="G152" s="263"/>
      <c r="H152" s="263"/>
      <c r="I152" s="263"/>
      <c r="J152" s="263"/>
      <c r="K152" s="263"/>
      <c r="L152" s="263"/>
      <c r="M152" s="263"/>
      <c r="N152" s="263"/>
      <c r="O152" s="263"/>
      <c r="P152" s="263"/>
      <c r="Q152" s="263"/>
      <c r="R152" s="263"/>
      <c r="S152" s="263"/>
      <c r="T152" s="263"/>
      <c r="U152" s="263"/>
      <c r="V152" s="586"/>
      <c r="W152" s="586"/>
      <c r="X152" s="586"/>
      <c r="Y152" s="586"/>
      <c r="Z152" s="586"/>
      <c r="AA152" s="586"/>
      <c r="AB152" s="586"/>
      <c r="AC152" s="586"/>
      <c r="AD152" s="586"/>
      <c r="AE152" s="586"/>
      <c r="AF152" s="586"/>
      <c r="AG152" s="586"/>
      <c r="AH152" s="586"/>
      <c r="AI152" s="586"/>
      <c r="AJ152" s="586"/>
      <c r="AK152" s="586"/>
      <c r="AL152" s="586"/>
      <c r="AM152" s="586"/>
      <c r="AN152" s="586"/>
      <c r="AO152" s="586"/>
      <c r="AP152" s="586"/>
      <c r="AQ152" s="586"/>
      <c r="AR152" s="586"/>
      <c r="AS152" s="586"/>
      <c r="AT152" s="586"/>
      <c r="AU152" s="586"/>
      <c r="AV152" s="586"/>
      <c r="AW152" s="586"/>
      <c r="AX152" s="586"/>
      <c r="AY152" s="586"/>
      <c r="AZ152" s="586"/>
      <c r="BA152" s="586"/>
      <c r="BB152" s="586"/>
    </row>
    <row r="153" spans="1:54" s="574" customFormat="1" hidden="1">
      <c r="A153" s="576"/>
      <c r="B153" s="581"/>
      <c r="G153" s="263"/>
      <c r="H153" s="263"/>
      <c r="I153" s="263"/>
      <c r="J153" s="263"/>
      <c r="K153" s="263"/>
      <c r="L153" s="263"/>
      <c r="M153" s="263"/>
      <c r="N153" s="263"/>
      <c r="O153" s="263"/>
      <c r="P153" s="263"/>
      <c r="Q153" s="263"/>
      <c r="R153" s="263"/>
      <c r="S153" s="263"/>
      <c r="T153" s="263"/>
      <c r="U153" s="263"/>
      <c r="V153" s="586"/>
      <c r="W153" s="586"/>
      <c r="X153" s="586"/>
      <c r="Y153" s="586"/>
      <c r="Z153" s="586"/>
      <c r="AA153" s="586"/>
      <c r="AB153" s="586"/>
      <c r="AC153" s="586"/>
      <c r="AD153" s="586"/>
      <c r="AE153" s="586"/>
      <c r="AF153" s="586"/>
      <c r="AG153" s="586"/>
      <c r="AH153" s="586"/>
      <c r="AI153" s="586"/>
      <c r="AJ153" s="586"/>
      <c r="AK153" s="586"/>
      <c r="AL153" s="586"/>
      <c r="AM153" s="586"/>
      <c r="AN153" s="586"/>
      <c r="AO153" s="586"/>
      <c r="AP153" s="586"/>
      <c r="AQ153" s="586"/>
      <c r="AR153" s="586"/>
      <c r="AS153" s="586"/>
      <c r="AT153" s="586"/>
      <c r="AU153" s="586"/>
      <c r="AV153" s="586"/>
      <c r="AW153" s="586"/>
      <c r="AX153" s="586"/>
      <c r="AY153" s="586"/>
      <c r="AZ153" s="586"/>
      <c r="BA153" s="586"/>
      <c r="BB153" s="586"/>
    </row>
    <row r="154" spans="1:54" s="574" customFormat="1" hidden="1">
      <c r="G154" s="263"/>
      <c r="H154" s="263"/>
      <c r="I154" s="263"/>
      <c r="J154" s="263"/>
      <c r="K154" s="263"/>
      <c r="L154" s="263"/>
      <c r="M154" s="263"/>
      <c r="N154" s="263"/>
      <c r="O154" s="263"/>
      <c r="P154" s="263"/>
      <c r="Q154" s="263"/>
      <c r="R154" s="263"/>
      <c r="S154" s="263"/>
      <c r="T154" s="263"/>
      <c r="U154" s="263"/>
      <c r="V154" s="586"/>
      <c r="W154" s="586"/>
      <c r="X154" s="586"/>
      <c r="Y154" s="586"/>
      <c r="Z154" s="586"/>
      <c r="AA154" s="586"/>
      <c r="AB154" s="586"/>
      <c r="AC154" s="586"/>
      <c r="AD154" s="586"/>
      <c r="AE154" s="586"/>
      <c r="AF154" s="586"/>
      <c r="AG154" s="586"/>
      <c r="AH154" s="586"/>
      <c r="AI154" s="586"/>
      <c r="AJ154" s="586"/>
      <c r="AK154" s="586"/>
      <c r="AL154" s="586"/>
      <c r="AM154" s="586"/>
      <c r="AN154" s="586"/>
      <c r="AO154" s="586"/>
      <c r="AP154" s="586"/>
      <c r="AQ154" s="586"/>
      <c r="AR154" s="586"/>
      <c r="AS154" s="586"/>
      <c r="AT154" s="586"/>
      <c r="AU154" s="586"/>
      <c r="AV154" s="586"/>
      <c r="AW154" s="586"/>
      <c r="AX154" s="586"/>
      <c r="AY154" s="586"/>
      <c r="AZ154" s="586"/>
      <c r="BA154" s="586"/>
      <c r="BB154" s="586"/>
    </row>
    <row r="155" spans="1:54" s="574" customFormat="1" hidden="1">
      <c r="A155" s="576"/>
      <c r="B155" s="580"/>
      <c r="D155" s="580"/>
      <c r="E155" s="578"/>
      <c r="F155" s="579"/>
      <c r="G155" s="263"/>
      <c r="H155" s="263"/>
      <c r="I155" s="263"/>
      <c r="J155" s="263"/>
      <c r="K155" s="263"/>
      <c r="L155" s="263"/>
      <c r="M155" s="263"/>
      <c r="N155" s="263"/>
      <c r="O155" s="263"/>
      <c r="P155" s="263"/>
      <c r="Q155" s="263"/>
      <c r="R155" s="263"/>
      <c r="S155" s="263"/>
      <c r="T155" s="263"/>
      <c r="U155" s="263"/>
      <c r="V155" s="586"/>
      <c r="W155" s="586"/>
      <c r="X155" s="586"/>
      <c r="Y155" s="586"/>
      <c r="Z155" s="586"/>
      <c r="AA155" s="586"/>
      <c r="AB155" s="586"/>
      <c r="AC155" s="586"/>
      <c r="AD155" s="586"/>
      <c r="AE155" s="586"/>
      <c r="AF155" s="586"/>
      <c r="AG155" s="586"/>
      <c r="AH155" s="586"/>
      <c r="AI155" s="586"/>
      <c r="AJ155" s="586"/>
      <c r="AK155" s="586"/>
      <c r="AL155" s="586"/>
      <c r="AM155" s="586"/>
      <c r="AN155" s="586"/>
      <c r="AO155" s="586"/>
      <c r="AP155" s="586"/>
      <c r="AQ155" s="586"/>
      <c r="AR155" s="586"/>
      <c r="AS155" s="586"/>
      <c r="AT155" s="586"/>
      <c r="AU155" s="586"/>
      <c r="AV155" s="586"/>
      <c r="AW155" s="586"/>
      <c r="AX155" s="586"/>
      <c r="AY155" s="586"/>
      <c r="AZ155" s="586"/>
      <c r="BA155" s="586"/>
      <c r="BB155" s="586"/>
    </row>
    <row r="156" spans="1:54" s="574" customFormat="1" hidden="1">
      <c r="A156" s="576"/>
      <c r="B156" s="581"/>
      <c r="G156" s="263"/>
      <c r="H156" s="263"/>
      <c r="I156" s="263"/>
      <c r="J156" s="263"/>
      <c r="K156" s="263"/>
      <c r="L156" s="263"/>
      <c r="M156" s="263"/>
      <c r="N156" s="263"/>
      <c r="O156" s="263"/>
      <c r="P156" s="263"/>
      <c r="Q156" s="263"/>
      <c r="R156" s="263"/>
      <c r="S156" s="263"/>
      <c r="T156" s="263"/>
      <c r="U156" s="263"/>
      <c r="V156" s="586"/>
      <c r="W156" s="586"/>
      <c r="X156" s="586"/>
      <c r="Y156" s="586"/>
      <c r="Z156" s="586"/>
      <c r="AA156" s="586"/>
      <c r="AB156" s="586"/>
      <c r="AC156" s="586"/>
      <c r="AD156" s="586"/>
      <c r="AE156" s="586"/>
      <c r="AF156" s="586"/>
      <c r="AG156" s="586"/>
      <c r="AH156" s="586"/>
      <c r="AI156" s="586"/>
      <c r="AJ156" s="586"/>
      <c r="AK156" s="586"/>
      <c r="AL156" s="586"/>
      <c r="AM156" s="586"/>
      <c r="AN156" s="586"/>
      <c r="AO156" s="586"/>
      <c r="AP156" s="586"/>
      <c r="AQ156" s="586"/>
      <c r="AR156" s="586"/>
      <c r="AS156" s="586"/>
      <c r="AT156" s="586"/>
      <c r="AU156" s="586"/>
      <c r="AV156" s="586"/>
      <c r="AW156" s="586"/>
      <c r="AX156" s="586"/>
      <c r="AY156" s="586"/>
      <c r="AZ156" s="586"/>
      <c r="BA156" s="586"/>
      <c r="BB156" s="586"/>
    </row>
    <row r="157" spans="1:54" s="574" customFormat="1" hidden="1">
      <c r="G157" s="263"/>
      <c r="H157" s="263"/>
      <c r="I157" s="263"/>
      <c r="J157" s="263"/>
      <c r="K157" s="263"/>
      <c r="L157" s="263"/>
      <c r="M157" s="263"/>
      <c r="N157" s="263"/>
      <c r="O157" s="263"/>
      <c r="P157" s="263"/>
      <c r="Q157" s="263"/>
      <c r="R157" s="263"/>
      <c r="S157" s="263"/>
      <c r="T157" s="263"/>
      <c r="U157" s="263"/>
      <c r="V157" s="586"/>
      <c r="W157" s="586"/>
      <c r="X157" s="586"/>
      <c r="Y157" s="586"/>
      <c r="Z157" s="586"/>
      <c r="AA157" s="586"/>
      <c r="AB157" s="586"/>
      <c r="AC157" s="586"/>
      <c r="AD157" s="586"/>
      <c r="AE157" s="586"/>
      <c r="AF157" s="586"/>
      <c r="AG157" s="586"/>
      <c r="AH157" s="586"/>
      <c r="AI157" s="586"/>
      <c r="AJ157" s="586"/>
      <c r="AK157" s="586"/>
      <c r="AL157" s="586"/>
      <c r="AM157" s="586"/>
      <c r="AN157" s="586"/>
      <c r="AO157" s="586"/>
      <c r="AP157" s="586"/>
      <c r="AQ157" s="586"/>
      <c r="AR157" s="586"/>
      <c r="AS157" s="586"/>
      <c r="AT157" s="586"/>
      <c r="AU157" s="586"/>
      <c r="AV157" s="586"/>
      <c r="AW157" s="586"/>
      <c r="AX157" s="586"/>
      <c r="AY157" s="586"/>
      <c r="AZ157" s="586"/>
      <c r="BA157" s="586"/>
      <c r="BB157" s="586"/>
    </row>
    <row r="158" spans="1:54" s="574" customFormat="1" hidden="1">
      <c r="A158" s="576"/>
      <c r="B158" s="580"/>
      <c r="D158" s="580"/>
      <c r="E158" s="578"/>
      <c r="F158" s="579"/>
      <c r="G158" s="263"/>
      <c r="H158" s="263"/>
      <c r="I158" s="263"/>
      <c r="J158" s="263"/>
      <c r="K158" s="263"/>
      <c r="L158" s="263"/>
      <c r="M158" s="263"/>
      <c r="N158" s="263"/>
      <c r="O158" s="263"/>
      <c r="P158" s="263"/>
      <c r="Q158" s="263"/>
      <c r="R158" s="263"/>
      <c r="S158" s="263"/>
      <c r="T158" s="263"/>
      <c r="U158" s="263"/>
      <c r="V158" s="586"/>
      <c r="W158" s="586"/>
      <c r="X158" s="586"/>
      <c r="Y158" s="586"/>
      <c r="Z158" s="586"/>
      <c r="AA158" s="586"/>
      <c r="AB158" s="586"/>
      <c r="AC158" s="586"/>
      <c r="AD158" s="586"/>
      <c r="AE158" s="586"/>
      <c r="AF158" s="586"/>
      <c r="AG158" s="586"/>
      <c r="AH158" s="586"/>
      <c r="AI158" s="586"/>
      <c r="AJ158" s="586"/>
      <c r="AK158" s="586"/>
      <c r="AL158" s="586"/>
      <c r="AM158" s="586"/>
      <c r="AN158" s="586"/>
      <c r="AO158" s="586"/>
      <c r="AP158" s="586"/>
      <c r="AQ158" s="586"/>
      <c r="AR158" s="586"/>
      <c r="AS158" s="586"/>
      <c r="AT158" s="586"/>
      <c r="AU158" s="586"/>
      <c r="AV158" s="586"/>
      <c r="AW158" s="586"/>
      <c r="AX158" s="586"/>
      <c r="AY158" s="586"/>
      <c r="AZ158" s="586"/>
      <c r="BA158" s="586"/>
      <c r="BB158" s="586"/>
    </row>
    <row r="159" spans="1:54" s="574" customFormat="1" hidden="1">
      <c r="A159" s="576"/>
      <c r="B159" s="581"/>
      <c r="G159" s="263"/>
      <c r="H159" s="263"/>
      <c r="I159" s="263"/>
      <c r="J159" s="263"/>
      <c r="K159" s="263"/>
      <c r="L159" s="263"/>
      <c r="M159" s="263"/>
      <c r="N159" s="263"/>
      <c r="O159" s="263"/>
      <c r="P159" s="263"/>
      <c r="Q159" s="263"/>
      <c r="R159" s="263"/>
      <c r="S159" s="263"/>
      <c r="T159" s="263"/>
      <c r="U159" s="263"/>
      <c r="V159" s="586"/>
      <c r="W159" s="586"/>
      <c r="X159" s="586"/>
      <c r="Y159" s="586"/>
      <c r="Z159" s="586"/>
      <c r="AA159" s="586"/>
      <c r="AB159" s="586"/>
      <c r="AC159" s="586"/>
      <c r="AD159" s="586"/>
      <c r="AE159" s="586"/>
      <c r="AF159" s="586"/>
      <c r="AG159" s="586"/>
      <c r="AH159" s="586"/>
      <c r="AI159" s="586"/>
      <c r="AJ159" s="586"/>
      <c r="AK159" s="586"/>
      <c r="AL159" s="586"/>
      <c r="AM159" s="586"/>
      <c r="AN159" s="586"/>
      <c r="AO159" s="586"/>
      <c r="AP159" s="586"/>
      <c r="AQ159" s="586"/>
      <c r="AR159" s="586"/>
      <c r="AS159" s="586"/>
      <c r="AT159" s="586"/>
      <c r="AU159" s="586"/>
      <c r="AV159" s="586"/>
      <c r="AW159" s="586"/>
      <c r="AX159" s="586"/>
      <c r="AY159" s="586"/>
      <c r="AZ159" s="586"/>
      <c r="BA159" s="586"/>
      <c r="BB159" s="586"/>
    </row>
    <row r="160" spans="1:54" s="574" customFormat="1" hidden="1">
      <c r="G160" s="263"/>
      <c r="H160" s="263"/>
      <c r="I160" s="263"/>
      <c r="J160" s="263"/>
      <c r="K160" s="263"/>
      <c r="L160" s="263"/>
      <c r="M160" s="263"/>
      <c r="N160" s="263"/>
      <c r="O160" s="263"/>
      <c r="P160" s="263"/>
      <c r="Q160" s="263"/>
      <c r="R160" s="263"/>
      <c r="S160" s="263"/>
      <c r="T160" s="263"/>
      <c r="U160" s="263"/>
      <c r="V160" s="586"/>
      <c r="W160" s="586"/>
      <c r="X160" s="586"/>
      <c r="Y160" s="586"/>
      <c r="Z160" s="586"/>
      <c r="AA160" s="586"/>
      <c r="AB160" s="586"/>
      <c r="AC160" s="586"/>
      <c r="AD160" s="586"/>
      <c r="AE160" s="586"/>
      <c r="AF160" s="586"/>
      <c r="AG160" s="586"/>
      <c r="AH160" s="586"/>
      <c r="AI160" s="586"/>
      <c r="AJ160" s="586"/>
      <c r="AK160" s="586"/>
      <c r="AL160" s="586"/>
      <c r="AM160" s="586"/>
      <c r="AN160" s="586"/>
      <c r="AO160" s="586"/>
      <c r="AP160" s="586"/>
      <c r="AQ160" s="586"/>
      <c r="AR160" s="586"/>
      <c r="AS160" s="586"/>
      <c r="AT160" s="586"/>
      <c r="AU160" s="586"/>
      <c r="AV160" s="586"/>
      <c r="AW160" s="586"/>
      <c r="AX160" s="586"/>
      <c r="AY160" s="586"/>
      <c r="AZ160" s="586"/>
      <c r="BA160" s="586"/>
      <c r="BB160" s="586"/>
    </row>
    <row r="161" spans="1:54" s="574" customFormat="1" hidden="1">
      <c r="A161" s="576"/>
      <c r="B161" s="580"/>
      <c r="D161" s="580"/>
      <c r="E161" s="578"/>
      <c r="F161" s="579"/>
      <c r="G161" s="263"/>
      <c r="H161" s="263"/>
      <c r="I161" s="263"/>
      <c r="J161" s="263"/>
      <c r="K161" s="263"/>
      <c r="L161" s="263"/>
      <c r="M161" s="263"/>
      <c r="N161" s="263"/>
      <c r="O161" s="263"/>
      <c r="P161" s="263"/>
      <c r="Q161" s="263"/>
      <c r="R161" s="263"/>
      <c r="S161" s="263"/>
      <c r="T161" s="263"/>
      <c r="U161" s="263"/>
      <c r="V161" s="586"/>
      <c r="W161" s="586"/>
      <c r="X161" s="586"/>
      <c r="Y161" s="586"/>
      <c r="Z161" s="586"/>
      <c r="AA161" s="586"/>
      <c r="AB161" s="586"/>
      <c r="AC161" s="586"/>
      <c r="AD161" s="586"/>
      <c r="AE161" s="586"/>
      <c r="AF161" s="586"/>
      <c r="AG161" s="586"/>
      <c r="AH161" s="586"/>
      <c r="AI161" s="586"/>
      <c r="AJ161" s="586"/>
      <c r="AK161" s="586"/>
      <c r="AL161" s="586"/>
      <c r="AM161" s="586"/>
      <c r="AN161" s="586"/>
      <c r="AO161" s="586"/>
      <c r="AP161" s="586"/>
      <c r="AQ161" s="586"/>
      <c r="AR161" s="586"/>
      <c r="AS161" s="586"/>
      <c r="AT161" s="586"/>
      <c r="AU161" s="586"/>
      <c r="AV161" s="586"/>
      <c r="AW161" s="586"/>
      <c r="AX161" s="586"/>
      <c r="AY161" s="586"/>
      <c r="AZ161" s="586"/>
      <c r="BA161" s="586"/>
      <c r="BB161" s="586"/>
    </row>
    <row r="162" spans="1:54" s="574" customFormat="1" hidden="1">
      <c r="A162" s="576"/>
      <c r="B162" s="581"/>
      <c r="G162" s="263"/>
      <c r="H162" s="263"/>
      <c r="I162" s="263"/>
      <c r="J162" s="263"/>
      <c r="K162" s="263"/>
      <c r="L162" s="263"/>
      <c r="M162" s="263"/>
      <c r="N162" s="263"/>
      <c r="O162" s="263"/>
      <c r="P162" s="263"/>
      <c r="Q162" s="263"/>
      <c r="R162" s="263"/>
      <c r="S162" s="263"/>
      <c r="T162" s="263"/>
      <c r="U162" s="263"/>
      <c r="V162" s="586"/>
      <c r="W162" s="586"/>
      <c r="X162" s="586"/>
      <c r="Y162" s="586"/>
      <c r="Z162" s="586"/>
      <c r="AA162" s="586"/>
      <c r="AB162" s="586"/>
      <c r="AC162" s="586"/>
      <c r="AD162" s="586"/>
      <c r="AE162" s="586"/>
      <c r="AF162" s="586"/>
      <c r="AG162" s="586"/>
      <c r="AH162" s="586"/>
      <c r="AI162" s="586"/>
      <c r="AJ162" s="586"/>
      <c r="AK162" s="586"/>
      <c r="AL162" s="586"/>
      <c r="AM162" s="586"/>
      <c r="AN162" s="586"/>
      <c r="AO162" s="586"/>
      <c r="AP162" s="586"/>
      <c r="AQ162" s="586"/>
      <c r="AR162" s="586"/>
      <c r="AS162" s="586"/>
      <c r="AT162" s="586"/>
      <c r="AU162" s="586"/>
      <c r="AV162" s="586"/>
      <c r="AW162" s="586"/>
      <c r="AX162" s="586"/>
      <c r="AY162" s="586"/>
      <c r="AZ162" s="586"/>
      <c r="BA162" s="586"/>
      <c r="BB162" s="586"/>
    </row>
    <row r="163" spans="1:54" s="574" customFormat="1" hidden="1">
      <c r="G163" s="263"/>
      <c r="H163" s="263"/>
      <c r="I163" s="263"/>
      <c r="J163" s="263"/>
      <c r="K163" s="263"/>
      <c r="L163" s="263"/>
      <c r="M163" s="263"/>
      <c r="N163" s="263"/>
      <c r="O163" s="263"/>
      <c r="P163" s="263"/>
      <c r="Q163" s="263"/>
      <c r="R163" s="263"/>
      <c r="S163" s="263"/>
      <c r="T163" s="263"/>
      <c r="U163" s="263"/>
      <c r="V163" s="586"/>
      <c r="W163" s="586"/>
      <c r="X163" s="586"/>
      <c r="Y163" s="586"/>
      <c r="Z163" s="586"/>
      <c r="AA163" s="586"/>
      <c r="AB163" s="586"/>
      <c r="AC163" s="586"/>
      <c r="AD163" s="586"/>
      <c r="AE163" s="586"/>
      <c r="AF163" s="586"/>
      <c r="AG163" s="586"/>
      <c r="AH163" s="586"/>
      <c r="AI163" s="586"/>
      <c r="AJ163" s="586"/>
      <c r="AK163" s="586"/>
      <c r="AL163" s="586"/>
      <c r="AM163" s="586"/>
      <c r="AN163" s="586"/>
      <c r="AO163" s="586"/>
      <c r="AP163" s="586"/>
      <c r="AQ163" s="586"/>
      <c r="AR163" s="586"/>
      <c r="AS163" s="586"/>
      <c r="AT163" s="586"/>
      <c r="AU163" s="586"/>
      <c r="AV163" s="586"/>
      <c r="AW163" s="586"/>
      <c r="AX163" s="586"/>
      <c r="AY163" s="586"/>
      <c r="AZ163" s="586"/>
      <c r="BA163" s="586"/>
      <c r="BB163" s="586"/>
    </row>
    <row r="164" spans="1:54" s="574" customFormat="1" hidden="1">
      <c r="A164" s="576"/>
      <c r="B164" s="580"/>
      <c r="D164" s="580"/>
      <c r="E164" s="578"/>
      <c r="F164" s="579"/>
      <c r="G164" s="263"/>
      <c r="H164" s="263"/>
      <c r="I164" s="263"/>
      <c r="J164" s="263"/>
      <c r="K164" s="263"/>
      <c r="L164" s="263"/>
      <c r="M164" s="263"/>
      <c r="N164" s="263"/>
      <c r="O164" s="263"/>
      <c r="P164" s="263"/>
      <c r="Q164" s="263"/>
      <c r="R164" s="263"/>
      <c r="S164" s="263"/>
      <c r="T164" s="263"/>
      <c r="U164" s="263"/>
      <c r="V164" s="586"/>
      <c r="W164" s="586"/>
      <c r="X164" s="586"/>
      <c r="Y164" s="586"/>
      <c r="Z164" s="586"/>
      <c r="AA164" s="586"/>
      <c r="AB164" s="586"/>
      <c r="AC164" s="586"/>
      <c r="AD164" s="586"/>
      <c r="AE164" s="586"/>
      <c r="AF164" s="586"/>
      <c r="AG164" s="586"/>
      <c r="AH164" s="586"/>
      <c r="AI164" s="586"/>
      <c r="AJ164" s="586"/>
      <c r="AK164" s="586"/>
      <c r="AL164" s="586"/>
      <c r="AM164" s="586"/>
      <c r="AN164" s="586"/>
      <c r="AO164" s="586"/>
      <c r="AP164" s="586"/>
      <c r="AQ164" s="586"/>
      <c r="AR164" s="586"/>
      <c r="AS164" s="586"/>
      <c r="AT164" s="586"/>
      <c r="AU164" s="586"/>
      <c r="AV164" s="586"/>
      <c r="AW164" s="586"/>
      <c r="AX164" s="586"/>
      <c r="AY164" s="586"/>
      <c r="AZ164" s="586"/>
      <c r="BA164" s="586"/>
      <c r="BB164" s="586"/>
    </row>
    <row r="165" spans="1:54" s="574" customFormat="1" hidden="1">
      <c r="A165" s="576"/>
      <c r="B165" s="581"/>
      <c r="G165" s="263"/>
      <c r="H165" s="263"/>
      <c r="I165" s="263"/>
      <c r="J165" s="263"/>
      <c r="K165" s="263"/>
      <c r="L165" s="263"/>
      <c r="M165" s="263"/>
      <c r="N165" s="263"/>
      <c r="O165" s="263"/>
      <c r="P165" s="263"/>
      <c r="Q165" s="263"/>
      <c r="R165" s="263"/>
      <c r="S165" s="263"/>
      <c r="T165" s="263"/>
      <c r="U165" s="263"/>
      <c r="V165" s="586"/>
      <c r="W165" s="586"/>
      <c r="X165" s="586"/>
      <c r="Y165" s="586"/>
      <c r="Z165" s="586"/>
      <c r="AA165" s="586"/>
      <c r="AB165" s="586"/>
      <c r="AC165" s="586"/>
      <c r="AD165" s="586"/>
      <c r="AE165" s="586"/>
      <c r="AF165" s="586"/>
      <c r="AG165" s="586"/>
      <c r="AH165" s="586"/>
      <c r="AI165" s="586"/>
      <c r="AJ165" s="586"/>
      <c r="AK165" s="586"/>
      <c r="AL165" s="586"/>
      <c r="AM165" s="586"/>
      <c r="AN165" s="586"/>
      <c r="AO165" s="586"/>
      <c r="AP165" s="586"/>
      <c r="AQ165" s="586"/>
      <c r="AR165" s="586"/>
      <c r="AS165" s="586"/>
      <c r="AT165" s="586"/>
      <c r="AU165" s="586"/>
      <c r="AV165" s="586"/>
      <c r="AW165" s="586"/>
      <c r="AX165" s="586"/>
      <c r="AY165" s="586"/>
      <c r="AZ165" s="586"/>
      <c r="BA165" s="586"/>
      <c r="BB165" s="586"/>
    </row>
    <row r="166" spans="1:54" s="574" customFormat="1" hidden="1">
      <c r="G166" s="263"/>
      <c r="H166" s="263"/>
      <c r="I166" s="263"/>
      <c r="J166" s="263"/>
      <c r="K166" s="263"/>
      <c r="L166" s="263"/>
      <c r="M166" s="263"/>
      <c r="N166" s="263"/>
      <c r="O166" s="263"/>
      <c r="P166" s="263"/>
      <c r="Q166" s="263"/>
      <c r="R166" s="263"/>
      <c r="S166" s="263"/>
      <c r="T166" s="263"/>
      <c r="U166" s="263"/>
      <c r="V166" s="586"/>
      <c r="W166" s="586"/>
      <c r="X166" s="586"/>
      <c r="Y166" s="586"/>
      <c r="Z166" s="586"/>
      <c r="AA166" s="586"/>
      <c r="AB166" s="586"/>
      <c r="AC166" s="586"/>
      <c r="AD166" s="586"/>
      <c r="AE166" s="586"/>
      <c r="AF166" s="586"/>
      <c r="AG166" s="586"/>
      <c r="AH166" s="586"/>
      <c r="AI166" s="586"/>
      <c r="AJ166" s="586"/>
      <c r="AK166" s="586"/>
      <c r="AL166" s="586"/>
      <c r="AM166" s="586"/>
      <c r="AN166" s="586"/>
      <c r="AO166" s="586"/>
      <c r="AP166" s="586"/>
      <c r="AQ166" s="586"/>
      <c r="AR166" s="586"/>
      <c r="AS166" s="586"/>
      <c r="AT166" s="586"/>
      <c r="AU166" s="586"/>
      <c r="AV166" s="586"/>
      <c r="AW166" s="586"/>
      <c r="AX166" s="586"/>
      <c r="AY166" s="586"/>
      <c r="AZ166" s="586"/>
      <c r="BA166" s="586"/>
      <c r="BB166" s="586"/>
    </row>
    <row r="167" spans="1:54" s="574" customFormat="1" hidden="1">
      <c r="A167" s="576"/>
      <c r="B167" s="580"/>
      <c r="D167" s="580"/>
      <c r="E167" s="578"/>
      <c r="F167" s="579"/>
      <c r="G167" s="263"/>
      <c r="H167" s="263"/>
      <c r="I167" s="263"/>
      <c r="J167" s="263"/>
      <c r="K167" s="263"/>
      <c r="L167" s="263"/>
      <c r="M167" s="263"/>
      <c r="N167" s="263"/>
      <c r="O167" s="263"/>
      <c r="P167" s="263"/>
      <c r="Q167" s="263"/>
      <c r="R167" s="263"/>
      <c r="S167" s="263"/>
      <c r="T167" s="263"/>
      <c r="U167" s="263"/>
      <c r="V167" s="586"/>
      <c r="W167" s="586"/>
      <c r="X167" s="586"/>
      <c r="Y167" s="586"/>
      <c r="Z167" s="586"/>
      <c r="AA167" s="586"/>
      <c r="AB167" s="586"/>
      <c r="AC167" s="586"/>
      <c r="AD167" s="586"/>
      <c r="AE167" s="586"/>
      <c r="AF167" s="586"/>
      <c r="AG167" s="586"/>
      <c r="AH167" s="586"/>
      <c r="AI167" s="586"/>
      <c r="AJ167" s="586"/>
      <c r="AK167" s="586"/>
      <c r="AL167" s="586"/>
      <c r="AM167" s="586"/>
      <c r="AN167" s="586"/>
      <c r="AO167" s="586"/>
      <c r="AP167" s="586"/>
      <c r="AQ167" s="586"/>
      <c r="AR167" s="586"/>
      <c r="AS167" s="586"/>
      <c r="AT167" s="586"/>
      <c r="AU167" s="586"/>
      <c r="AV167" s="586"/>
      <c r="AW167" s="586"/>
      <c r="AX167" s="586"/>
      <c r="AY167" s="586"/>
      <c r="AZ167" s="586"/>
      <c r="BA167" s="586"/>
      <c r="BB167" s="586"/>
    </row>
    <row r="168" spans="1:54" s="574" customFormat="1" hidden="1">
      <c r="A168" s="576"/>
      <c r="B168" s="581"/>
      <c r="G168" s="263"/>
      <c r="H168" s="263"/>
      <c r="I168" s="263"/>
      <c r="J168" s="263"/>
      <c r="K168" s="263"/>
      <c r="L168" s="263"/>
      <c r="M168" s="263"/>
      <c r="N168" s="263"/>
      <c r="O168" s="263"/>
      <c r="P168" s="263"/>
      <c r="Q168" s="263"/>
      <c r="R168" s="263"/>
      <c r="S168" s="263"/>
      <c r="T168" s="263"/>
      <c r="U168" s="263"/>
      <c r="V168" s="586"/>
      <c r="W168" s="586"/>
      <c r="X168" s="586"/>
      <c r="Y168" s="586"/>
      <c r="Z168" s="586"/>
      <c r="AA168" s="586"/>
      <c r="AB168" s="586"/>
      <c r="AC168" s="586"/>
      <c r="AD168" s="586"/>
      <c r="AE168" s="586"/>
      <c r="AF168" s="586"/>
      <c r="AG168" s="586"/>
      <c r="AH168" s="586"/>
      <c r="AI168" s="586"/>
      <c r="AJ168" s="586"/>
      <c r="AK168" s="586"/>
      <c r="AL168" s="586"/>
      <c r="AM168" s="586"/>
      <c r="AN168" s="586"/>
      <c r="AO168" s="586"/>
      <c r="AP168" s="586"/>
      <c r="AQ168" s="586"/>
      <c r="AR168" s="586"/>
      <c r="AS168" s="586"/>
      <c r="AT168" s="586"/>
      <c r="AU168" s="586"/>
      <c r="AV168" s="586"/>
      <c r="AW168" s="586"/>
      <c r="AX168" s="586"/>
      <c r="AY168" s="586"/>
      <c r="AZ168" s="586"/>
      <c r="BA168" s="586"/>
      <c r="BB168" s="586"/>
    </row>
    <row r="169" spans="1:54" s="574" customFormat="1" hidden="1">
      <c r="G169" s="263"/>
      <c r="H169" s="263"/>
      <c r="I169" s="263"/>
      <c r="J169" s="263"/>
      <c r="K169" s="263"/>
      <c r="L169" s="263"/>
      <c r="M169" s="263"/>
      <c r="N169" s="263"/>
      <c r="O169" s="263"/>
      <c r="P169" s="263"/>
      <c r="Q169" s="263"/>
      <c r="R169" s="263"/>
      <c r="S169" s="263"/>
      <c r="T169" s="263"/>
      <c r="U169" s="263"/>
      <c r="V169" s="586"/>
      <c r="W169" s="586"/>
      <c r="X169" s="586"/>
      <c r="Y169" s="586"/>
      <c r="Z169" s="586"/>
      <c r="AA169" s="586"/>
      <c r="AB169" s="586"/>
      <c r="AC169" s="586"/>
      <c r="AD169" s="586"/>
      <c r="AE169" s="586"/>
      <c r="AF169" s="586"/>
      <c r="AG169" s="586"/>
      <c r="AH169" s="586"/>
      <c r="AI169" s="586"/>
      <c r="AJ169" s="586"/>
      <c r="AK169" s="586"/>
      <c r="AL169" s="586"/>
      <c r="AM169" s="586"/>
      <c r="AN169" s="586"/>
      <c r="AO169" s="586"/>
      <c r="AP169" s="586"/>
      <c r="AQ169" s="586"/>
      <c r="AR169" s="586"/>
      <c r="AS169" s="586"/>
      <c r="AT169" s="586"/>
      <c r="AU169" s="586"/>
      <c r="AV169" s="586"/>
      <c r="AW169" s="586"/>
      <c r="AX169" s="586"/>
      <c r="AY169" s="586"/>
      <c r="AZ169" s="586"/>
      <c r="BA169" s="586"/>
      <c r="BB169" s="586"/>
    </row>
    <row r="170" spans="1:54" s="574" customFormat="1" hidden="1">
      <c r="A170" s="576"/>
      <c r="B170" s="580"/>
      <c r="D170" s="580"/>
      <c r="E170" s="578"/>
      <c r="F170" s="579"/>
      <c r="G170" s="263"/>
      <c r="H170" s="263"/>
      <c r="I170" s="263"/>
      <c r="J170" s="263"/>
      <c r="K170" s="263"/>
      <c r="L170" s="263"/>
      <c r="M170" s="263"/>
      <c r="N170" s="263"/>
      <c r="O170" s="263"/>
      <c r="P170" s="263"/>
      <c r="Q170" s="263"/>
      <c r="R170" s="263"/>
      <c r="S170" s="263"/>
      <c r="T170" s="263"/>
      <c r="U170" s="263"/>
      <c r="V170" s="586"/>
      <c r="W170" s="586"/>
      <c r="X170" s="586"/>
      <c r="Y170" s="586"/>
      <c r="Z170" s="586"/>
      <c r="AA170" s="586"/>
      <c r="AB170" s="586"/>
      <c r="AC170" s="586"/>
      <c r="AD170" s="586"/>
      <c r="AE170" s="586"/>
      <c r="AF170" s="586"/>
      <c r="AG170" s="586"/>
      <c r="AH170" s="586"/>
      <c r="AI170" s="586"/>
      <c r="AJ170" s="586"/>
      <c r="AK170" s="586"/>
      <c r="AL170" s="586"/>
      <c r="AM170" s="586"/>
      <c r="AN170" s="586"/>
      <c r="AO170" s="586"/>
      <c r="AP170" s="586"/>
      <c r="AQ170" s="586"/>
      <c r="AR170" s="586"/>
      <c r="AS170" s="586"/>
      <c r="AT170" s="586"/>
      <c r="AU170" s="586"/>
      <c r="AV170" s="586"/>
      <c r="AW170" s="586"/>
      <c r="AX170" s="586"/>
      <c r="AY170" s="586"/>
      <c r="AZ170" s="586"/>
      <c r="BA170" s="586"/>
      <c r="BB170" s="586"/>
    </row>
    <row r="171" spans="1:54" s="574" customFormat="1" hidden="1">
      <c r="A171" s="576"/>
      <c r="B171" s="581"/>
      <c r="G171" s="263"/>
      <c r="H171" s="263"/>
      <c r="I171" s="263"/>
      <c r="J171" s="263"/>
      <c r="K171" s="263"/>
      <c r="L171" s="263"/>
      <c r="M171" s="263"/>
      <c r="N171" s="263"/>
      <c r="O171" s="263"/>
      <c r="P171" s="263"/>
      <c r="Q171" s="263"/>
      <c r="R171" s="263"/>
      <c r="S171" s="263"/>
      <c r="T171" s="263"/>
      <c r="U171" s="263"/>
      <c r="V171" s="586"/>
      <c r="W171" s="586"/>
      <c r="X171" s="586"/>
      <c r="Y171" s="586"/>
      <c r="Z171" s="586"/>
      <c r="AA171" s="586"/>
      <c r="AB171" s="586"/>
      <c r="AC171" s="586"/>
      <c r="AD171" s="586"/>
      <c r="AE171" s="586"/>
      <c r="AF171" s="586"/>
      <c r="AG171" s="586"/>
      <c r="AH171" s="586"/>
      <c r="AI171" s="586"/>
      <c r="AJ171" s="586"/>
      <c r="AK171" s="586"/>
      <c r="AL171" s="586"/>
      <c r="AM171" s="586"/>
      <c r="AN171" s="586"/>
      <c r="AO171" s="586"/>
      <c r="AP171" s="586"/>
      <c r="AQ171" s="586"/>
      <c r="AR171" s="586"/>
      <c r="AS171" s="586"/>
      <c r="AT171" s="586"/>
      <c r="AU171" s="586"/>
      <c r="AV171" s="586"/>
      <c r="AW171" s="586"/>
      <c r="AX171" s="586"/>
      <c r="AY171" s="586"/>
      <c r="AZ171" s="586"/>
      <c r="BA171" s="586"/>
      <c r="BB171" s="586"/>
    </row>
    <row r="172" spans="1:54" s="574" customFormat="1" hidden="1">
      <c r="G172" s="263"/>
      <c r="H172" s="263"/>
      <c r="I172" s="263"/>
      <c r="J172" s="263"/>
      <c r="K172" s="263"/>
      <c r="L172" s="263"/>
      <c r="M172" s="263"/>
      <c r="N172" s="263"/>
      <c r="O172" s="263"/>
      <c r="P172" s="263"/>
      <c r="Q172" s="263"/>
      <c r="R172" s="263"/>
      <c r="S172" s="263"/>
      <c r="T172" s="263"/>
      <c r="U172" s="263"/>
      <c r="V172" s="586"/>
      <c r="W172" s="586"/>
      <c r="X172" s="586"/>
      <c r="Y172" s="586"/>
      <c r="Z172" s="586"/>
      <c r="AA172" s="586"/>
      <c r="AB172" s="586"/>
      <c r="AC172" s="586"/>
      <c r="AD172" s="586"/>
      <c r="AE172" s="586"/>
      <c r="AF172" s="586"/>
      <c r="AG172" s="586"/>
      <c r="AH172" s="586"/>
      <c r="AI172" s="586"/>
      <c r="AJ172" s="586"/>
      <c r="AK172" s="586"/>
      <c r="AL172" s="586"/>
      <c r="AM172" s="586"/>
      <c r="AN172" s="586"/>
      <c r="AO172" s="586"/>
      <c r="AP172" s="586"/>
      <c r="AQ172" s="586"/>
      <c r="AR172" s="586"/>
      <c r="AS172" s="586"/>
      <c r="AT172" s="586"/>
      <c r="AU172" s="586"/>
      <c r="AV172" s="586"/>
      <c r="AW172" s="586"/>
      <c r="AX172" s="586"/>
      <c r="AY172" s="586"/>
      <c r="AZ172" s="586"/>
      <c r="BA172" s="586"/>
      <c r="BB172" s="586"/>
    </row>
    <row r="173" spans="1:54" s="574" customFormat="1" hidden="1">
      <c r="A173" s="576"/>
      <c r="B173" s="580"/>
      <c r="D173" s="580"/>
      <c r="E173" s="578"/>
      <c r="F173" s="579"/>
      <c r="G173" s="263"/>
      <c r="H173" s="263"/>
      <c r="I173" s="263"/>
      <c r="J173" s="263"/>
      <c r="K173" s="263"/>
      <c r="L173" s="263"/>
      <c r="M173" s="263"/>
      <c r="N173" s="263"/>
      <c r="O173" s="263"/>
      <c r="P173" s="263"/>
      <c r="Q173" s="263"/>
      <c r="R173" s="263"/>
      <c r="S173" s="263"/>
      <c r="T173" s="263"/>
      <c r="U173" s="263"/>
      <c r="V173" s="586"/>
      <c r="W173" s="586"/>
      <c r="X173" s="586"/>
      <c r="Y173" s="586"/>
      <c r="Z173" s="586"/>
      <c r="AA173" s="586"/>
      <c r="AB173" s="586"/>
      <c r="AC173" s="586"/>
      <c r="AD173" s="586"/>
      <c r="AE173" s="586"/>
      <c r="AF173" s="586"/>
      <c r="AG173" s="586"/>
      <c r="AH173" s="586"/>
      <c r="AI173" s="586"/>
      <c r="AJ173" s="586"/>
      <c r="AK173" s="586"/>
      <c r="AL173" s="586"/>
      <c r="AM173" s="586"/>
      <c r="AN173" s="586"/>
      <c r="AO173" s="586"/>
      <c r="AP173" s="586"/>
      <c r="AQ173" s="586"/>
      <c r="AR173" s="586"/>
      <c r="AS173" s="586"/>
      <c r="AT173" s="586"/>
      <c r="AU173" s="586"/>
      <c r="AV173" s="586"/>
      <c r="AW173" s="586"/>
      <c r="AX173" s="586"/>
      <c r="AY173" s="586"/>
      <c r="AZ173" s="586"/>
      <c r="BA173" s="586"/>
      <c r="BB173" s="586"/>
    </row>
    <row r="174" spans="1:54" s="574" customFormat="1" hidden="1">
      <c r="A174" s="576"/>
      <c r="B174" s="581"/>
      <c r="G174" s="263"/>
      <c r="H174" s="263"/>
      <c r="I174" s="263"/>
      <c r="J174" s="263"/>
      <c r="K174" s="263"/>
      <c r="L174" s="263"/>
      <c r="M174" s="263"/>
      <c r="N174" s="263"/>
      <c r="O174" s="263"/>
      <c r="P174" s="263"/>
      <c r="Q174" s="263"/>
      <c r="R174" s="263"/>
      <c r="S174" s="263"/>
      <c r="T174" s="263"/>
      <c r="U174" s="263"/>
      <c r="V174" s="586"/>
      <c r="W174" s="586"/>
      <c r="X174" s="586"/>
      <c r="Y174" s="586"/>
      <c r="Z174" s="586"/>
      <c r="AA174" s="586"/>
      <c r="AB174" s="586"/>
      <c r="AC174" s="586"/>
      <c r="AD174" s="586"/>
      <c r="AE174" s="586"/>
      <c r="AF174" s="586"/>
      <c r="AG174" s="586"/>
      <c r="AH174" s="586"/>
      <c r="AI174" s="586"/>
      <c r="AJ174" s="586"/>
      <c r="AK174" s="586"/>
      <c r="AL174" s="586"/>
      <c r="AM174" s="586"/>
      <c r="AN174" s="586"/>
      <c r="AO174" s="586"/>
      <c r="AP174" s="586"/>
      <c r="AQ174" s="586"/>
      <c r="AR174" s="586"/>
      <c r="AS174" s="586"/>
      <c r="AT174" s="586"/>
      <c r="AU174" s="586"/>
      <c r="AV174" s="586"/>
      <c r="AW174" s="586"/>
      <c r="AX174" s="586"/>
      <c r="AY174" s="586"/>
      <c r="AZ174" s="586"/>
      <c r="BA174" s="586"/>
      <c r="BB174" s="586"/>
    </row>
    <row r="175" spans="1:54" s="574" customFormat="1" hidden="1">
      <c r="G175" s="263"/>
      <c r="H175" s="263"/>
      <c r="I175" s="263"/>
      <c r="J175" s="263"/>
      <c r="K175" s="263"/>
      <c r="L175" s="263"/>
      <c r="M175" s="263"/>
      <c r="N175" s="263"/>
      <c r="O175" s="263"/>
      <c r="P175" s="263"/>
      <c r="Q175" s="263"/>
      <c r="R175" s="263"/>
      <c r="S175" s="263"/>
      <c r="T175" s="263"/>
      <c r="U175" s="263"/>
      <c r="V175" s="586"/>
      <c r="W175" s="586"/>
      <c r="X175" s="586"/>
      <c r="Y175" s="586"/>
      <c r="Z175" s="586"/>
      <c r="AA175" s="586"/>
      <c r="AB175" s="586"/>
      <c r="AC175" s="586"/>
      <c r="AD175" s="586"/>
      <c r="AE175" s="586"/>
      <c r="AF175" s="586"/>
      <c r="AG175" s="586"/>
      <c r="AH175" s="586"/>
      <c r="AI175" s="586"/>
      <c r="AJ175" s="586"/>
      <c r="AK175" s="586"/>
      <c r="AL175" s="586"/>
      <c r="AM175" s="586"/>
      <c r="AN175" s="586"/>
      <c r="AO175" s="586"/>
      <c r="AP175" s="586"/>
      <c r="AQ175" s="586"/>
      <c r="AR175" s="586"/>
      <c r="AS175" s="586"/>
      <c r="AT175" s="586"/>
      <c r="AU175" s="586"/>
      <c r="AV175" s="586"/>
      <c r="AW175" s="586"/>
      <c r="AX175" s="586"/>
      <c r="AY175" s="586"/>
      <c r="AZ175" s="586"/>
      <c r="BA175" s="586"/>
      <c r="BB175" s="586"/>
    </row>
    <row r="176" spans="1:54" s="574" customFormat="1" hidden="1">
      <c r="A176" s="576"/>
      <c r="B176" s="582"/>
      <c r="D176" s="580"/>
      <c r="E176" s="578"/>
      <c r="F176" s="579"/>
      <c r="G176" s="263"/>
      <c r="H176" s="263"/>
      <c r="I176" s="263"/>
      <c r="J176" s="263"/>
      <c r="K176" s="263"/>
      <c r="L176" s="263"/>
      <c r="M176" s="263"/>
      <c r="N176" s="263"/>
      <c r="O176" s="263"/>
      <c r="P176" s="263"/>
      <c r="Q176" s="263"/>
      <c r="R176" s="263"/>
      <c r="S176" s="263"/>
      <c r="T176" s="263"/>
      <c r="U176" s="263"/>
      <c r="V176" s="586"/>
      <c r="W176" s="586"/>
      <c r="X176" s="586"/>
      <c r="Y176" s="586"/>
      <c r="Z176" s="586"/>
      <c r="AA176" s="586"/>
      <c r="AB176" s="586"/>
      <c r="AC176" s="586"/>
      <c r="AD176" s="586"/>
      <c r="AE176" s="586"/>
      <c r="AF176" s="586"/>
      <c r="AG176" s="586"/>
      <c r="AH176" s="586"/>
      <c r="AI176" s="586"/>
      <c r="AJ176" s="586"/>
      <c r="AK176" s="586"/>
      <c r="AL176" s="586"/>
      <c r="AM176" s="586"/>
      <c r="AN176" s="586"/>
      <c r="AO176" s="586"/>
      <c r="AP176" s="586"/>
      <c r="AQ176" s="586"/>
      <c r="AR176" s="586"/>
      <c r="AS176" s="586"/>
      <c r="AT176" s="586"/>
      <c r="AU176" s="586"/>
      <c r="AV176" s="586"/>
      <c r="AW176" s="586"/>
      <c r="AX176" s="586"/>
      <c r="AY176" s="586"/>
      <c r="AZ176" s="586"/>
      <c r="BA176" s="586"/>
      <c r="BB176" s="586"/>
    </row>
    <row r="177" spans="1:54" s="574" customFormat="1" hidden="1">
      <c r="A177" s="576"/>
      <c r="B177" s="581"/>
      <c r="G177" s="263"/>
      <c r="H177" s="263"/>
      <c r="I177" s="263"/>
      <c r="J177" s="263"/>
      <c r="K177" s="263"/>
      <c r="L177" s="263"/>
      <c r="M177" s="263"/>
      <c r="N177" s="263"/>
      <c r="O177" s="263"/>
      <c r="P177" s="263"/>
      <c r="Q177" s="263"/>
      <c r="R177" s="263"/>
      <c r="S177" s="263"/>
      <c r="T177" s="263"/>
      <c r="U177" s="263"/>
      <c r="V177" s="586"/>
      <c r="W177" s="586"/>
      <c r="X177" s="586"/>
      <c r="Y177" s="586"/>
      <c r="Z177" s="586"/>
      <c r="AA177" s="586"/>
      <c r="AB177" s="586"/>
      <c r="AC177" s="586"/>
      <c r="AD177" s="586"/>
      <c r="AE177" s="586"/>
      <c r="AF177" s="586"/>
      <c r="AG177" s="586"/>
      <c r="AH177" s="586"/>
      <c r="AI177" s="586"/>
      <c r="AJ177" s="586"/>
      <c r="AK177" s="586"/>
      <c r="AL177" s="586"/>
      <c r="AM177" s="586"/>
      <c r="AN177" s="586"/>
      <c r="AO177" s="586"/>
      <c r="AP177" s="586"/>
      <c r="AQ177" s="586"/>
      <c r="AR177" s="586"/>
      <c r="AS177" s="586"/>
      <c r="AT177" s="586"/>
      <c r="AU177" s="586"/>
      <c r="AV177" s="586"/>
      <c r="AW177" s="586"/>
      <c r="AX177" s="586"/>
      <c r="AY177" s="586"/>
      <c r="AZ177" s="586"/>
      <c r="BA177" s="586"/>
      <c r="BB177" s="586"/>
    </row>
    <row r="178" spans="1:54" s="574" customFormat="1" hidden="1">
      <c r="G178" s="263"/>
      <c r="H178" s="263"/>
      <c r="I178" s="263"/>
      <c r="J178" s="263"/>
      <c r="K178" s="263"/>
      <c r="L178" s="263"/>
      <c r="M178" s="263"/>
      <c r="N178" s="263"/>
      <c r="O178" s="263"/>
      <c r="P178" s="263"/>
      <c r="Q178" s="263"/>
      <c r="R178" s="263"/>
      <c r="S178" s="263"/>
      <c r="T178" s="263"/>
      <c r="U178" s="263"/>
      <c r="V178" s="586"/>
      <c r="W178" s="586"/>
      <c r="X178" s="586"/>
      <c r="Y178" s="586"/>
      <c r="Z178" s="586"/>
      <c r="AA178" s="586"/>
      <c r="AB178" s="586"/>
      <c r="AC178" s="586"/>
      <c r="AD178" s="586"/>
      <c r="AE178" s="586"/>
      <c r="AF178" s="586"/>
      <c r="AG178" s="586"/>
      <c r="AH178" s="586"/>
      <c r="AI178" s="586"/>
      <c r="AJ178" s="586"/>
      <c r="AK178" s="586"/>
      <c r="AL178" s="586"/>
      <c r="AM178" s="586"/>
      <c r="AN178" s="586"/>
      <c r="AO178" s="586"/>
      <c r="AP178" s="586"/>
      <c r="AQ178" s="586"/>
      <c r="AR178" s="586"/>
      <c r="AS178" s="586"/>
      <c r="AT178" s="586"/>
      <c r="AU178" s="586"/>
      <c r="AV178" s="586"/>
      <c r="AW178" s="586"/>
      <c r="AX178" s="586"/>
      <c r="AY178" s="586"/>
      <c r="AZ178" s="586"/>
      <c r="BA178" s="586"/>
      <c r="BB178" s="586"/>
    </row>
    <row r="179" spans="1:54" s="574" customFormat="1" hidden="1">
      <c r="A179" s="576"/>
      <c r="B179" s="580"/>
      <c r="D179" s="580"/>
      <c r="E179" s="578"/>
      <c r="F179" s="579"/>
      <c r="G179" s="263"/>
      <c r="H179" s="263"/>
      <c r="I179" s="263"/>
      <c r="J179" s="263"/>
      <c r="K179" s="263"/>
      <c r="L179" s="263"/>
      <c r="M179" s="263"/>
      <c r="N179" s="263"/>
      <c r="O179" s="263"/>
      <c r="P179" s="263"/>
      <c r="Q179" s="263"/>
      <c r="R179" s="263"/>
      <c r="S179" s="263"/>
      <c r="T179" s="263"/>
      <c r="U179" s="263"/>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6"/>
      <c r="AY179" s="586"/>
      <c r="AZ179" s="586"/>
      <c r="BA179" s="586"/>
      <c r="BB179" s="586"/>
    </row>
    <row r="180" spans="1:54" s="574" customFormat="1" hidden="1">
      <c r="A180" s="576"/>
      <c r="B180" s="581"/>
      <c r="G180" s="263"/>
      <c r="H180" s="263"/>
      <c r="I180" s="263"/>
      <c r="J180" s="263"/>
      <c r="K180" s="263"/>
      <c r="L180" s="263"/>
      <c r="M180" s="263"/>
      <c r="N180" s="263"/>
      <c r="O180" s="263"/>
      <c r="P180" s="263"/>
      <c r="Q180" s="263"/>
      <c r="R180" s="263"/>
      <c r="S180" s="263"/>
      <c r="T180" s="263"/>
      <c r="U180" s="263"/>
      <c r="V180" s="586"/>
      <c r="W180" s="586"/>
      <c r="X180" s="586"/>
      <c r="Y180" s="586"/>
      <c r="Z180" s="586"/>
      <c r="AA180" s="586"/>
      <c r="AB180" s="586"/>
      <c r="AC180" s="586"/>
      <c r="AD180" s="586"/>
      <c r="AE180" s="586"/>
      <c r="AF180" s="586"/>
      <c r="AG180" s="586"/>
      <c r="AH180" s="586"/>
      <c r="AI180" s="586"/>
      <c r="AJ180" s="586"/>
      <c r="AK180" s="586"/>
      <c r="AL180" s="586"/>
      <c r="AM180" s="586"/>
      <c r="AN180" s="586"/>
      <c r="AO180" s="586"/>
      <c r="AP180" s="586"/>
      <c r="AQ180" s="586"/>
      <c r="AR180" s="586"/>
      <c r="AS180" s="586"/>
      <c r="AT180" s="586"/>
      <c r="AU180" s="586"/>
      <c r="AV180" s="586"/>
      <c r="AW180" s="586"/>
      <c r="AX180" s="586"/>
      <c r="AY180" s="586"/>
      <c r="AZ180" s="586"/>
      <c r="BA180" s="586"/>
      <c r="BB180" s="586"/>
    </row>
    <row r="181" spans="1:54" s="574" customFormat="1" hidden="1">
      <c r="G181" s="263"/>
      <c r="H181" s="263"/>
      <c r="I181" s="263"/>
      <c r="J181" s="263"/>
      <c r="K181" s="263"/>
      <c r="L181" s="263"/>
      <c r="M181" s="263"/>
      <c r="N181" s="263"/>
      <c r="O181" s="263"/>
      <c r="P181" s="263"/>
      <c r="Q181" s="263"/>
      <c r="R181" s="263"/>
      <c r="S181" s="263"/>
      <c r="T181" s="263"/>
      <c r="U181" s="263"/>
      <c r="V181" s="586"/>
      <c r="W181" s="586"/>
      <c r="X181" s="586"/>
      <c r="Y181" s="586"/>
      <c r="Z181" s="586"/>
      <c r="AA181" s="586"/>
      <c r="AB181" s="586"/>
      <c r="AC181" s="586"/>
      <c r="AD181" s="586"/>
      <c r="AE181" s="586"/>
      <c r="AF181" s="586"/>
      <c r="AG181" s="586"/>
      <c r="AH181" s="586"/>
      <c r="AI181" s="586"/>
      <c r="AJ181" s="586"/>
      <c r="AK181" s="586"/>
      <c r="AL181" s="586"/>
      <c r="AM181" s="586"/>
      <c r="AN181" s="586"/>
      <c r="AO181" s="586"/>
      <c r="AP181" s="586"/>
      <c r="AQ181" s="586"/>
      <c r="AR181" s="586"/>
      <c r="AS181" s="586"/>
      <c r="AT181" s="586"/>
      <c r="AU181" s="586"/>
      <c r="AV181" s="586"/>
      <c r="AW181" s="586"/>
      <c r="AX181" s="586"/>
      <c r="AY181" s="586"/>
      <c r="AZ181" s="586"/>
      <c r="BA181" s="586"/>
      <c r="BB181" s="586"/>
    </row>
    <row r="182" spans="1:54" s="574" customFormat="1" hidden="1">
      <c r="A182" s="576"/>
      <c r="B182" s="580"/>
      <c r="D182" s="580"/>
      <c r="E182" s="578"/>
      <c r="F182" s="579"/>
      <c r="G182" s="263"/>
      <c r="H182" s="263"/>
      <c r="I182" s="263"/>
      <c r="J182" s="263"/>
      <c r="K182" s="263"/>
      <c r="L182" s="263"/>
      <c r="M182" s="263"/>
      <c r="N182" s="263"/>
      <c r="O182" s="263"/>
      <c r="P182" s="263"/>
      <c r="Q182" s="263"/>
      <c r="R182" s="263"/>
      <c r="S182" s="263"/>
      <c r="T182" s="263"/>
      <c r="U182" s="263"/>
      <c r="V182" s="586"/>
      <c r="W182" s="586"/>
      <c r="X182" s="586"/>
      <c r="Y182" s="586"/>
      <c r="Z182" s="586"/>
      <c r="AA182" s="586"/>
      <c r="AB182" s="586"/>
      <c r="AC182" s="586"/>
      <c r="AD182" s="586"/>
      <c r="AE182" s="586"/>
      <c r="AF182" s="586"/>
      <c r="AG182" s="586"/>
      <c r="AH182" s="586"/>
      <c r="AI182" s="586"/>
      <c r="AJ182" s="586"/>
      <c r="AK182" s="586"/>
      <c r="AL182" s="586"/>
      <c r="AM182" s="586"/>
      <c r="AN182" s="586"/>
      <c r="AO182" s="586"/>
      <c r="AP182" s="586"/>
      <c r="AQ182" s="586"/>
      <c r="AR182" s="586"/>
      <c r="AS182" s="586"/>
      <c r="AT182" s="586"/>
      <c r="AU182" s="586"/>
      <c r="AV182" s="586"/>
      <c r="AW182" s="586"/>
      <c r="AX182" s="586"/>
      <c r="AY182" s="586"/>
      <c r="AZ182" s="586"/>
      <c r="BA182" s="586"/>
      <c r="BB182" s="586"/>
    </row>
    <row r="183" spans="1:54" s="574" customFormat="1" hidden="1">
      <c r="A183" s="576"/>
      <c r="B183" s="581"/>
      <c r="G183" s="263"/>
      <c r="H183" s="263"/>
      <c r="I183" s="263"/>
      <c r="J183" s="263"/>
      <c r="K183" s="263"/>
      <c r="L183" s="263"/>
      <c r="M183" s="263"/>
      <c r="N183" s="263"/>
      <c r="O183" s="263"/>
      <c r="P183" s="263"/>
      <c r="Q183" s="263"/>
      <c r="R183" s="263"/>
      <c r="S183" s="263"/>
      <c r="T183" s="263"/>
      <c r="U183" s="263"/>
      <c r="V183" s="586"/>
      <c r="W183" s="586"/>
      <c r="X183" s="586"/>
      <c r="Y183" s="586"/>
      <c r="Z183" s="586"/>
      <c r="AA183" s="586"/>
      <c r="AB183" s="586"/>
      <c r="AC183" s="586"/>
      <c r="AD183" s="586"/>
      <c r="AE183" s="586"/>
      <c r="AF183" s="586"/>
      <c r="AG183" s="586"/>
      <c r="AH183" s="586"/>
      <c r="AI183" s="586"/>
      <c r="AJ183" s="586"/>
      <c r="AK183" s="586"/>
      <c r="AL183" s="586"/>
      <c r="AM183" s="586"/>
      <c r="AN183" s="586"/>
      <c r="AO183" s="586"/>
      <c r="AP183" s="586"/>
      <c r="AQ183" s="586"/>
      <c r="AR183" s="586"/>
      <c r="AS183" s="586"/>
      <c r="AT183" s="586"/>
      <c r="AU183" s="586"/>
      <c r="AV183" s="586"/>
      <c r="AW183" s="586"/>
      <c r="AX183" s="586"/>
      <c r="AY183" s="586"/>
      <c r="AZ183" s="586"/>
      <c r="BA183" s="586"/>
      <c r="BB183" s="586"/>
    </row>
    <row r="184" spans="1:54" s="574" customFormat="1" hidden="1">
      <c r="G184" s="263"/>
      <c r="H184" s="263"/>
      <c r="I184" s="263"/>
      <c r="J184" s="263"/>
      <c r="K184" s="263"/>
      <c r="L184" s="263"/>
      <c r="M184" s="263"/>
      <c r="N184" s="263"/>
      <c r="O184" s="263"/>
      <c r="P184" s="263"/>
      <c r="Q184" s="263"/>
      <c r="R184" s="263"/>
      <c r="S184" s="263"/>
      <c r="T184" s="263"/>
      <c r="U184" s="263"/>
      <c r="V184" s="586"/>
      <c r="W184" s="586"/>
      <c r="X184" s="586"/>
      <c r="Y184" s="586"/>
      <c r="Z184" s="586"/>
      <c r="AA184" s="586"/>
      <c r="AB184" s="586"/>
      <c r="AC184" s="586"/>
      <c r="AD184" s="586"/>
      <c r="AE184" s="586"/>
      <c r="AF184" s="586"/>
      <c r="AG184" s="586"/>
      <c r="AH184" s="586"/>
      <c r="AI184" s="586"/>
      <c r="AJ184" s="586"/>
      <c r="AK184" s="586"/>
      <c r="AL184" s="586"/>
      <c r="AM184" s="586"/>
      <c r="AN184" s="586"/>
      <c r="AO184" s="586"/>
      <c r="AP184" s="586"/>
      <c r="AQ184" s="586"/>
      <c r="AR184" s="586"/>
      <c r="AS184" s="586"/>
      <c r="AT184" s="586"/>
      <c r="AU184" s="586"/>
      <c r="AV184" s="586"/>
      <c r="AW184" s="586"/>
      <c r="AX184" s="586"/>
      <c r="AY184" s="586"/>
      <c r="AZ184" s="586"/>
      <c r="BA184" s="586"/>
      <c r="BB184" s="586"/>
    </row>
    <row r="185" spans="1:54" s="574" customFormat="1" hidden="1">
      <c r="A185" s="576"/>
      <c r="B185" s="580"/>
      <c r="D185" s="580"/>
      <c r="E185" s="578"/>
      <c r="F185" s="579"/>
      <c r="G185" s="263"/>
      <c r="H185" s="263"/>
      <c r="I185" s="263"/>
      <c r="J185" s="263"/>
      <c r="K185" s="263"/>
      <c r="L185" s="263"/>
      <c r="M185" s="263"/>
      <c r="N185" s="263"/>
      <c r="O185" s="263"/>
      <c r="P185" s="263"/>
      <c r="Q185" s="263"/>
      <c r="R185" s="263"/>
      <c r="S185" s="263"/>
      <c r="T185" s="263"/>
      <c r="U185" s="263"/>
      <c r="V185" s="586"/>
      <c r="W185" s="586"/>
      <c r="X185" s="586"/>
      <c r="Y185" s="586"/>
      <c r="Z185" s="586"/>
      <c r="AA185" s="586"/>
      <c r="AB185" s="586"/>
      <c r="AC185" s="586"/>
      <c r="AD185" s="586"/>
      <c r="AE185" s="586"/>
      <c r="AF185" s="586"/>
      <c r="AG185" s="586"/>
      <c r="AH185" s="586"/>
      <c r="AI185" s="586"/>
      <c r="AJ185" s="586"/>
      <c r="AK185" s="586"/>
      <c r="AL185" s="586"/>
      <c r="AM185" s="586"/>
      <c r="AN185" s="586"/>
      <c r="AO185" s="586"/>
      <c r="AP185" s="586"/>
      <c r="AQ185" s="586"/>
      <c r="AR185" s="586"/>
      <c r="AS185" s="586"/>
      <c r="AT185" s="586"/>
      <c r="AU185" s="586"/>
      <c r="AV185" s="586"/>
      <c r="AW185" s="586"/>
      <c r="AX185" s="586"/>
      <c r="AY185" s="586"/>
      <c r="AZ185" s="586"/>
      <c r="BA185" s="586"/>
      <c r="BB185" s="586"/>
    </row>
    <row r="186" spans="1:54" s="574" customFormat="1" hidden="1">
      <c r="A186" s="576"/>
      <c r="B186" s="581"/>
      <c r="G186" s="263"/>
      <c r="H186" s="263"/>
      <c r="I186" s="263"/>
      <c r="J186" s="263"/>
      <c r="K186" s="263"/>
      <c r="L186" s="263"/>
      <c r="M186" s="263"/>
      <c r="N186" s="263"/>
      <c r="O186" s="263"/>
      <c r="P186" s="263"/>
      <c r="Q186" s="263"/>
      <c r="R186" s="263"/>
      <c r="S186" s="263"/>
      <c r="T186" s="263"/>
      <c r="U186" s="263"/>
      <c r="V186" s="586"/>
      <c r="W186" s="586"/>
      <c r="X186" s="586"/>
      <c r="Y186" s="586"/>
      <c r="Z186" s="586"/>
      <c r="AA186" s="586"/>
      <c r="AB186" s="586"/>
      <c r="AC186" s="586"/>
      <c r="AD186" s="586"/>
      <c r="AE186" s="586"/>
      <c r="AF186" s="586"/>
      <c r="AG186" s="586"/>
      <c r="AH186" s="586"/>
      <c r="AI186" s="586"/>
      <c r="AJ186" s="586"/>
      <c r="AK186" s="586"/>
      <c r="AL186" s="586"/>
      <c r="AM186" s="586"/>
      <c r="AN186" s="586"/>
      <c r="AO186" s="586"/>
      <c r="AP186" s="586"/>
      <c r="AQ186" s="586"/>
      <c r="AR186" s="586"/>
      <c r="AS186" s="586"/>
      <c r="AT186" s="586"/>
      <c r="AU186" s="586"/>
      <c r="AV186" s="586"/>
      <c r="AW186" s="586"/>
      <c r="AX186" s="586"/>
      <c r="AY186" s="586"/>
      <c r="AZ186" s="586"/>
      <c r="BA186" s="586"/>
      <c r="BB186" s="586"/>
    </row>
    <row r="187" spans="1:54" s="574" customFormat="1" hidden="1">
      <c r="G187" s="263"/>
      <c r="H187" s="263"/>
      <c r="I187" s="263"/>
      <c r="J187" s="263"/>
      <c r="K187" s="263"/>
      <c r="L187" s="263"/>
      <c r="M187" s="263"/>
      <c r="N187" s="263"/>
      <c r="O187" s="263"/>
      <c r="P187" s="263"/>
      <c r="Q187" s="263"/>
      <c r="R187" s="263"/>
      <c r="S187" s="263"/>
      <c r="T187" s="263"/>
      <c r="U187" s="263"/>
      <c r="V187" s="586"/>
      <c r="W187" s="586"/>
      <c r="X187" s="586"/>
      <c r="Y187" s="586"/>
      <c r="Z187" s="586"/>
      <c r="AA187" s="586"/>
      <c r="AB187" s="586"/>
      <c r="AC187" s="586"/>
      <c r="AD187" s="586"/>
      <c r="AE187" s="586"/>
      <c r="AF187" s="586"/>
      <c r="AG187" s="586"/>
      <c r="AH187" s="586"/>
      <c r="AI187" s="586"/>
      <c r="AJ187" s="586"/>
      <c r="AK187" s="586"/>
      <c r="AL187" s="586"/>
      <c r="AM187" s="586"/>
      <c r="AN187" s="586"/>
      <c r="AO187" s="586"/>
      <c r="AP187" s="586"/>
      <c r="AQ187" s="586"/>
      <c r="AR187" s="586"/>
      <c r="AS187" s="586"/>
      <c r="AT187" s="586"/>
      <c r="AU187" s="586"/>
      <c r="AV187" s="586"/>
      <c r="AW187" s="586"/>
      <c r="AX187" s="586"/>
      <c r="AY187" s="586"/>
      <c r="AZ187" s="586"/>
      <c r="BA187" s="586"/>
      <c r="BB187" s="586"/>
    </row>
    <row r="188" spans="1:54" s="574" customFormat="1" hidden="1">
      <c r="A188" s="576"/>
      <c r="B188" s="580"/>
      <c r="D188" s="580"/>
      <c r="E188" s="578"/>
      <c r="F188" s="579"/>
      <c r="G188" s="263"/>
      <c r="H188" s="263"/>
      <c r="I188" s="263"/>
      <c r="J188" s="263"/>
      <c r="K188" s="263"/>
      <c r="L188" s="263"/>
      <c r="M188" s="263"/>
      <c r="N188" s="263"/>
      <c r="O188" s="263"/>
      <c r="P188" s="263"/>
      <c r="Q188" s="263"/>
      <c r="R188" s="263"/>
      <c r="S188" s="263"/>
      <c r="T188" s="263"/>
      <c r="U188" s="263"/>
      <c r="V188" s="586"/>
      <c r="W188" s="586"/>
      <c r="X188" s="586"/>
      <c r="Y188" s="586"/>
      <c r="Z188" s="586"/>
      <c r="AA188" s="586"/>
      <c r="AB188" s="586"/>
      <c r="AC188" s="586"/>
      <c r="AD188" s="586"/>
      <c r="AE188" s="586"/>
      <c r="AF188" s="586"/>
      <c r="AG188" s="586"/>
      <c r="AH188" s="586"/>
      <c r="AI188" s="586"/>
      <c r="AJ188" s="586"/>
      <c r="AK188" s="586"/>
      <c r="AL188" s="586"/>
      <c r="AM188" s="586"/>
      <c r="AN188" s="586"/>
      <c r="AO188" s="586"/>
      <c r="AP188" s="586"/>
      <c r="AQ188" s="586"/>
      <c r="AR188" s="586"/>
      <c r="AS188" s="586"/>
      <c r="AT188" s="586"/>
      <c r="AU188" s="586"/>
      <c r="AV188" s="586"/>
      <c r="AW188" s="586"/>
      <c r="AX188" s="586"/>
      <c r="AY188" s="586"/>
      <c r="AZ188" s="586"/>
      <c r="BA188" s="586"/>
      <c r="BB188" s="586"/>
    </row>
    <row r="189" spans="1:54" s="574" customFormat="1" hidden="1">
      <c r="A189" s="576"/>
      <c r="B189" s="581"/>
      <c r="G189" s="263"/>
      <c r="H189" s="263"/>
      <c r="I189" s="263"/>
      <c r="J189" s="263"/>
      <c r="K189" s="263"/>
      <c r="L189" s="263"/>
      <c r="M189" s="263"/>
      <c r="N189" s="263"/>
      <c r="O189" s="263"/>
      <c r="P189" s="263"/>
      <c r="Q189" s="263"/>
      <c r="R189" s="263"/>
      <c r="S189" s="263"/>
      <c r="T189" s="263"/>
      <c r="U189" s="263"/>
      <c r="V189" s="586"/>
      <c r="W189" s="586"/>
      <c r="X189" s="586"/>
      <c r="Y189" s="586"/>
      <c r="Z189" s="586"/>
      <c r="AA189" s="586"/>
      <c r="AB189" s="586"/>
      <c r="AC189" s="586"/>
      <c r="AD189" s="586"/>
      <c r="AE189" s="586"/>
      <c r="AF189" s="586"/>
      <c r="AG189" s="586"/>
      <c r="AH189" s="586"/>
      <c r="AI189" s="586"/>
      <c r="AJ189" s="586"/>
      <c r="AK189" s="586"/>
      <c r="AL189" s="586"/>
      <c r="AM189" s="586"/>
      <c r="AN189" s="586"/>
      <c r="AO189" s="586"/>
      <c r="AP189" s="586"/>
      <c r="AQ189" s="586"/>
      <c r="AR189" s="586"/>
      <c r="AS189" s="586"/>
      <c r="AT189" s="586"/>
      <c r="AU189" s="586"/>
      <c r="AV189" s="586"/>
      <c r="AW189" s="586"/>
      <c r="AX189" s="586"/>
      <c r="AY189" s="586"/>
      <c r="AZ189" s="586"/>
      <c r="BA189" s="586"/>
      <c r="BB189" s="586"/>
    </row>
    <row r="190" spans="1:54" s="574" customFormat="1" hidden="1">
      <c r="G190" s="263"/>
      <c r="H190" s="263"/>
      <c r="I190" s="263"/>
      <c r="J190" s="263"/>
      <c r="K190" s="263"/>
      <c r="L190" s="263"/>
      <c r="M190" s="263"/>
      <c r="N190" s="263"/>
      <c r="O190" s="263"/>
      <c r="P190" s="263"/>
      <c r="Q190" s="263"/>
      <c r="R190" s="263"/>
      <c r="S190" s="263"/>
      <c r="T190" s="263"/>
      <c r="U190" s="263"/>
      <c r="V190" s="586"/>
      <c r="W190" s="586"/>
      <c r="X190" s="586"/>
      <c r="Y190" s="586"/>
      <c r="Z190" s="586"/>
      <c r="AA190" s="586"/>
      <c r="AB190" s="586"/>
      <c r="AC190" s="586"/>
      <c r="AD190" s="586"/>
      <c r="AE190" s="586"/>
      <c r="AF190" s="586"/>
      <c r="AG190" s="586"/>
      <c r="AH190" s="586"/>
      <c r="AI190" s="586"/>
      <c r="AJ190" s="586"/>
      <c r="AK190" s="586"/>
      <c r="AL190" s="586"/>
      <c r="AM190" s="586"/>
      <c r="AN190" s="586"/>
      <c r="AO190" s="586"/>
      <c r="AP190" s="586"/>
      <c r="AQ190" s="586"/>
      <c r="AR190" s="586"/>
      <c r="AS190" s="586"/>
      <c r="AT190" s="586"/>
      <c r="AU190" s="586"/>
      <c r="AV190" s="586"/>
      <c r="AW190" s="586"/>
      <c r="AX190" s="586"/>
      <c r="AY190" s="586"/>
      <c r="AZ190" s="586"/>
      <c r="BA190" s="586"/>
      <c r="BB190" s="586"/>
    </row>
    <row r="191" spans="1:54" s="574" customFormat="1" hidden="1">
      <c r="A191" s="576"/>
      <c r="B191" s="580"/>
      <c r="D191" s="580"/>
      <c r="E191" s="578"/>
      <c r="F191" s="579"/>
      <c r="G191" s="263"/>
      <c r="H191" s="263"/>
      <c r="I191" s="263"/>
      <c r="J191" s="263"/>
      <c r="K191" s="263"/>
      <c r="L191" s="263"/>
      <c r="M191" s="263"/>
      <c r="N191" s="263"/>
      <c r="O191" s="263"/>
      <c r="P191" s="263"/>
      <c r="Q191" s="263"/>
      <c r="R191" s="263"/>
      <c r="S191" s="263"/>
      <c r="T191" s="263"/>
      <c r="U191" s="263"/>
      <c r="V191" s="586"/>
      <c r="W191" s="586"/>
      <c r="X191" s="586"/>
      <c r="Y191" s="586"/>
      <c r="Z191" s="586"/>
      <c r="AA191" s="586"/>
      <c r="AB191" s="586"/>
      <c r="AC191" s="586"/>
      <c r="AD191" s="586"/>
      <c r="AE191" s="586"/>
      <c r="AF191" s="586"/>
      <c r="AG191" s="586"/>
      <c r="AH191" s="586"/>
      <c r="AI191" s="586"/>
      <c r="AJ191" s="586"/>
      <c r="AK191" s="586"/>
      <c r="AL191" s="586"/>
      <c r="AM191" s="586"/>
      <c r="AN191" s="586"/>
      <c r="AO191" s="586"/>
      <c r="AP191" s="586"/>
      <c r="AQ191" s="586"/>
      <c r="AR191" s="586"/>
      <c r="AS191" s="586"/>
      <c r="AT191" s="586"/>
      <c r="AU191" s="586"/>
      <c r="AV191" s="586"/>
      <c r="AW191" s="586"/>
      <c r="AX191" s="586"/>
      <c r="AY191" s="586"/>
      <c r="AZ191" s="586"/>
      <c r="BA191" s="586"/>
      <c r="BB191" s="586"/>
    </row>
    <row r="192" spans="1:54" s="574" customFormat="1" hidden="1">
      <c r="A192" s="576"/>
      <c r="B192" s="581"/>
      <c r="G192" s="263"/>
      <c r="H192" s="263"/>
      <c r="I192" s="263"/>
      <c r="J192" s="263"/>
      <c r="K192" s="263"/>
      <c r="L192" s="263"/>
      <c r="M192" s="263"/>
      <c r="N192" s="263"/>
      <c r="O192" s="263"/>
      <c r="P192" s="263"/>
      <c r="Q192" s="263"/>
      <c r="R192" s="263"/>
      <c r="S192" s="263"/>
      <c r="T192" s="263"/>
      <c r="U192" s="263"/>
      <c r="V192" s="586"/>
      <c r="W192" s="586"/>
      <c r="X192" s="586"/>
      <c r="Y192" s="586"/>
      <c r="Z192" s="586"/>
      <c r="AA192" s="586"/>
      <c r="AB192" s="586"/>
      <c r="AC192" s="586"/>
      <c r="AD192" s="586"/>
      <c r="AE192" s="586"/>
      <c r="AF192" s="586"/>
      <c r="AG192" s="586"/>
      <c r="AH192" s="586"/>
      <c r="AI192" s="586"/>
      <c r="AJ192" s="586"/>
      <c r="AK192" s="586"/>
      <c r="AL192" s="586"/>
      <c r="AM192" s="586"/>
      <c r="AN192" s="586"/>
      <c r="AO192" s="586"/>
      <c r="AP192" s="586"/>
      <c r="AQ192" s="586"/>
      <c r="AR192" s="586"/>
      <c r="AS192" s="586"/>
      <c r="AT192" s="586"/>
      <c r="AU192" s="586"/>
      <c r="AV192" s="586"/>
      <c r="AW192" s="586"/>
      <c r="AX192" s="586"/>
      <c r="AY192" s="586"/>
      <c r="AZ192" s="586"/>
      <c r="BA192" s="586"/>
      <c r="BB192" s="586"/>
    </row>
    <row r="193" spans="1:54" s="574" customFormat="1" hidden="1">
      <c r="G193" s="263"/>
      <c r="H193" s="263"/>
      <c r="I193" s="263"/>
      <c r="J193" s="263"/>
      <c r="K193" s="263"/>
      <c r="L193" s="263"/>
      <c r="M193" s="263"/>
      <c r="N193" s="263"/>
      <c r="O193" s="263"/>
      <c r="P193" s="263"/>
      <c r="Q193" s="263"/>
      <c r="R193" s="263"/>
      <c r="S193" s="263"/>
      <c r="T193" s="263"/>
      <c r="U193" s="263"/>
      <c r="V193" s="586"/>
      <c r="W193" s="586"/>
      <c r="X193" s="586"/>
      <c r="Y193" s="586"/>
      <c r="Z193" s="586"/>
      <c r="AA193" s="586"/>
      <c r="AB193" s="586"/>
      <c r="AC193" s="586"/>
      <c r="AD193" s="586"/>
      <c r="AE193" s="586"/>
      <c r="AF193" s="586"/>
      <c r="AG193" s="586"/>
      <c r="AH193" s="586"/>
      <c r="AI193" s="586"/>
      <c r="AJ193" s="586"/>
      <c r="AK193" s="586"/>
      <c r="AL193" s="586"/>
      <c r="AM193" s="586"/>
      <c r="AN193" s="586"/>
      <c r="AO193" s="586"/>
      <c r="AP193" s="586"/>
      <c r="AQ193" s="586"/>
      <c r="AR193" s="586"/>
      <c r="AS193" s="586"/>
      <c r="AT193" s="586"/>
      <c r="AU193" s="586"/>
      <c r="AV193" s="586"/>
      <c r="AW193" s="586"/>
      <c r="AX193" s="586"/>
      <c r="AY193" s="586"/>
      <c r="AZ193" s="586"/>
      <c r="BA193" s="586"/>
      <c r="BB193" s="586"/>
    </row>
    <row r="194" spans="1:54" s="574" customFormat="1" hidden="1">
      <c r="A194" s="576"/>
      <c r="B194" s="580"/>
      <c r="D194" s="580"/>
      <c r="E194" s="578"/>
      <c r="F194" s="579"/>
      <c r="G194" s="263"/>
      <c r="H194" s="263"/>
      <c r="I194" s="263"/>
      <c r="J194" s="263"/>
      <c r="K194" s="263"/>
      <c r="L194" s="263"/>
      <c r="M194" s="263"/>
      <c r="N194" s="263"/>
      <c r="O194" s="263"/>
      <c r="P194" s="263"/>
      <c r="Q194" s="263"/>
      <c r="R194" s="263"/>
      <c r="S194" s="263"/>
      <c r="T194" s="263"/>
      <c r="U194" s="263"/>
      <c r="V194" s="586"/>
      <c r="W194" s="586"/>
      <c r="X194" s="586"/>
      <c r="Y194" s="586"/>
      <c r="Z194" s="586"/>
      <c r="AA194" s="586"/>
      <c r="AB194" s="586"/>
      <c r="AC194" s="586"/>
      <c r="AD194" s="586"/>
      <c r="AE194" s="586"/>
      <c r="AF194" s="586"/>
      <c r="AG194" s="586"/>
      <c r="AH194" s="586"/>
      <c r="AI194" s="586"/>
      <c r="AJ194" s="586"/>
      <c r="AK194" s="586"/>
      <c r="AL194" s="586"/>
      <c r="AM194" s="586"/>
      <c r="AN194" s="586"/>
      <c r="AO194" s="586"/>
      <c r="AP194" s="586"/>
      <c r="AQ194" s="586"/>
      <c r="AR194" s="586"/>
      <c r="AS194" s="586"/>
      <c r="AT194" s="586"/>
      <c r="AU194" s="586"/>
      <c r="AV194" s="586"/>
      <c r="AW194" s="586"/>
      <c r="AX194" s="586"/>
      <c r="AY194" s="586"/>
      <c r="AZ194" s="586"/>
      <c r="BA194" s="586"/>
      <c r="BB194" s="586"/>
    </row>
    <row r="195" spans="1:54" s="574" customFormat="1" hidden="1">
      <c r="A195" s="576"/>
      <c r="B195" s="581"/>
      <c r="G195" s="263"/>
      <c r="H195" s="263"/>
      <c r="I195" s="263"/>
      <c r="J195" s="263"/>
      <c r="K195" s="263"/>
      <c r="L195" s="263"/>
      <c r="M195" s="263"/>
      <c r="N195" s="263"/>
      <c r="O195" s="263"/>
      <c r="P195" s="263"/>
      <c r="Q195" s="263"/>
      <c r="R195" s="263"/>
      <c r="S195" s="263"/>
      <c r="T195" s="263"/>
      <c r="U195" s="263"/>
      <c r="V195" s="586"/>
      <c r="W195" s="586"/>
      <c r="X195" s="586"/>
      <c r="Y195" s="586"/>
      <c r="Z195" s="586"/>
      <c r="AA195" s="586"/>
      <c r="AB195" s="586"/>
      <c r="AC195" s="586"/>
      <c r="AD195" s="586"/>
      <c r="AE195" s="586"/>
      <c r="AF195" s="586"/>
      <c r="AG195" s="586"/>
      <c r="AH195" s="586"/>
      <c r="AI195" s="586"/>
      <c r="AJ195" s="586"/>
      <c r="AK195" s="586"/>
      <c r="AL195" s="586"/>
      <c r="AM195" s="586"/>
      <c r="AN195" s="586"/>
      <c r="AO195" s="586"/>
      <c r="AP195" s="586"/>
      <c r="AQ195" s="586"/>
      <c r="AR195" s="586"/>
      <c r="AS195" s="586"/>
      <c r="AT195" s="586"/>
      <c r="AU195" s="586"/>
      <c r="AV195" s="586"/>
      <c r="AW195" s="586"/>
      <c r="AX195" s="586"/>
      <c r="AY195" s="586"/>
      <c r="AZ195" s="586"/>
      <c r="BA195" s="586"/>
      <c r="BB195" s="586"/>
    </row>
    <row r="196" spans="1:54" s="574" customFormat="1" hidden="1">
      <c r="G196" s="263"/>
      <c r="H196" s="263"/>
      <c r="I196" s="263"/>
      <c r="J196" s="263"/>
      <c r="K196" s="263"/>
      <c r="L196" s="263"/>
      <c r="M196" s="263"/>
      <c r="N196" s="263"/>
      <c r="O196" s="263"/>
      <c r="P196" s="263"/>
      <c r="Q196" s="263"/>
      <c r="R196" s="263"/>
      <c r="S196" s="263"/>
      <c r="T196" s="263"/>
      <c r="U196" s="263"/>
      <c r="V196" s="586"/>
      <c r="W196" s="586"/>
      <c r="X196" s="586"/>
      <c r="Y196" s="586"/>
      <c r="Z196" s="586"/>
      <c r="AA196" s="586"/>
      <c r="AB196" s="586"/>
      <c r="AC196" s="586"/>
      <c r="AD196" s="586"/>
      <c r="AE196" s="586"/>
      <c r="AF196" s="586"/>
      <c r="AG196" s="586"/>
      <c r="AH196" s="586"/>
      <c r="AI196" s="586"/>
      <c r="AJ196" s="586"/>
      <c r="AK196" s="586"/>
      <c r="AL196" s="586"/>
      <c r="AM196" s="586"/>
      <c r="AN196" s="586"/>
      <c r="AO196" s="586"/>
      <c r="AP196" s="586"/>
      <c r="AQ196" s="586"/>
      <c r="AR196" s="586"/>
      <c r="AS196" s="586"/>
      <c r="AT196" s="586"/>
      <c r="AU196" s="586"/>
      <c r="AV196" s="586"/>
      <c r="AW196" s="586"/>
      <c r="AX196" s="586"/>
      <c r="AY196" s="586"/>
      <c r="AZ196" s="586"/>
      <c r="BA196" s="586"/>
      <c r="BB196" s="586"/>
    </row>
    <row r="197" spans="1:54" s="574" customFormat="1" hidden="1">
      <c r="A197" s="576"/>
      <c r="B197" s="580"/>
      <c r="D197" s="580"/>
      <c r="E197" s="578"/>
      <c r="F197" s="579"/>
      <c r="G197" s="263"/>
      <c r="H197" s="263"/>
      <c r="I197" s="263"/>
      <c r="J197" s="263"/>
      <c r="K197" s="263"/>
      <c r="L197" s="263"/>
      <c r="M197" s="263"/>
      <c r="N197" s="263"/>
      <c r="O197" s="263"/>
      <c r="P197" s="263"/>
      <c r="Q197" s="263"/>
      <c r="R197" s="263"/>
      <c r="S197" s="263"/>
      <c r="T197" s="263"/>
      <c r="U197" s="263"/>
      <c r="V197" s="586"/>
      <c r="W197" s="586"/>
      <c r="X197" s="586"/>
      <c r="Y197" s="586"/>
      <c r="Z197" s="586"/>
      <c r="AA197" s="586"/>
      <c r="AB197" s="586"/>
      <c r="AC197" s="586"/>
      <c r="AD197" s="586"/>
      <c r="AE197" s="586"/>
      <c r="AF197" s="586"/>
      <c r="AG197" s="586"/>
      <c r="AH197" s="586"/>
      <c r="AI197" s="586"/>
      <c r="AJ197" s="586"/>
      <c r="AK197" s="586"/>
      <c r="AL197" s="586"/>
      <c r="AM197" s="586"/>
      <c r="AN197" s="586"/>
      <c r="AO197" s="586"/>
      <c r="AP197" s="586"/>
      <c r="AQ197" s="586"/>
      <c r="AR197" s="586"/>
      <c r="AS197" s="586"/>
      <c r="AT197" s="586"/>
      <c r="AU197" s="586"/>
      <c r="AV197" s="586"/>
      <c r="AW197" s="586"/>
      <c r="AX197" s="586"/>
      <c r="AY197" s="586"/>
      <c r="AZ197" s="586"/>
      <c r="BA197" s="586"/>
      <c r="BB197" s="586"/>
    </row>
    <row r="198" spans="1:54" s="574" customFormat="1" hidden="1">
      <c r="A198" s="576"/>
      <c r="B198" s="581"/>
      <c r="G198" s="263"/>
      <c r="H198" s="263"/>
      <c r="I198" s="263"/>
      <c r="J198" s="263"/>
      <c r="K198" s="263"/>
      <c r="L198" s="263"/>
      <c r="M198" s="263"/>
      <c r="N198" s="263"/>
      <c r="O198" s="263"/>
      <c r="P198" s="263"/>
      <c r="Q198" s="263"/>
      <c r="R198" s="263"/>
      <c r="S198" s="263"/>
      <c r="T198" s="263"/>
      <c r="U198" s="263"/>
      <c r="V198" s="586"/>
      <c r="W198" s="586"/>
      <c r="X198" s="586"/>
      <c r="Y198" s="586"/>
      <c r="Z198" s="586"/>
      <c r="AA198" s="586"/>
      <c r="AB198" s="586"/>
      <c r="AC198" s="586"/>
      <c r="AD198" s="586"/>
      <c r="AE198" s="586"/>
      <c r="AF198" s="586"/>
      <c r="AG198" s="586"/>
      <c r="AH198" s="586"/>
      <c r="AI198" s="586"/>
      <c r="AJ198" s="586"/>
      <c r="AK198" s="586"/>
      <c r="AL198" s="586"/>
      <c r="AM198" s="586"/>
      <c r="AN198" s="586"/>
      <c r="AO198" s="586"/>
      <c r="AP198" s="586"/>
      <c r="AQ198" s="586"/>
      <c r="AR198" s="586"/>
      <c r="AS198" s="586"/>
      <c r="AT198" s="586"/>
      <c r="AU198" s="586"/>
      <c r="AV198" s="586"/>
      <c r="AW198" s="586"/>
      <c r="AX198" s="586"/>
      <c r="AY198" s="586"/>
      <c r="AZ198" s="586"/>
      <c r="BA198" s="586"/>
      <c r="BB198" s="586"/>
    </row>
    <row r="199" spans="1:54" s="574" customFormat="1" hidden="1">
      <c r="G199" s="263"/>
      <c r="H199" s="263"/>
      <c r="I199" s="263"/>
      <c r="J199" s="263"/>
      <c r="K199" s="263"/>
      <c r="L199" s="263"/>
      <c r="M199" s="263"/>
      <c r="N199" s="263"/>
      <c r="O199" s="263"/>
      <c r="P199" s="263"/>
      <c r="Q199" s="263"/>
      <c r="R199" s="263"/>
      <c r="S199" s="263"/>
      <c r="T199" s="263"/>
      <c r="U199" s="263"/>
      <c r="V199" s="586"/>
      <c r="W199" s="586"/>
      <c r="X199" s="586"/>
      <c r="Y199" s="586"/>
      <c r="Z199" s="586"/>
      <c r="AA199" s="586"/>
      <c r="AB199" s="586"/>
      <c r="AC199" s="586"/>
      <c r="AD199" s="586"/>
      <c r="AE199" s="586"/>
      <c r="AF199" s="586"/>
      <c r="AG199" s="586"/>
      <c r="AH199" s="586"/>
      <c r="AI199" s="586"/>
      <c r="AJ199" s="586"/>
      <c r="AK199" s="586"/>
      <c r="AL199" s="586"/>
      <c r="AM199" s="586"/>
      <c r="AN199" s="586"/>
      <c r="AO199" s="586"/>
      <c r="AP199" s="586"/>
      <c r="AQ199" s="586"/>
      <c r="AR199" s="586"/>
      <c r="AS199" s="586"/>
      <c r="AT199" s="586"/>
      <c r="AU199" s="586"/>
      <c r="AV199" s="586"/>
      <c r="AW199" s="586"/>
      <c r="AX199" s="586"/>
      <c r="AY199" s="586"/>
      <c r="AZ199" s="586"/>
      <c r="BA199" s="586"/>
      <c r="BB199" s="586"/>
    </row>
    <row r="200" spans="1:54" s="574" customFormat="1" hidden="1">
      <c r="A200" s="576"/>
      <c r="B200" s="580"/>
      <c r="D200" s="580"/>
      <c r="E200" s="578"/>
      <c r="F200" s="579"/>
      <c r="G200" s="263"/>
      <c r="H200" s="263"/>
      <c r="I200" s="263"/>
      <c r="J200" s="263"/>
      <c r="K200" s="263"/>
      <c r="L200" s="263"/>
      <c r="M200" s="263"/>
      <c r="N200" s="263"/>
      <c r="O200" s="263"/>
      <c r="P200" s="263"/>
      <c r="Q200" s="263"/>
      <c r="R200" s="263"/>
      <c r="S200" s="263"/>
      <c r="T200" s="263"/>
      <c r="U200" s="263"/>
      <c r="V200" s="586"/>
      <c r="W200" s="586"/>
      <c r="X200" s="586"/>
      <c r="Y200" s="586"/>
      <c r="Z200" s="586"/>
      <c r="AA200" s="586"/>
      <c r="AB200" s="586"/>
      <c r="AC200" s="586"/>
      <c r="AD200" s="586"/>
      <c r="AE200" s="586"/>
      <c r="AF200" s="586"/>
      <c r="AG200" s="586"/>
      <c r="AH200" s="586"/>
      <c r="AI200" s="586"/>
      <c r="AJ200" s="586"/>
      <c r="AK200" s="586"/>
      <c r="AL200" s="586"/>
      <c r="AM200" s="586"/>
      <c r="AN200" s="586"/>
      <c r="AO200" s="586"/>
      <c r="AP200" s="586"/>
      <c r="AQ200" s="586"/>
      <c r="AR200" s="586"/>
      <c r="AS200" s="586"/>
      <c r="AT200" s="586"/>
      <c r="AU200" s="586"/>
      <c r="AV200" s="586"/>
      <c r="AW200" s="586"/>
      <c r="AX200" s="586"/>
      <c r="AY200" s="586"/>
      <c r="AZ200" s="586"/>
      <c r="BA200" s="586"/>
      <c r="BB200" s="586"/>
    </row>
    <row r="201" spans="1:54" s="574" customFormat="1" hidden="1">
      <c r="A201" s="576"/>
      <c r="B201" s="581"/>
      <c r="G201" s="263"/>
      <c r="H201" s="263"/>
      <c r="I201" s="263"/>
      <c r="J201" s="263"/>
      <c r="K201" s="263"/>
      <c r="L201" s="263"/>
      <c r="M201" s="263"/>
      <c r="N201" s="263"/>
      <c r="O201" s="263"/>
      <c r="P201" s="263"/>
      <c r="Q201" s="263"/>
      <c r="R201" s="263"/>
      <c r="S201" s="263"/>
      <c r="T201" s="263"/>
      <c r="U201" s="263"/>
      <c r="V201" s="586"/>
      <c r="W201" s="586"/>
      <c r="X201" s="586"/>
      <c r="Y201" s="586"/>
      <c r="Z201" s="586"/>
      <c r="AA201" s="586"/>
      <c r="AB201" s="586"/>
      <c r="AC201" s="586"/>
      <c r="AD201" s="586"/>
      <c r="AE201" s="586"/>
      <c r="AF201" s="586"/>
      <c r="AG201" s="586"/>
      <c r="AH201" s="586"/>
      <c r="AI201" s="586"/>
      <c r="AJ201" s="586"/>
      <c r="AK201" s="586"/>
      <c r="AL201" s="586"/>
      <c r="AM201" s="586"/>
      <c r="AN201" s="586"/>
      <c r="AO201" s="586"/>
      <c r="AP201" s="586"/>
      <c r="AQ201" s="586"/>
      <c r="AR201" s="586"/>
      <c r="AS201" s="586"/>
      <c r="AT201" s="586"/>
      <c r="AU201" s="586"/>
      <c r="AV201" s="586"/>
      <c r="AW201" s="586"/>
      <c r="AX201" s="586"/>
      <c r="AY201" s="586"/>
      <c r="AZ201" s="586"/>
      <c r="BA201" s="586"/>
      <c r="BB201" s="586"/>
    </row>
    <row r="202" spans="1:54" s="574" customFormat="1" hidden="1">
      <c r="G202" s="263"/>
      <c r="H202" s="263"/>
      <c r="I202" s="263"/>
      <c r="J202" s="263"/>
      <c r="K202" s="263"/>
      <c r="L202" s="263"/>
      <c r="M202" s="263"/>
      <c r="N202" s="263"/>
      <c r="O202" s="263"/>
      <c r="P202" s="263"/>
      <c r="Q202" s="263"/>
      <c r="R202" s="263"/>
      <c r="S202" s="263"/>
      <c r="T202" s="263"/>
      <c r="U202" s="263"/>
      <c r="V202" s="586"/>
      <c r="W202" s="586"/>
      <c r="X202" s="586"/>
      <c r="Y202" s="586"/>
      <c r="Z202" s="586"/>
      <c r="AA202" s="586"/>
      <c r="AB202" s="586"/>
      <c r="AC202" s="586"/>
      <c r="AD202" s="586"/>
      <c r="AE202" s="586"/>
      <c r="AF202" s="586"/>
      <c r="AG202" s="586"/>
      <c r="AH202" s="586"/>
      <c r="AI202" s="586"/>
      <c r="AJ202" s="586"/>
      <c r="AK202" s="586"/>
      <c r="AL202" s="586"/>
      <c r="AM202" s="586"/>
      <c r="AN202" s="586"/>
      <c r="AO202" s="586"/>
      <c r="AP202" s="586"/>
      <c r="AQ202" s="586"/>
      <c r="AR202" s="586"/>
      <c r="AS202" s="586"/>
      <c r="AT202" s="586"/>
      <c r="AU202" s="586"/>
      <c r="AV202" s="586"/>
      <c r="AW202" s="586"/>
      <c r="AX202" s="586"/>
      <c r="AY202" s="586"/>
      <c r="AZ202" s="586"/>
      <c r="BA202" s="586"/>
      <c r="BB202" s="586"/>
    </row>
    <row r="203" spans="1:54" s="574" customFormat="1" hidden="1">
      <c r="A203" s="576"/>
      <c r="B203" s="580"/>
      <c r="D203" s="580"/>
      <c r="E203" s="578"/>
      <c r="F203" s="579"/>
      <c r="G203" s="263"/>
      <c r="H203" s="263"/>
      <c r="I203" s="263"/>
      <c r="J203" s="263"/>
      <c r="K203" s="263"/>
      <c r="L203" s="263"/>
      <c r="M203" s="263"/>
      <c r="N203" s="263"/>
      <c r="O203" s="263"/>
      <c r="P203" s="263"/>
      <c r="Q203" s="263"/>
      <c r="R203" s="263"/>
      <c r="S203" s="263"/>
      <c r="T203" s="263"/>
      <c r="U203" s="263"/>
      <c r="V203" s="586"/>
      <c r="W203" s="586"/>
      <c r="X203" s="586"/>
      <c r="Y203" s="586"/>
      <c r="Z203" s="586"/>
      <c r="AA203" s="586"/>
      <c r="AB203" s="586"/>
      <c r="AC203" s="586"/>
      <c r="AD203" s="586"/>
      <c r="AE203" s="586"/>
      <c r="AF203" s="586"/>
      <c r="AG203" s="586"/>
      <c r="AH203" s="586"/>
      <c r="AI203" s="586"/>
      <c r="AJ203" s="586"/>
      <c r="AK203" s="586"/>
      <c r="AL203" s="586"/>
      <c r="AM203" s="586"/>
      <c r="AN203" s="586"/>
      <c r="AO203" s="586"/>
      <c r="AP203" s="586"/>
      <c r="AQ203" s="586"/>
      <c r="AR203" s="586"/>
      <c r="AS203" s="586"/>
      <c r="AT203" s="586"/>
      <c r="AU203" s="586"/>
      <c r="AV203" s="586"/>
      <c r="AW203" s="586"/>
      <c r="AX203" s="586"/>
      <c r="AY203" s="586"/>
      <c r="AZ203" s="586"/>
      <c r="BA203" s="586"/>
      <c r="BB203" s="586"/>
    </row>
    <row r="204" spans="1:54" s="574" customFormat="1" hidden="1">
      <c r="A204" s="576"/>
      <c r="B204" s="581"/>
      <c r="G204" s="263"/>
      <c r="H204" s="263"/>
      <c r="I204" s="263"/>
      <c r="J204" s="263"/>
      <c r="K204" s="263"/>
      <c r="L204" s="263"/>
      <c r="M204" s="263"/>
      <c r="N204" s="263"/>
      <c r="O204" s="263"/>
      <c r="P204" s="263"/>
      <c r="Q204" s="263"/>
      <c r="R204" s="263"/>
      <c r="S204" s="263"/>
      <c r="T204" s="263"/>
      <c r="U204" s="263"/>
      <c r="V204" s="586"/>
      <c r="W204" s="586"/>
      <c r="X204" s="586"/>
      <c r="Y204" s="586"/>
      <c r="Z204" s="586"/>
      <c r="AA204" s="586"/>
      <c r="AB204" s="586"/>
      <c r="AC204" s="586"/>
      <c r="AD204" s="586"/>
      <c r="AE204" s="586"/>
      <c r="AF204" s="586"/>
      <c r="AG204" s="586"/>
      <c r="AH204" s="586"/>
      <c r="AI204" s="586"/>
      <c r="AJ204" s="586"/>
      <c r="AK204" s="586"/>
      <c r="AL204" s="586"/>
      <c r="AM204" s="586"/>
      <c r="AN204" s="586"/>
      <c r="AO204" s="586"/>
      <c r="AP204" s="586"/>
      <c r="AQ204" s="586"/>
      <c r="AR204" s="586"/>
      <c r="AS204" s="586"/>
      <c r="AT204" s="586"/>
      <c r="AU204" s="586"/>
      <c r="AV204" s="586"/>
      <c r="AW204" s="586"/>
      <c r="AX204" s="586"/>
      <c r="AY204" s="586"/>
      <c r="AZ204" s="586"/>
      <c r="BA204" s="586"/>
      <c r="BB204" s="586"/>
    </row>
    <row r="205" spans="1:54" s="574" customFormat="1" hidden="1">
      <c r="G205" s="263"/>
      <c r="H205" s="263"/>
      <c r="I205" s="263"/>
      <c r="J205" s="263"/>
      <c r="K205" s="263"/>
      <c r="L205" s="263"/>
      <c r="M205" s="263"/>
      <c r="N205" s="263"/>
      <c r="O205" s="263"/>
      <c r="P205" s="263"/>
      <c r="Q205" s="263"/>
      <c r="R205" s="263"/>
      <c r="S205" s="263"/>
      <c r="T205" s="263"/>
      <c r="U205" s="263"/>
      <c r="V205" s="586"/>
      <c r="W205" s="586"/>
      <c r="X205" s="586"/>
      <c r="Y205" s="586"/>
      <c r="Z205" s="586"/>
      <c r="AA205" s="586"/>
      <c r="AB205" s="586"/>
      <c r="AC205" s="586"/>
      <c r="AD205" s="586"/>
      <c r="AE205" s="586"/>
      <c r="AF205" s="586"/>
      <c r="AG205" s="586"/>
      <c r="AH205" s="586"/>
      <c r="AI205" s="586"/>
      <c r="AJ205" s="586"/>
      <c r="AK205" s="586"/>
      <c r="AL205" s="586"/>
      <c r="AM205" s="586"/>
      <c r="AN205" s="586"/>
      <c r="AO205" s="586"/>
      <c r="AP205" s="586"/>
      <c r="AQ205" s="586"/>
      <c r="AR205" s="586"/>
      <c r="AS205" s="586"/>
      <c r="AT205" s="586"/>
      <c r="AU205" s="586"/>
      <c r="AV205" s="586"/>
      <c r="AW205" s="586"/>
      <c r="AX205" s="586"/>
      <c r="AY205" s="586"/>
      <c r="AZ205" s="586"/>
      <c r="BA205" s="586"/>
      <c r="BB205" s="586"/>
    </row>
    <row r="206" spans="1:54" s="574" customFormat="1" hidden="1">
      <c r="A206" s="576"/>
      <c r="B206" s="580"/>
      <c r="D206" s="580"/>
      <c r="E206" s="578"/>
      <c r="F206" s="579"/>
      <c r="G206" s="263"/>
      <c r="H206" s="263"/>
      <c r="I206" s="263"/>
      <c r="J206" s="263"/>
      <c r="K206" s="263"/>
      <c r="L206" s="263"/>
      <c r="M206" s="263"/>
      <c r="N206" s="263"/>
      <c r="O206" s="263"/>
      <c r="P206" s="263"/>
      <c r="Q206" s="263"/>
      <c r="R206" s="263"/>
      <c r="S206" s="263"/>
      <c r="T206" s="263"/>
      <c r="U206" s="263"/>
      <c r="V206" s="586"/>
      <c r="W206" s="586"/>
      <c r="X206" s="586"/>
      <c r="Y206" s="586"/>
      <c r="Z206" s="586"/>
      <c r="AA206" s="586"/>
      <c r="AB206" s="586"/>
      <c r="AC206" s="586"/>
      <c r="AD206" s="586"/>
      <c r="AE206" s="586"/>
      <c r="AF206" s="586"/>
      <c r="AG206" s="586"/>
      <c r="AH206" s="586"/>
      <c r="AI206" s="586"/>
      <c r="AJ206" s="586"/>
      <c r="AK206" s="586"/>
      <c r="AL206" s="586"/>
      <c r="AM206" s="586"/>
      <c r="AN206" s="586"/>
      <c r="AO206" s="586"/>
      <c r="AP206" s="586"/>
      <c r="AQ206" s="586"/>
      <c r="AR206" s="586"/>
      <c r="AS206" s="586"/>
      <c r="AT206" s="586"/>
      <c r="AU206" s="586"/>
      <c r="AV206" s="586"/>
      <c r="AW206" s="586"/>
      <c r="AX206" s="586"/>
      <c r="AY206" s="586"/>
      <c r="AZ206" s="586"/>
      <c r="BA206" s="586"/>
      <c r="BB206" s="586"/>
    </row>
    <row r="207" spans="1:54" s="574" customFormat="1" hidden="1">
      <c r="A207" s="576"/>
      <c r="B207" s="581"/>
      <c r="G207" s="263"/>
      <c r="H207" s="263"/>
      <c r="I207" s="263"/>
      <c r="J207" s="263"/>
      <c r="K207" s="263"/>
      <c r="L207" s="263"/>
      <c r="M207" s="263"/>
      <c r="N207" s="263"/>
      <c r="O207" s="263"/>
      <c r="P207" s="263"/>
      <c r="Q207" s="263"/>
      <c r="R207" s="263"/>
      <c r="S207" s="263"/>
      <c r="T207" s="263"/>
      <c r="U207" s="263"/>
      <c r="V207" s="586"/>
      <c r="W207" s="586"/>
      <c r="X207" s="586"/>
      <c r="Y207" s="586"/>
      <c r="Z207" s="586"/>
      <c r="AA207" s="586"/>
      <c r="AB207" s="586"/>
      <c r="AC207" s="586"/>
      <c r="AD207" s="586"/>
      <c r="AE207" s="586"/>
      <c r="AF207" s="586"/>
      <c r="AG207" s="586"/>
      <c r="AH207" s="586"/>
      <c r="AI207" s="586"/>
      <c r="AJ207" s="586"/>
      <c r="AK207" s="586"/>
      <c r="AL207" s="586"/>
      <c r="AM207" s="586"/>
      <c r="AN207" s="586"/>
      <c r="AO207" s="586"/>
      <c r="AP207" s="586"/>
      <c r="AQ207" s="586"/>
      <c r="AR207" s="586"/>
      <c r="AS207" s="586"/>
      <c r="AT207" s="586"/>
      <c r="AU207" s="586"/>
      <c r="AV207" s="586"/>
      <c r="AW207" s="586"/>
      <c r="AX207" s="586"/>
      <c r="AY207" s="586"/>
      <c r="AZ207" s="586"/>
      <c r="BA207" s="586"/>
      <c r="BB207" s="586"/>
    </row>
    <row r="208" spans="1:54" s="574" customFormat="1" hidden="1">
      <c r="G208" s="263"/>
      <c r="H208" s="263"/>
      <c r="I208" s="263"/>
      <c r="J208" s="263"/>
      <c r="K208" s="263"/>
      <c r="L208" s="263"/>
      <c r="M208" s="263"/>
      <c r="N208" s="263"/>
      <c r="O208" s="263"/>
      <c r="P208" s="263"/>
      <c r="Q208" s="263"/>
      <c r="R208" s="263"/>
      <c r="S208" s="263"/>
      <c r="T208" s="263"/>
      <c r="U208" s="263"/>
      <c r="V208" s="586"/>
      <c r="W208" s="586"/>
      <c r="X208" s="586"/>
      <c r="Y208" s="586"/>
      <c r="Z208" s="586"/>
      <c r="AA208" s="586"/>
      <c r="AB208" s="586"/>
      <c r="AC208" s="586"/>
      <c r="AD208" s="586"/>
      <c r="AE208" s="586"/>
      <c r="AF208" s="586"/>
      <c r="AG208" s="586"/>
      <c r="AH208" s="586"/>
      <c r="AI208" s="586"/>
      <c r="AJ208" s="586"/>
      <c r="AK208" s="586"/>
      <c r="AL208" s="586"/>
      <c r="AM208" s="586"/>
      <c r="AN208" s="586"/>
      <c r="AO208" s="586"/>
      <c r="AP208" s="586"/>
      <c r="AQ208" s="586"/>
      <c r="AR208" s="586"/>
      <c r="AS208" s="586"/>
      <c r="AT208" s="586"/>
      <c r="AU208" s="586"/>
      <c r="AV208" s="586"/>
      <c r="AW208" s="586"/>
      <c r="AX208" s="586"/>
      <c r="AY208" s="586"/>
      <c r="AZ208" s="586"/>
      <c r="BA208" s="586"/>
      <c r="BB208" s="586"/>
    </row>
    <row r="209" spans="1:54" s="574" customFormat="1" hidden="1">
      <c r="A209" s="576"/>
      <c r="B209" s="580"/>
      <c r="D209" s="580"/>
      <c r="E209" s="578"/>
      <c r="F209" s="579"/>
      <c r="G209" s="263"/>
      <c r="H209" s="263"/>
      <c r="I209" s="263"/>
      <c r="J209" s="263"/>
      <c r="K209" s="263"/>
      <c r="L209" s="263"/>
      <c r="M209" s="263"/>
      <c r="N209" s="263"/>
      <c r="O209" s="263"/>
      <c r="P209" s="263"/>
      <c r="Q209" s="263"/>
      <c r="R209" s="263"/>
      <c r="S209" s="263"/>
      <c r="T209" s="263"/>
      <c r="U209" s="263"/>
      <c r="V209" s="586"/>
      <c r="W209" s="586"/>
      <c r="X209" s="586"/>
      <c r="Y209" s="586"/>
      <c r="Z209" s="586"/>
      <c r="AA209" s="586"/>
      <c r="AB209" s="586"/>
      <c r="AC209" s="586"/>
      <c r="AD209" s="586"/>
      <c r="AE209" s="586"/>
      <c r="AF209" s="586"/>
      <c r="AG209" s="586"/>
      <c r="AH209" s="586"/>
      <c r="AI209" s="586"/>
      <c r="AJ209" s="586"/>
      <c r="AK209" s="586"/>
      <c r="AL209" s="586"/>
      <c r="AM209" s="586"/>
      <c r="AN209" s="586"/>
      <c r="AO209" s="586"/>
      <c r="AP209" s="586"/>
      <c r="AQ209" s="586"/>
      <c r="AR209" s="586"/>
      <c r="AS209" s="586"/>
      <c r="AT209" s="586"/>
      <c r="AU209" s="586"/>
      <c r="AV209" s="586"/>
      <c r="AW209" s="586"/>
      <c r="AX209" s="586"/>
      <c r="AY209" s="586"/>
      <c r="AZ209" s="586"/>
      <c r="BA209" s="586"/>
      <c r="BB209" s="586"/>
    </row>
    <row r="210" spans="1:54" s="574" customFormat="1" hidden="1">
      <c r="A210" s="576"/>
      <c r="B210" s="581"/>
      <c r="G210" s="263"/>
      <c r="H210" s="263"/>
      <c r="I210" s="263"/>
      <c r="J210" s="263"/>
      <c r="K210" s="263"/>
      <c r="L210" s="263"/>
      <c r="M210" s="263"/>
      <c r="N210" s="263"/>
      <c r="O210" s="263"/>
      <c r="P210" s="263"/>
      <c r="Q210" s="263"/>
      <c r="R210" s="263"/>
      <c r="S210" s="263"/>
      <c r="T210" s="263"/>
      <c r="U210" s="263"/>
      <c r="V210" s="586"/>
      <c r="W210" s="586"/>
      <c r="X210" s="586"/>
      <c r="Y210" s="586"/>
      <c r="Z210" s="586"/>
      <c r="AA210" s="586"/>
      <c r="AB210" s="586"/>
      <c r="AC210" s="586"/>
      <c r="AD210" s="586"/>
      <c r="AE210" s="586"/>
      <c r="AF210" s="586"/>
      <c r="AG210" s="586"/>
      <c r="AH210" s="586"/>
      <c r="AI210" s="586"/>
      <c r="AJ210" s="586"/>
      <c r="AK210" s="586"/>
      <c r="AL210" s="586"/>
      <c r="AM210" s="586"/>
      <c r="AN210" s="586"/>
      <c r="AO210" s="586"/>
      <c r="AP210" s="586"/>
      <c r="AQ210" s="586"/>
      <c r="AR210" s="586"/>
      <c r="AS210" s="586"/>
      <c r="AT210" s="586"/>
      <c r="AU210" s="586"/>
      <c r="AV210" s="586"/>
      <c r="AW210" s="586"/>
      <c r="AX210" s="586"/>
      <c r="AY210" s="586"/>
      <c r="AZ210" s="586"/>
      <c r="BA210" s="586"/>
      <c r="BB210" s="586"/>
    </row>
    <row r="211" spans="1:54" s="574" customFormat="1" hidden="1">
      <c r="G211" s="263"/>
      <c r="H211" s="263"/>
      <c r="I211" s="263"/>
      <c r="J211" s="263"/>
      <c r="K211" s="263"/>
      <c r="L211" s="263"/>
      <c r="M211" s="263"/>
      <c r="N211" s="263"/>
      <c r="O211" s="263"/>
      <c r="P211" s="263"/>
      <c r="Q211" s="263"/>
      <c r="R211" s="263"/>
      <c r="S211" s="263"/>
      <c r="T211" s="263"/>
      <c r="U211" s="263"/>
      <c r="V211" s="586"/>
      <c r="W211" s="586"/>
      <c r="X211" s="586"/>
      <c r="Y211" s="586"/>
      <c r="Z211" s="586"/>
      <c r="AA211" s="586"/>
      <c r="AB211" s="586"/>
      <c r="AC211" s="586"/>
      <c r="AD211" s="586"/>
      <c r="AE211" s="586"/>
      <c r="AF211" s="586"/>
      <c r="AG211" s="586"/>
      <c r="AH211" s="586"/>
      <c r="AI211" s="586"/>
      <c r="AJ211" s="586"/>
      <c r="AK211" s="586"/>
      <c r="AL211" s="586"/>
      <c r="AM211" s="586"/>
      <c r="AN211" s="586"/>
      <c r="AO211" s="586"/>
      <c r="AP211" s="586"/>
      <c r="AQ211" s="586"/>
      <c r="AR211" s="586"/>
      <c r="AS211" s="586"/>
      <c r="AT211" s="586"/>
      <c r="AU211" s="586"/>
      <c r="AV211" s="586"/>
      <c r="AW211" s="586"/>
      <c r="AX211" s="586"/>
      <c r="AY211" s="586"/>
      <c r="AZ211" s="586"/>
      <c r="BA211" s="586"/>
      <c r="BB211" s="586"/>
    </row>
    <row r="212" spans="1:54" s="574" customFormat="1" hidden="1">
      <c r="A212" s="576"/>
      <c r="B212" s="580"/>
      <c r="D212" s="580"/>
      <c r="E212" s="578"/>
      <c r="F212" s="579"/>
      <c r="G212" s="263"/>
      <c r="H212" s="263"/>
      <c r="I212" s="263"/>
      <c r="J212" s="263"/>
      <c r="K212" s="263"/>
      <c r="L212" s="263"/>
      <c r="M212" s="263"/>
      <c r="N212" s="263"/>
      <c r="O212" s="263"/>
      <c r="P212" s="263"/>
      <c r="Q212" s="263"/>
      <c r="R212" s="263"/>
      <c r="S212" s="263"/>
      <c r="T212" s="263"/>
      <c r="U212" s="263"/>
      <c r="V212" s="586"/>
      <c r="W212" s="586"/>
      <c r="X212" s="586"/>
      <c r="Y212" s="586"/>
      <c r="Z212" s="586"/>
      <c r="AA212" s="586"/>
      <c r="AB212" s="586"/>
      <c r="AC212" s="586"/>
      <c r="AD212" s="586"/>
      <c r="AE212" s="586"/>
      <c r="AF212" s="586"/>
      <c r="AG212" s="586"/>
      <c r="AH212" s="586"/>
      <c r="AI212" s="586"/>
      <c r="AJ212" s="586"/>
      <c r="AK212" s="586"/>
      <c r="AL212" s="586"/>
      <c r="AM212" s="586"/>
      <c r="AN212" s="586"/>
      <c r="AO212" s="586"/>
      <c r="AP212" s="586"/>
      <c r="AQ212" s="586"/>
      <c r="AR212" s="586"/>
      <c r="AS212" s="586"/>
      <c r="AT212" s="586"/>
      <c r="AU212" s="586"/>
      <c r="AV212" s="586"/>
      <c r="AW212" s="586"/>
      <c r="AX212" s="586"/>
      <c r="AY212" s="586"/>
      <c r="AZ212" s="586"/>
      <c r="BA212" s="586"/>
      <c r="BB212" s="586"/>
    </row>
    <row r="213" spans="1:54" s="574" customFormat="1" hidden="1">
      <c r="A213" s="576"/>
      <c r="B213" s="581"/>
      <c r="G213" s="263"/>
      <c r="H213" s="263"/>
      <c r="I213" s="263"/>
      <c r="J213" s="263"/>
      <c r="K213" s="263"/>
      <c r="L213" s="263"/>
      <c r="M213" s="263"/>
      <c r="N213" s="263"/>
      <c r="O213" s="263"/>
      <c r="P213" s="263"/>
      <c r="Q213" s="263"/>
      <c r="R213" s="263"/>
      <c r="S213" s="263"/>
      <c r="T213" s="263"/>
      <c r="U213" s="263"/>
      <c r="V213" s="586"/>
      <c r="W213" s="586"/>
      <c r="X213" s="586"/>
      <c r="Y213" s="586"/>
      <c r="Z213" s="586"/>
      <c r="AA213" s="586"/>
      <c r="AB213" s="586"/>
      <c r="AC213" s="586"/>
      <c r="AD213" s="586"/>
      <c r="AE213" s="586"/>
      <c r="AF213" s="586"/>
      <c r="AG213" s="586"/>
      <c r="AH213" s="586"/>
      <c r="AI213" s="586"/>
      <c r="AJ213" s="586"/>
      <c r="AK213" s="586"/>
      <c r="AL213" s="586"/>
      <c r="AM213" s="586"/>
      <c r="AN213" s="586"/>
      <c r="AO213" s="586"/>
      <c r="AP213" s="586"/>
      <c r="AQ213" s="586"/>
      <c r="AR213" s="586"/>
      <c r="AS213" s="586"/>
      <c r="AT213" s="586"/>
      <c r="AU213" s="586"/>
      <c r="AV213" s="586"/>
      <c r="AW213" s="586"/>
      <c r="AX213" s="586"/>
      <c r="AY213" s="586"/>
      <c r="AZ213" s="586"/>
      <c r="BA213" s="586"/>
      <c r="BB213" s="586"/>
    </row>
    <row r="214" spans="1:54" s="574" customFormat="1" hidden="1">
      <c r="G214" s="263"/>
      <c r="H214" s="263"/>
      <c r="I214" s="263"/>
      <c r="J214" s="263"/>
      <c r="K214" s="263"/>
      <c r="L214" s="263"/>
      <c r="M214" s="263"/>
      <c r="N214" s="263"/>
      <c r="O214" s="263"/>
      <c r="P214" s="263"/>
      <c r="Q214" s="263"/>
      <c r="R214" s="263"/>
      <c r="S214" s="263"/>
      <c r="T214" s="263"/>
      <c r="U214" s="263"/>
      <c r="V214" s="586"/>
      <c r="W214" s="586"/>
      <c r="X214" s="586"/>
      <c r="Y214" s="586"/>
      <c r="Z214" s="586"/>
      <c r="AA214" s="586"/>
      <c r="AB214" s="586"/>
      <c r="AC214" s="586"/>
      <c r="AD214" s="586"/>
      <c r="AE214" s="586"/>
      <c r="AF214" s="586"/>
      <c r="AG214" s="586"/>
      <c r="AH214" s="586"/>
      <c r="AI214" s="586"/>
      <c r="AJ214" s="586"/>
      <c r="AK214" s="586"/>
      <c r="AL214" s="586"/>
      <c r="AM214" s="586"/>
      <c r="AN214" s="586"/>
      <c r="AO214" s="586"/>
      <c r="AP214" s="586"/>
      <c r="AQ214" s="586"/>
      <c r="AR214" s="586"/>
      <c r="AS214" s="586"/>
      <c r="AT214" s="586"/>
      <c r="AU214" s="586"/>
      <c r="AV214" s="586"/>
      <c r="AW214" s="586"/>
      <c r="AX214" s="586"/>
      <c r="AY214" s="586"/>
      <c r="AZ214" s="586"/>
      <c r="BA214" s="586"/>
      <c r="BB214" s="586"/>
    </row>
    <row r="215" spans="1:54" s="574" customFormat="1" hidden="1">
      <c r="A215" s="576"/>
      <c r="B215" s="580"/>
      <c r="D215" s="580"/>
      <c r="E215" s="578"/>
      <c r="F215" s="579"/>
      <c r="G215" s="263"/>
      <c r="H215" s="263"/>
      <c r="I215" s="263"/>
      <c r="J215" s="263"/>
      <c r="K215" s="263"/>
      <c r="L215" s="263"/>
      <c r="M215" s="263"/>
      <c r="N215" s="263"/>
      <c r="O215" s="263"/>
      <c r="P215" s="263"/>
      <c r="Q215" s="263"/>
      <c r="R215" s="263"/>
      <c r="S215" s="263"/>
      <c r="T215" s="263"/>
      <c r="U215" s="263"/>
      <c r="V215" s="586"/>
      <c r="W215" s="586"/>
      <c r="X215" s="586"/>
      <c r="Y215" s="586"/>
      <c r="Z215" s="586"/>
      <c r="AA215" s="586"/>
      <c r="AB215" s="586"/>
      <c r="AC215" s="586"/>
      <c r="AD215" s="586"/>
      <c r="AE215" s="586"/>
      <c r="AF215" s="586"/>
      <c r="AG215" s="586"/>
      <c r="AH215" s="586"/>
      <c r="AI215" s="586"/>
      <c r="AJ215" s="586"/>
      <c r="AK215" s="586"/>
      <c r="AL215" s="586"/>
      <c r="AM215" s="586"/>
      <c r="AN215" s="586"/>
      <c r="AO215" s="586"/>
      <c r="AP215" s="586"/>
      <c r="AQ215" s="586"/>
      <c r="AR215" s="586"/>
      <c r="AS215" s="586"/>
      <c r="AT215" s="586"/>
      <c r="AU215" s="586"/>
      <c r="AV215" s="586"/>
      <c r="AW215" s="586"/>
      <c r="AX215" s="586"/>
      <c r="AY215" s="586"/>
      <c r="AZ215" s="586"/>
      <c r="BA215" s="586"/>
      <c r="BB215" s="586"/>
    </row>
    <row r="216" spans="1:54" s="574" customFormat="1" hidden="1">
      <c r="A216" s="576"/>
      <c r="B216" s="581"/>
      <c r="G216" s="263"/>
      <c r="H216" s="263"/>
      <c r="I216" s="263"/>
      <c r="J216" s="263"/>
      <c r="K216" s="263"/>
      <c r="L216" s="263"/>
      <c r="M216" s="263"/>
      <c r="N216" s="263"/>
      <c r="O216" s="263"/>
      <c r="P216" s="263"/>
      <c r="Q216" s="263"/>
      <c r="R216" s="263"/>
      <c r="S216" s="263"/>
      <c r="T216" s="263"/>
      <c r="U216" s="263"/>
      <c r="V216" s="586"/>
      <c r="W216" s="586"/>
      <c r="X216" s="586"/>
      <c r="Y216" s="586"/>
      <c r="Z216" s="586"/>
      <c r="AA216" s="586"/>
      <c r="AB216" s="586"/>
      <c r="AC216" s="586"/>
      <c r="AD216" s="586"/>
      <c r="AE216" s="586"/>
      <c r="AF216" s="586"/>
      <c r="AG216" s="586"/>
      <c r="AH216" s="586"/>
      <c r="AI216" s="586"/>
      <c r="AJ216" s="586"/>
      <c r="AK216" s="586"/>
      <c r="AL216" s="586"/>
      <c r="AM216" s="586"/>
      <c r="AN216" s="586"/>
      <c r="AO216" s="586"/>
      <c r="AP216" s="586"/>
      <c r="AQ216" s="586"/>
      <c r="AR216" s="586"/>
      <c r="AS216" s="586"/>
      <c r="AT216" s="586"/>
      <c r="AU216" s="586"/>
      <c r="AV216" s="586"/>
      <c r="AW216" s="586"/>
      <c r="AX216" s="586"/>
      <c r="AY216" s="586"/>
      <c r="AZ216" s="586"/>
      <c r="BA216" s="586"/>
      <c r="BB216" s="586"/>
    </row>
    <row r="217" spans="1:54" s="574" customFormat="1" hidden="1">
      <c r="G217" s="263"/>
      <c r="H217" s="263"/>
      <c r="I217" s="263"/>
      <c r="J217" s="263"/>
      <c r="K217" s="263"/>
      <c r="L217" s="263"/>
      <c r="M217" s="263"/>
      <c r="N217" s="263"/>
      <c r="O217" s="263"/>
      <c r="P217" s="263"/>
      <c r="Q217" s="263"/>
      <c r="R217" s="263"/>
      <c r="S217" s="263"/>
      <c r="T217" s="263"/>
      <c r="U217" s="263"/>
      <c r="V217" s="586"/>
      <c r="W217" s="586"/>
      <c r="X217" s="586"/>
      <c r="Y217" s="586"/>
      <c r="Z217" s="586"/>
      <c r="AA217" s="586"/>
      <c r="AB217" s="586"/>
      <c r="AC217" s="586"/>
      <c r="AD217" s="586"/>
      <c r="AE217" s="586"/>
      <c r="AF217" s="586"/>
      <c r="AG217" s="586"/>
      <c r="AH217" s="586"/>
      <c r="AI217" s="586"/>
      <c r="AJ217" s="586"/>
      <c r="AK217" s="586"/>
      <c r="AL217" s="586"/>
      <c r="AM217" s="586"/>
      <c r="AN217" s="586"/>
      <c r="AO217" s="586"/>
      <c r="AP217" s="586"/>
      <c r="AQ217" s="586"/>
      <c r="AR217" s="586"/>
      <c r="AS217" s="586"/>
      <c r="AT217" s="586"/>
      <c r="AU217" s="586"/>
      <c r="AV217" s="586"/>
      <c r="AW217" s="586"/>
      <c r="AX217" s="586"/>
      <c r="AY217" s="586"/>
      <c r="AZ217" s="586"/>
      <c r="BA217" s="586"/>
      <c r="BB217" s="586"/>
    </row>
    <row r="218" spans="1:54" s="574" customFormat="1" hidden="1">
      <c r="A218" s="576"/>
      <c r="B218" s="580"/>
      <c r="D218" s="580"/>
      <c r="E218" s="578"/>
      <c r="F218" s="579"/>
      <c r="G218" s="263"/>
      <c r="H218" s="263"/>
      <c r="I218" s="263"/>
      <c r="J218" s="263"/>
      <c r="K218" s="263"/>
      <c r="L218" s="263"/>
      <c r="M218" s="263"/>
      <c r="N218" s="263"/>
      <c r="O218" s="263"/>
      <c r="P218" s="263"/>
      <c r="Q218" s="263"/>
      <c r="R218" s="263"/>
      <c r="S218" s="263"/>
      <c r="T218" s="263"/>
      <c r="U218" s="263"/>
      <c r="V218" s="586"/>
      <c r="W218" s="586"/>
      <c r="X218" s="586"/>
      <c r="Y218" s="586"/>
      <c r="Z218" s="586"/>
      <c r="AA218" s="586"/>
      <c r="AB218" s="586"/>
      <c r="AC218" s="586"/>
      <c r="AD218" s="586"/>
      <c r="AE218" s="586"/>
      <c r="AF218" s="586"/>
      <c r="AG218" s="586"/>
      <c r="AH218" s="586"/>
      <c r="AI218" s="586"/>
      <c r="AJ218" s="586"/>
      <c r="AK218" s="586"/>
      <c r="AL218" s="586"/>
      <c r="AM218" s="586"/>
      <c r="AN218" s="586"/>
      <c r="AO218" s="586"/>
      <c r="AP218" s="586"/>
      <c r="AQ218" s="586"/>
      <c r="AR218" s="586"/>
      <c r="AS218" s="586"/>
      <c r="AT218" s="586"/>
      <c r="AU218" s="586"/>
      <c r="AV218" s="586"/>
      <c r="AW218" s="586"/>
      <c r="AX218" s="586"/>
      <c r="AY218" s="586"/>
      <c r="AZ218" s="586"/>
      <c r="BA218" s="586"/>
      <c r="BB218" s="586"/>
    </row>
    <row r="219" spans="1:54" s="574" customFormat="1" hidden="1">
      <c r="A219" s="576"/>
      <c r="B219" s="581"/>
      <c r="G219" s="263"/>
      <c r="H219" s="263"/>
      <c r="I219" s="263"/>
      <c r="J219" s="263"/>
      <c r="K219" s="263"/>
      <c r="L219" s="263"/>
      <c r="M219" s="263"/>
      <c r="N219" s="263"/>
      <c r="O219" s="263"/>
      <c r="P219" s="263"/>
      <c r="Q219" s="263"/>
      <c r="R219" s="263"/>
      <c r="S219" s="263"/>
      <c r="T219" s="263"/>
      <c r="U219" s="263"/>
      <c r="V219" s="586"/>
      <c r="W219" s="586"/>
      <c r="X219" s="586"/>
      <c r="Y219" s="586"/>
      <c r="Z219" s="586"/>
      <c r="AA219" s="586"/>
      <c r="AB219" s="586"/>
      <c r="AC219" s="586"/>
      <c r="AD219" s="586"/>
      <c r="AE219" s="586"/>
      <c r="AF219" s="586"/>
      <c r="AG219" s="586"/>
      <c r="AH219" s="586"/>
      <c r="AI219" s="586"/>
      <c r="AJ219" s="586"/>
      <c r="AK219" s="586"/>
      <c r="AL219" s="586"/>
      <c r="AM219" s="586"/>
      <c r="AN219" s="586"/>
      <c r="AO219" s="586"/>
      <c r="AP219" s="586"/>
      <c r="AQ219" s="586"/>
      <c r="AR219" s="586"/>
      <c r="AS219" s="586"/>
      <c r="AT219" s="586"/>
      <c r="AU219" s="586"/>
      <c r="AV219" s="586"/>
      <c r="AW219" s="586"/>
      <c r="AX219" s="586"/>
      <c r="AY219" s="586"/>
      <c r="AZ219" s="586"/>
      <c r="BA219" s="586"/>
      <c r="BB219" s="586"/>
    </row>
    <row r="220" spans="1:54" s="574" customFormat="1" hidden="1">
      <c r="G220" s="263"/>
      <c r="H220" s="263"/>
      <c r="I220" s="263"/>
      <c r="J220" s="263"/>
      <c r="K220" s="263"/>
      <c r="L220" s="263"/>
      <c r="M220" s="263"/>
      <c r="N220" s="263"/>
      <c r="O220" s="263"/>
      <c r="P220" s="263"/>
      <c r="Q220" s="263"/>
      <c r="R220" s="263"/>
      <c r="S220" s="263"/>
      <c r="T220" s="263"/>
      <c r="U220" s="263"/>
      <c r="V220" s="586"/>
      <c r="W220" s="586"/>
      <c r="X220" s="586"/>
      <c r="Y220" s="586"/>
      <c r="Z220" s="586"/>
      <c r="AA220" s="586"/>
      <c r="AB220" s="586"/>
      <c r="AC220" s="586"/>
      <c r="AD220" s="586"/>
      <c r="AE220" s="586"/>
      <c r="AF220" s="586"/>
      <c r="AG220" s="586"/>
      <c r="AH220" s="586"/>
      <c r="AI220" s="586"/>
      <c r="AJ220" s="586"/>
      <c r="AK220" s="586"/>
      <c r="AL220" s="586"/>
      <c r="AM220" s="586"/>
      <c r="AN220" s="586"/>
      <c r="AO220" s="586"/>
      <c r="AP220" s="586"/>
      <c r="AQ220" s="586"/>
      <c r="AR220" s="586"/>
      <c r="AS220" s="586"/>
      <c r="AT220" s="586"/>
      <c r="AU220" s="586"/>
      <c r="AV220" s="586"/>
      <c r="AW220" s="586"/>
      <c r="AX220" s="586"/>
      <c r="AY220" s="586"/>
      <c r="AZ220" s="586"/>
      <c r="BA220" s="586"/>
      <c r="BB220" s="586"/>
    </row>
    <row r="221" spans="1:54" s="574" customFormat="1" hidden="1">
      <c r="A221" s="576"/>
      <c r="B221" s="580"/>
      <c r="D221" s="580"/>
      <c r="E221" s="578"/>
      <c r="F221" s="579"/>
      <c r="G221" s="263"/>
      <c r="H221" s="263"/>
      <c r="I221" s="263"/>
      <c r="J221" s="263"/>
      <c r="K221" s="263"/>
      <c r="L221" s="263"/>
      <c r="M221" s="263"/>
      <c r="N221" s="263"/>
      <c r="O221" s="263"/>
      <c r="P221" s="263"/>
      <c r="Q221" s="263"/>
      <c r="R221" s="263"/>
      <c r="S221" s="263"/>
      <c r="T221" s="263"/>
      <c r="U221" s="263"/>
      <c r="V221" s="586"/>
      <c r="W221" s="586"/>
      <c r="X221" s="586"/>
      <c r="Y221" s="586"/>
      <c r="Z221" s="586"/>
      <c r="AA221" s="586"/>
      <c r="AB221" s="586"/>
      <c r="AC221" s="586"/>
      <c r="AD221" s="586"/>
      <c r="AE221" s="586"/>
      <c r="AF221" s="586"/>
      <c r="AG221" s="586"/>
      <c r="AH221" s="586"/>
      <c r="AI221" s="586"/>
      <c r="AJ221" s="586"/>
      <c r="AK221" s="586"/>
      <c r="AL221" s="586"/>
      <c r="AM221" s="586"/>
      <c r="AN221" s="586"/>
      <c r="AO221" s="586"/>
      <c r="AP221" s="586"/>
      <c r="AQ221" s="586"/>
      <c r="AR221" s="586"/>
      <c r="AS221" s="586"/>
      <c r="AT221" s="586"/>
      <c r="AU221" s="586"/>
      <c r="AV221" s="586"/>
      <c r="AW221" s="586"/>
      <c r="AX221" s="586"/>
      <c r="AY221" s="586"/>
      <c r="AZ221" s="586"/>
      <c r="BA221" s="586"/>
      <c r="BB221" s="586"/>
    </row>
    <row r="222" spans="1:54" s="574" customFormat="1" hidden="1">
      <c r="A222" s="576"/>
      <c r="B222" s="581"/>
      <c r="G222" s="263"/>
      <c r="H222" s="263"/>
      <c r="I222" s="263"/>
      <c r="J222" s="263"/>
      <c r="K222" s="263"/>
      <c r="L222" s="263"/>
      <c r="M222" s="263"/>
      <c r="N222" s="263"/>
      <c r="O222" s="263"/>
      <c r="P222" s="263"/>
      <c r="Q222" s="263"/>
      <c r="R222" s="263"/>
      <c r="S222" s="263"/>
      <c r="T222" s="263"/>
      <c r="U222" s="263"/>
      <c r="V222" s="586"/>
      <c r="W222" s="586"/>
      <c r="X222" s="586"/>
      <c r="Y222" s="586"/>
      <c r="Z222" s="586"/>
      <c r="AA222" s="586"/>
      <c r="AB222" s="586"/>
      <c r="AC222" s="586"/>
      <c r="AD222" s="586"/>
      <c r="AE222" s="586"/>
      <c r="AF222" s="586"/>
      <c r="AG222" s="586"/>
      <c r="AH222" s="586"/>
      <c r="AI222" s="586"/>
      <c r="AJ222" s="586"/>
      <c r="AK222" s="586"/>
      <c r="AL222" s="586"/>
      <c r="AM222" s="586"/>
      <c r="AN222" s="586"/>
      <c r="AO222" s="586"/>
      <c r="AP222" s="586"/>
      <c r="AQ222" s="586"/>
      <c r="AR222" s="586"/>
      <c r="AS222" s="586"/>
      <c r="AT222" s="586"/>
      <c r="AU222" s="586"/>
      <c r="AV222" s="586"/>
      <c r="AW222" s="586"/>
      <c r="AX222" s="586"/>
      <c r="AY222" s="586"/>
      <c r="AZ222" s="586"/>
      <c r="BA222" s="586"/>
      <c r="BB222" s="586"/>
    </row>
    <row r="223" spans="1:54" s="574" customFormat="1" hidden="1">
      <c r="G223" s="263"/>
      <c r="H223" s="263"/>
      <c r="I223" s="263"/>
      <c r="J223" s="263"/>
      <c r="K223" s="263"/>
      <c r="L223" s="263"/>
      <c r="M223" s="263"/>
      <c r="N223" s="263"/>
      <c r="O223" s="263"/>
      <c r="P223" s="263"/>
      <c r="Q223" s="263"/>
      <c r="R223" s="263"/>
      <c r="S223" s="263"/>
      <c r="T223" s="263"/>
      <c r="U223" s="263"/>
      <c r="V223" s="586"/>
      <c r="W223" s="586"/>
      <c r="X223" s="586"/>
      <c r="Y223" s="586"/>
      <c r="Z223" s="586"/>
      <c r="AA223" s="586"/>
      <c r="AB223" s="586"/>
      <c r="AC223" s="586"/>
      <c r="AD223" s="586"/>
      <c r="AE223" s="586"/>
      <c r="AF223" s="586"/>
      <c r="AG223" s="586"/>
      <c r="AH223" s="586"/>
      <c r="AI223" s="586"/>
      <c r="AJ223" s="586"/>
      <c r="AK223" s="586"/>
      <c r="AL223" s="586"/>
      <c r="AM223" s="586"/>
      <c r="AN223" s="586"/>
      <c r="AO223" s="586"/>
      <c r="AP223" s="586"/>
      <c r="AQ223" s="586"/>
      <c r="AR223" s="586"/>
      <c r="AS223" s="586"/>
      <c r="AT223" s="586"/>
      <c r="AU223" s="586"/>
      <c r="AV223" s="586"/>
      <c r="AW223" s="586"/>
      <c r="AX223" s="586"/>
      <c r="AY223" s="586"/>
      <c r="AZ223" s="586"/>
      <c r="BA223" s="586"/>
      <c r="BB223" s="586"/>
    </row>
    <row r="224" spans="1:54" s="574" customFormat="1" hidden="1">
      <c r="A224" s="576"/>
      <c r="B224" s="580"/>
      <c r="D224" s="580"/>
      <c r="E224" s="578"/>
      <c r="F224" s="579"/>
      <c r="G224" s="263"/>
      <c r="H224" s="263"/>
      <c r="I224" s="263"/>
      <c r="J224" s="263"/>
      <c r="K224" s="263"/>
      <c r="L224" s="263"/>
      <c r="M224" s="263"/>
      <c r="N224" s="263"/>
      <c r="O224" s="263"/>
      <c r="P224" s="263"/>
      <c r="Q224" s="263"/>
      <c r="R224" s="263"/>
      <c r="S224" s="263"/>
      <c r="T224" s="263"/>
      <c r="U224" s="263"/>
      <c r="V224" s="586"/>
      <c r="W224" s="586"/>
      <c r="X224" s="586"/>
      <c r="Y224" s="586"/>
      <c r="Z224" s="586"/>
      <c r="AA224" s="586"/>
      <c r="AB224" s="586"/>
      <c r="AC224" s="586"/>
      <c r="AD224" s="586"/>
      <c r="AE224" s="586"/>
      <c r="AF224" s="586"/>
      <c r="AG224" s="586"/>
      <c r="AH224" s="586"/>
      <c r="AI224" s="586"/>
      <c r="AJ224" s="586"/>
      <c r="AK224" s="586"/>
      <c r="AL224" s="586"/>
      <c r="AM224" s="586"/>
      <c r="AN224" s="586"/>
      <c r="AO224" s="586"/>
      <c r="AP224" s="586"/>
      <c r="AQ224" s="586"/>
      <c r="AR224" s="586"/>
      <c r="AS224" s="586"/>
      <c r="AT224" s="586"/>
      <c r="AU224" s="586"/>
      <c r="AV224" s="586"/>
      <c r="AW224" s="586"/>
      <c r="AX224" s="586"/>
      <c r="AY224" s="586"/>
      <c r="AZ224" s="586"/>
      <c r="BA224" s="586"/>
      <c r="BB224" s="586"/>
    </row>
    <row r="225" spans="1:54" s="574" customFormat="1" hidden="1">
      <c r="A225" s="576"/>
      <c r="B225" s="581"/>
      <c r="G225" s="263"/>
      <c r="H225" s="263"/>
      <c r="I225" s="263"/>
      <c r="J225" s="263"/>
      <c r="K225" s="263"/>
      <c r="L225" s="263"/>
      <c r="M225" s="263"/>
      <c r="N225" s="263"/>
      <c r="O225" s="263"/>
      <c r="P225" s="263"/>
      <c r="Q225" s="263"/>
      <c r="R225" s="263"/>
      <c r="S225" s="263"/>
      <c r="T225" s="263"/>
      <c r="U225" s="263"/>
      <c r="V225" s="586"/>
      <c r="W225" s="586"/>
      <c r="X225" s="586"/>
      <c r="Y225" s="586"/>
      <c r="Z225" s="586"/>
      <c r="AA225" s="586"/>
      <c r="AB225" s="586"/>
      <c r="AC225" s="586"/>
      <c r="AD225" s="586"/>
      <c r="AE225" s="586"/>
      <c r="AF225" s="586"/>
      <c r="AG225" s="586"/>
      <c r="AH225" s="586"/>
      <c r="AI225" s="586"/>
      <c r="AJ225" s="586"/>
      <c r="AK225" s="586"/>
      <c r="AL225" s="586"/>
      <c r="AM225" s="586"/>
      <c r="AN225" s="586"/>
      <c r="AO225" s="586"/>
      <c r="AP225" s="586"/>
      <c r="AQ225" s="586"/>
      <c r="AR225" s="586"/>
      <c r="AS225" s="586"/>
      <c r="AT225" s="586"/>
      <c r="AU225" s="586"/>
      <c r="AV225" s="586"/>
      <c r="AW225" s="586"/>
      <c r="AX225" s="586"/>
      <c r="AY225" s="586"/>
      <c r="AZ225" s="586"/>
      <c r="BA225" s="586"/>
      <c r="BB225" s="586"/>
    </row>
    <row r="226" spans="1:54" s="574" customFormat="1" hidden="1">
      <c r="G226" s="263"/>
      <c r="H226" s="263"/>
      <c r="I226" s="263"/>
      <c r="J226" s="263"/>
      <c r="K226" s="263"/>
      <c r="L226" s="263"/>
      <c r="M226" s="263"/>
      <c r="N226" s="263"/>
      <c r="O226" s="263"/>
      <c r="P226" s="263"/>
      <c r="Q226" s="263"/>
      <c r="R226" s="263"/>
      <c r="S226" s="263"/>
      <c r="T226" s="263"/>
      <c r="U226" s="263"/>
      <c r="V226" s="586"/>
      <c r="W226" s="586"/>
      <c r="X226" s="586"/>
      <c r="Y226" s="586"/>
      <c r="Z226" s="586"/>
      <c r="AA226" s="586"/>
      <c r="AB226" s="586"/>
      <c r="AC226" s="586"/>
      <c r="AD226" s="586"/>
      <c r="AE226" s="586"/>
      <c r="AF226" s="586"/>
      <c r="AG226" s="586"/>
      <c r="AH226" s="586"/>
      <c r="AI226" s="586"/>
      <c r="AJ226" s="586"/>
      <c r="AK226" s="586"/>
      <c r="AL226" s="586"/>
      <c r="AM226" s="586"/>
      <c r="AN226" s="586"/>
      <c r="AO226" s="586"/>
      <c r="AP226" s="586"/>
      <c r="AQ226" s="586"/>
      <c r="AR226" s="586"/>
      <c r="AS226" s="586"/>
      <c r="AT226" s="586"/>
      <c r="AU226" s="586"/>
      <c r="AV226" s="586"/>
      <c r="AW226" s="586"/>
      <c r="AX226" s="586"/>
      <c r="AY226" s="586"/>
      <c r="AZ226" s="586"/>
      <c r="BA226" s="586"/>
      <c r="BB226" s="586"/>
    </row>
    <row r="227" spans="1:54" s="574" customFormat="1" hidden="1">
      <c r="A227" s="576"/>
      <c r="B227" s="580"/>
      <c r="D227" s="580"/>
      <c r="E227" s="578"/>
      <c r="F227" s="579"/>
      <c r="G227" s="263"/>
      <c r="H227" s="263"/>
      <c r="I227" s="263"/>
      <c r="J227" s="263"/>
      <c r="K227" s="263"/>
      <c r="L227" s="263"/>
      <c r="M227" s="263"/>
      <c r="N227" s="263"/>
      <c r="O227" s="263"/>
      <c r="P227" s="263"/>
      <c r="Q227" s="263"/>
      <c r="R227" s="263"/>
      <c r="S227" s="263"/>
      <c r="T227" s="263"/>
      <c r="U227" s="263"/>
      <c r="V227" s="586"/>
      <c r="W227" s="586"/>
      <c r="X227" s="586"/>
      <c r="Y227" s="586"/>
      <c r="Z227" s="586"/>
      <c r="AA227" s="586"/>
      <c r="AB227" s="586"/>
      <c r="AC227" s="586"/>
      <c r="AD227" s="586"/>
      <c r="AE227" s="586"/>
      <c r="AF227" s="586"/>
      <c r="AG227" s="586"/>
      <c r="AH227" s="586"/>
      <c r="AI227" s="586"/>
      <c r="AJ227" s="586"/>
      <c r="AK227" s="586"/>
      <c r="AL227" s="586"/>
      <c r="AM227" s="586"/>
      <c r="AN227" s="586"/>
      <c r="AO227" s="586"/>
      <c r="AP227" s="586"/>
      <c r="AQ227" s="586"/>
      <c r="AR227" s="586"/>
      <c r="AS227" s="586"/>
      <c r="AT227" s="586"/>
      <c r="AU227" s="586"/>
      <c r="AV227" s="586"/>
      <c r="AW227" s="586"/>
      <c r="AX227" s="586"/>
      <c r="AY227" s="586"/>
      <c r="AZ227" s="586"/>
      <c r="BA227" s="586"/>
      <c r="BB227" s="586"/>
    </row>
    <row r="228" spans="1:54" s="574" customFormat="1" hidden="1">
      <c r="A228" s="576"/>
      <c r="B228" s="581"/>
      <c r="G228" s="263"/>
      <c r="H228" s="263"/>
      <c r="I228" s="263"/>
      <c r="J228" s="263"/>
      <c r="K228" s="263"/>
      <c r="L228" s="263"/>
      <c r="M228" s="263"/>
      <c r="N228" s="263"/>
      <c r="O228" s="263"/>
      <c r="P228" s="263"/>
      <c r="Q228" s="263"/>
      <c r="R228" s="263"/>
      <c r="S228" s="263"/>
      <c r="T228" s="263"/>
      <c r="U228" s="263"/>
      <c r="V228" s="586"/>
      <c r="W228" s="586"/>
      <c r="X228" s="586"/>
      <c r="Y228" s="586"/>
      <c r="Z228" s="586"/>
      <c r="AA228" s="586"/>
      <c r="AB228" s="586"/>
      <c r="AC228" s="586"/>
      <c r="AD228" s="586"/>
      <c r="AE228" s="586"/>
      <c r="AF228" s="586"/>
      <c r="AG228" s="586"/>
      <c r="AH228" s="586"/>
      <c r="AI228" s="586"/>
      <c r="AJ228" s="586"/>
      <c r="AK228" s="586"/>
      <c r="AL228" s="586"/>
      <c r="AM228" s="586"/>
      <c r="AN228" s="586"/>
      <c r="AO228" s="586"/>
      <c r="AP228" s="586"/>
      <c r="AQ228" s="586"/>
      <c r="AR228" s="586"/>
      <c r="AS228" s="586"/>
      <c r="AT228" s="586"/>
      <c r="AU228" s="586"/>
      <c r="AV228" s="586"/>
      <c r="AW228" s="586"/>
      <c r="AX228" s="586"/>
      <c r="AY228" s="586"/>
      <c r="AZ228" s="586"/>
      <c r="BA228" s="586"/>
      <c r="BB228" s="586"/>
    </row>
    <row r="229" spans="1:54" s="574" customFormat="1" hidden="1">
      <c r="G229" s="263"/>
      <c r="H229" s="263"/>
      <c r="I229" s="263"/>
      <c r="J229" s="263"/>
      <c r="K229" s="263"/>
      <c r="L229" s="263"/>
      <c r="M229" s="263"/>
      <c r="N229" s="263"/>
      <c r="O229" s="263"/>
      <c r="P229" s="263"/>
      <c r="Q229" s="263"/>
      <c r="R229" s="263"/>
      <c r="S229" s="263"/>
      <c r="T229" s="263"/>
      <c r="U229" s="263"/>
      <c r="V229" s="586"/>
      <c r="W229" s="586"/>
      <c r="X229" s="586"/>
      <c r="Y229" s="586"/>
      <c r="Z229" s="586"/>
      <c r="AA229" s="586"/>
      <c r="AB229" s="586"/>
      <c r="AC229" s="586"/>
      <c r="AD229" s="586"/>
      <c r="AE229" s="586"/>
      <c r="AF229" s="586"/>
      <c r="AG229" s="586"/>
      <c r="AH229" s="586"/>
      <c r="AI229" s="586"/>
      <c r="AJ229" s="586"/>
      <c r="AK229" s="586"/>
      <c r="AL229" s="586"/>
      <c r="AM229" s="586"/>
      <c r="AN229" s="586"/>
      <c r="AO229" s="586"/>
      <c r="AP229" s="586"/>
      <c r="AQ229" s="586"/>
      <c r="AR229" s="586"/>
      <c r="AS229" s="586"/>
      <c r="AT229" s="586"/>
      <c r="AU229" s="586"/>
      <c r="AV229" s="586"/>
      <c r="AW229" s="586"/>
      <c r="AX229" s="586"/>
      <c r="AY229" s="586"/>
      <c r="AZ229" s="586"/>
      <c r="BA229" s="586"/>
      <c r="BB229" s="586"/>
    </row>
    <row r="230" spans="1:54" s="574" customFormat="1" hidden="1">
      <c r="A230" s="576"/>
      <c r="B230" s="580"/>
      <c r="D230" s="580"/>
      <c r="E230" s="578"/>
      <c r="F230" s="579"/>
      <c r="G230" s="263"/>
      <c r="H230" s="263"/>
      <c r="I230" s="263"/>
      <c r="J230" s="263"/>
      <c r="K230" s="263"/>
      <c r="L230" s="263"/>
      <c r="M230" s="263"/>
      <c r="N230" s="263"/>
      <c r="O230" s="263"/>
      <c r="P230" s="263"/>
      <c r="Q230" s="263"/>
      <c r="R230" s="263"/>
      <c r="S230" s="263"/>
      <c r="T230" s="263"/>
      <c r="U230" s="263"/>
      <c r="V230" s="586"/>
      <c r="W230" s="586"/>
      <c r="X230" s="586"/>
      <c r="Y230" s="586"/>
      <c r="Z230" s="586"/>
      <c r="AA230" s="586"/>
      <c r="AB230" s="586"/>
      <c r="AC230" s="586"/>
      <c r="AD230" s="586"/>
      <c r="AE230" s="586"/>
      <c r="AF230" s="586"/>
      <c r="AG230" s="586"/>
      <c r="AH230" s="586"/>
      <c r="AI230" s="586"/>
      <c r="AJ230" s="586"/>
      <c r="AK230" s="586"/>
      <c r="AL230" s="586"/>
      <c r="AM230" s="586"/>
      <c r="AN230" s="586"/>
      <c r="AO230" s="586"/>
      <c r="AP230" s="586"/>
      <c r="AQ230" s="586"/>
      <c r="AR230" s="586"/>
      <c r="AS230" s="586"/>
      <c r="AT230" s="586"/>
      <c r="AU230" s="586"/>
      <c r="AV230" s="586"/>
      <c r="AW230" s="586"/>
      <c r="AX230" s="586"/>
      <c r="AY230" s="586"/>
      <c r="AZ230" s="586"/>
      <c r="BA230" s="586"/>
      <c r="BB230" s="586"/>
    </row>
    <row r="231" spans="1:54" s="574" customFormat="1" hidden="1">
      <c r="A231" s="576"/>
      <c r="B231" s="581"/>
      <c r="G231" s="263"/>
      <c r="H231" s="263"/>
      <c r="I231" s="263"/>
      <c r="J231" s="263"/>
      <c r="K231" s="263"/>
      <c r="L231" s="263"/>
      <c r="M231" s="263"/>
      <c r="N231" s="263"/>
      <c r="O231" s="263"/>
      <c r="P231" s="263"/>
      <c r="Q231" s="263"/>
      <c r="R231" s="263"/>
      <c r="S231" s="263"/>
      <c r="T231" s="263"/>
      <c r="U231" s="263"/>
      <c r="V231" s="586"/>
      <c r="W231" s="586"/>
      <c r="X231" s="586"/>
      <c r="Y231" s="586"/>
      <c r="Z231" s="586"/>
      <c r="AA231" s="586"/>
      <c r="AB231" s="586"/>
      <c r="AC231" s="586"/>
      <c r="AD231" s="586"/>
      <c r="AE231" s="586"/>
      <c r="AF231" s="586"/>
      <c r="AG231" s="586"/>
      <c r="AH231" s="586"/>
      <c r="AI231" s="586"/>
      <c r="AJ231" s="586"/>
      <c r="AK231" s="586"/>
      <c r="AL231" s="586"/>
      <c r="AM231" s="586"/>
      <c r="AN231" s="586"/>
      <c r="AO231" s="586"/>
      <c r="AP231" s="586"/>
      <c r="AQ231" s="586"/>
      <c r="AR231" s="586"/>
      <c r="AS231" s="586"/>
      <c r="AT231" s="586"/>
      <c r="AU231" s="586"/>
      <c r="AV231" s="586"/>
      <c r="AW231" s="586"/>
      <c r="AX231" s="586"/>
      <c r="AY231" s="586"/>
      <c r="AZ231" s="586"/>
      <c r="BA231" s="586"/>
      <c r="BB231" s="586"/>
    </row>
    <row r="232" spans="1:54" s="574" customFormat="1" hidden="1">
      <c r="G232" s="263"/>
      <c r="H232" s="263"/>
      <c r="I232" s="263"/>
      <c r="J232" s="263"/>
      <c r="K232" s="263"/>
      <c r="L232" s="263"/>
      <c r="M232" s="263"/>
      <c r="N232" s="263"/>
      <c r="O232" s="263"/>
      <c r="P232" s="263"/>
      <c r="Q232" s="263"/>
      <c r="R232" s="263"/>
      <c r="S232" s="263"/>
      <c r="T232" s="263"/>
      <c r="U232" s="263"/>
      <c r="V232" s="586"/>
      <c r="W232" s="586"/>
      <c r="X232" s="586"/>
      <c r="Y232" s="586"/>
      <c r="Z232" s="586"/>
      <c r="AA232" s="586"/>
      <c r="AB232" s="586"/>
      <c r="AC232" s="586"/>
      <c r="AD232" s="586"/>
      <c r="AE232" s="586"/>
      <c r="AF232" s="586"/>
      <c r="AG232" s="586"/>
      <c r="AH232" s="586"/>
      <c r="AI232" s="586"/>
      <c r="AJ232" s="586"/>
      <c r="AK232" s="586"/>
      <c r="AL232" s="586"/>
      <c r="AM232" s="586"/>
      <c r="AN232" s="586"/>
      <c r="AO232" s="586"/>
      <c r="AP232" s="586"/>
      <c r="AQ232" s="586"/>
      <c r="AR232" s="586"/>
      <c r="AS232" s="586"/>
      <c r="AT232" s="586"/>
      <c r="AU232" s="586"/>
      <c r="AV232" s="586"/>
      <c r="AW232" s="586"/>
      <c r="AX232" s="586"/>
      <c r="AY232" s="586"/>
      <c r="AZ232" s="586"/>
      <c r="BA232" s="586"/>
      <c r="BB232" s="586"/>
    </row>
    <row r="233" spans="1:54" s="574" customFormat="1" hidden="1">
      <c r="A233" s="576"/>
      <c r="B233" s="580"/>
      <c r="D233" s="580"/>
      <c r="E233" s="578"/>
      <c r="F233" s="579"/>
      <c r="G233" s="263"/>
      <c r="H233" s="263"/>
      <c r="I233" s="263"/>
      <c r="J233" s="263"/>
      <c r="K233" s="263"/>
      <c r="L233" s="263"/>
      <c r="M233" s="263"/>
      <c r="N233" s="263"/>
      <c r="O233" s="263"/>
      <c r="P233" s="263"/>
      <c r="Q233" s="263"/>
      <c r="R233" s="263"/>
      <c r="S233" s="263"/>
      <c r="T233" s="263"/>
      <c r="U233" s="263"/>
      <c r="V233" s="586"/>
      <c r="W233" s="586"/>
      <c r="X233" s="586"/>
      <c r="Y233" s="586"/>
      <c r="Z233" s="586"/>
      <c r="AA233" s="586"/>
      <c r="AB233" s="586"/>
      <c r="AC233" s="586"/>
      <c r="AD233" s="586"/>
      <c r="AE233" s="586"/>
      <c r="AF233" s="586"/>
      <c r="AG233" s="586"/>
      <c r="AH233" s="586"/>
      <c r="AI233" s="586"/>
      <c r="AJ233" s="586"/>
      <c r="AK233" s="586"/>
      <c r="AL233" s="586"/>
      <c r="AM233" s="586"/>
      <c r="AN233" s="586"/>
      <c r="AO233" s="586"/>
      <c r="AP233" s="586"/>
      <c r="AQ233" s="586"/>
      <c r="AR233" s="586"/>
      <c r="AS233" s="586"/>
      <c r="AT233" s="586"/>
      <c r="AU233" s="586"/>
      <c r="AV233" s="586"/>
      <c r="AW233" s="586"/>
      <c r="AX233" s="586"/>
      <c r="AY233" s="586"/>
      <c r="AZ233" s="586"/>
      <c r="BA233" s="586"/>
      <c r="BB233" s="586"/>
    </row>
    <row r="234" spans="1:54" s="574" customFormat="1" hidden="1">
      <c r="A234" s="576"/>
      <c r="B234" s="581"/>
      <c r="G234" s="263"/>
      <c r="H234" s="263"/>
      <c r="I234" s="263"/>
      <c r="J234" s="263"/>
      <c r="K234" s="263"/>
      <c r="L234" s="263"/>
      <c r="M234" s="263"/>
      <c r="N234" s="263"/>
      <c r="O234" s="263"/>
      <c r="P234" s="263"/>
      <c r="Q234" s="263"/>
      <c r="R234" s="263"/>
      <c r="S234" s="263"/>
      <c r="T234" s="263"/>
      <c r="U234" s="263"/>
      <c r="V234" s="586"/>
      <c r="W234" s="586"/>
      <c r="X234" s="586"/>
      <c r="Y234" s="586"/>
      <c r="Z234" s="586"/>
      <c r="AA234" s="586"/>
      <c r="AB234" s="586"/>
      <c r="AC234" s="586"/>
      <c r="AD234" s="586"/>
      <c r="AE234" s="586"/>
      <c r="AF234" s="586"/>
      <c r="AG234" s="586"/>
      <c r="AH234" s="586"/>
      <c r="AI234" s="586"/>
      <c r="AJ234" s="586"/>
      <c r="AK234" s="586"/>
      <c r="AL234" s="586"/>
      <c r="AM234" s="586"/>
      <c r="AN234" s="586"/>
      <c r="AO234" s="586"/>
      <c r="AP234" s="586"/>
      <c r="AQ234" s="586"/>
      <c r="AR234" s="586"/>
      <c r="AS234" s="586"/>
      <c r="AT234" s="586"/>
      <c r="AU234" s="586"/>
      <c r="AV234" s="586"/>
      <c r="AW234" s="586"/>
      <c r="AX234" s="586"/>
      <c r="AY234" s="586"/>
      <c r="AZ234" s="586"/>
      <c r="BA234" s="586"/>
      <c r="BB234" s="586"/>
    </row>
    <row r="235" spans="1:54" s="574" customFormat="1" hidden="1">
      <c r="G235" s="263"/>
      <c r="H235" s="263"/>
      <c r="I235" s="263"/>
      <c r="J235" s="263"/>
      <c r="K235" s="263"/>
      <c r="L235" s="263"/>
      <c r="M235" s="263"/>
      <c r="N235" s="263"/>
      <c r="O235" s="263"/>
      <c r="P235" s="263"/>
      <c r="Q235" s="263"/>
      <c r="R235" s="263"/>
      <c r="S235" s="263"/>
      <c r="T235" s="263"/>
      <c r="U235" s="263"/>
      <c r="V235" s="586"/>
      <c r="W235" s="586"/>
      <c r="X235" s="586"/>
      <c r="Y235" s="586"/>
      <c r="Z235" s="586"/>
      <c r="AA235" s="586"/>
      <c r="AB235" s="586"/>
      <c r="AC235" s="586"/>
      <c r="AD235" s="586"/>
      <c r="AE235" s="586"/>
      <c r="AF235" s="586"/>
      <c r="AG235" s="586"/>
      <c r="AH235" s="586"/>
      <c r="AI235" s="586"/>
      <c r="AJ235" s="586"/>
      <c r="AK235" s="586"/>
      <c r="AL235" s="586"/>
      <c r="AM235" s="586"/>
      <c r="AN235" s="586"/>
      <c r="AO235" s="586"/>
      <c r="AP235" s="586"/>
      <c r="AQ235" s="586"/>
      <c r="AR235" s="586"/>
      <c r="AS235" s="586"/>
      <c r="AT235" s="586"/>
      <c r="AU235" s="586"/>
      <c r="AV235" s="586"/>
      <c r="AW235" s="586"/>
      <c r="AX235" s="586"/>
      <c r="AY235" s="586"/>
      <c r="AZ235" s="586"/>
      <c r="BA235" s="586"/>
      <c r="BB235" s="586"/>
    </row>
    <row r="236" spans="1:54" s="574" customFormat="1" hidden="1">
      <c r="A236" s="576"/>
      <c r="B236" s="580"/>
      <c r="D236" s="580"/>
      <c r="E236" s="578"/>
      <c r="F236" s="579"/>
      <c r="G236" s="263"/>
      <c r="H236" s="263"/>
      <c r="I236" s="263"/>
      <c r="J236" s="263"/>
      <c r="K236" s="263"/>
      <c r="L236" s="263"/>
      <c r="M236" s="263"/>
      <c r="N236" s="263"/>
      <c r="O236" s="263"/>
      <c r="P236" s="263"/>
      <c r="Q236" s="263"/>
      <c r="R236" s="263"/>
      <c r="S236" s="263"/>
      <c r="T236" s="263"/>
      <c r="U236" s="263"/>
      <c r="V236" s="586"/>
      <c r="W236" s="586"/>
      <c r="X236" s="586"/>
      <c r="Y236" s="586"/>
      <c r="Z236" s="586"/>
      <c r="AA236" s="586"/>
      <c r="AB236" s="586"/>
      <c r="AC236" s="586"/>
      <c r="AD236" s="586"/>
      <c r="AE236" s="586"/>
      <c r="AF236" s="586"/>
      <c r="AG236" s="586"/>
      <c r="AH236" s="586"/>
      <c r="AI236" s="586"/>
      <c r="AJ236" s="586"/>
      <c r="AK236" s="586"/>
      <c r="AL236" s="586"/>
      <c r="AM236" s="586"/>
      <c r="AN236" s="586"/>
      <c r="AO236" s="586"/>
      <c r="AP236" s="586"/>
      <c r="AQ236" s="586"/>
      <c r="AR236" s="586"/>
      <c r="AS236" s="586"/>
      <c r="AT236" s="586"/>
      <c r="AU236" s="586"/>
      <c r="AV236" s="586"/>
      <c r="AW236" s="586"/>
      <c r="AX236" s="586"/>
      <c r="AY236" s="586"/>
      <c r="AZ236" s="586"/>
      <c r="BA236" s="586"/>
      <c r="BB236" s="586"/>
    </row>
    <row r="237" spans="1:54" s="574" customFormat="1" hidden="1">
      <c r="A237" s="576"/>
      <c r="B237" s="581"/>
      <c r="G237" s="263"/>
      <c r="H237" s="263"/>
      <c r="I237" s="263"/>
      <c r="J237" s="263"/>
      <c r="K237" s="263"/>
      <c r="L237" s="263"/>
      <c r="M237" s="263"/>
      <c r="N237" s="263"/>
      <c r="O237" s="263"/>
      <c r="P237" s="263"/>
      <c r="Q237" s="263"/>
      <c r="R237" s="263"/>
      <c r="S237" s="263"/>
      <c r="T237" s="263"/>
      <c r="U237" s="263"/>
      <c r="V237" s="586"/>
      <c r="W237" s="586"/>
      <c r="X237" s="586"/>
      <c r="Y237" s="586"/>
      <c r="Z237" s="586"/>
      <c r="AA237" s="586"/>
      <c r="AB237" s="586"/>
      <c r="AC237" s="586"/>
      <c r="AD237" s="586"/>
      <c r="AE237" s="586"/>
      <c r="AF237" s="586"/>
      <c r="AG237" s="586"/>
      <c r="AH237" s="586"/>
      <c r="AI237" s="586"/>
      <c r="AJ237" s="586"/>
      <c r="AK237" s="586"/>
      <c r="AL237" s="586"/>
      <c r="AM237" s="586"/>
      <c r="AN237" s="586"/>
      <c r="AO237" s="586"/>
      <c r="AP237" s="586"/>
      <c r="AQ237" s="586"/>
      <c r="AR237" s="586"/>
      <c r="AS237" s="586"/>
      <c r="AT237" s="586"/>
      <c r="AU237" s="586"/>
      <c r="AV237" s="586"/>
      <c r="AW237" s="586"/>
      <c r="AX237" s="586"/>
      <c r="AY237" s="586"/>
      <c r="AZ237" s="586"/>
      <c r="BA237" s="586"/>
      <c r="BB237" s="586"/>
    </row>
    <row r="238" spans="1:54" s="574" customFormat="1" hidden="1">
      <c r="G238" s="263"/>
      <c r="H238" s="263"/>
      <c r="I238" s="263"/>
      <c r="J238" s="263"/>
      <c r="K238" s="263"/>
      <c r="L238" s="263"/>
      <c r="M238" s="263"/>
      <c r="N238" s="263"/>
      <c r="O238" s="263"/>
      <c r="P238" s="263"/>
      <c r="Q238" s="263"/>
      <c r="R238" s="263"/>
      <c r="S238" s="263"/>
      <c r="T238" s="263"/>
      <c r="U238" s="263"/>
      <c r="V238" s="586"/>
      <c r="W238" s="586"/>
      <c r="X238" s="586"/>
      <c r="Y238" s="586"/>
      <c r="Z238" s="586"/>
      <c r="AA238" s="586"/>
      <c r="AB238" s="586"/>
      <c r="AC238" s="586"/>
      <c r="AD238" s="586"/>
      <c r="AE238" s="586"/>
      <c r="AF238" s="586"/>
      <c r="AG238" s="586"/>
      <c r="AH238" s="586"/>
      <c r="AI238" s="586"/>
      <c r="AJ238" s="586"/>
      <c r="AK238" s="586"/>
      <c r="AL238" s="586"/>
      <c r="AM238" s="586"/>
      <c r="AN238" s="586"/>
      <c r="AO238" s="586"/>
      <c r="AP238" s="586"/>
      <c r="AQ238" s="586"/>
      <c r="AR238" s="586"/>
      <c r="AS238" s="586"/>
      <c r="AT238" s="586"/>
      <c r="AU238" s="586"/>
      <c r="AV238" s="586"/>
      <c r="AW238" s="586"/>
      <c r="AX238" s="586"/>
      <c r="AY238" s="586"/>
      <c r="AZ238" s="586"/>
      <c r="BA238" s="586"/>
      <c r="BB238" s="586"/>
    </row>
    <row r="239" spans="1:54" s="574" customFormat="1" hidden="1">
      <c r="A239" s="576"/>
      <c r="B239" s="580"/>
      <c r="D239" s="580"/>
      <c r="E239" s="578"/>
      <c r="F239" s="579"/>
      <c r="G239" s="263"/>
      <c r="H239" s="263"/>
      <c r="I239" s="263"/>
      <c r="J239" s="263"/>
      <c r="K239" s="263"/>
      <c r="L239" s="263"/>
      <c r="M239" s="263"/>
      <c r="N239" s="263"/>
      <c r="O239" s="263"/>
      <c r="P239" s="263"/>
      <c r="Q239" s="263"/>
      <c r="R239" s="263"/>
      <c r="S239" s="263"/>
      <c r="T239" s="263"/>
      <c r="U239" s="263"/>
      <c r="V239" s="586"/>
      <c r="W239" s="586"/>
      <c r="X239" s="586"/>
      <c r="Y239" s="586"/>
      <c r="Z239" s="586"/>
      <c r="AA239" s="586"/>
      <c r="AB239" s="586"/>
      <c r="AC239" s="586"/>
      <c r="AD239" s="586"/>
      <c r="AE239" s="586"/>
      <c r="AF239" s="586"/>
      <c r="AG239" s="586"/>
      <c r="AH239" s="586"/>
      <c r="AI239" s="586"/>
      <c r="AJ239" s="586"/>
      <c r="AK239" s="586"/>
      <c r="AL239" s="586"/>
      <c r="AM239" s="586"/>
      <c r="AN239" s="586"/>
      <c r="AO239" s="586"/>
      <c r="AP239" s="586"/>
      <c r="AQ239" s="586"/>
      <c r="AR239" s="586"/>
      <c r="AS239" s="586"/>
      <c r="AT239" s="586"/>
      <c r="AU239" s="586"/>
      <c r="AV239" s="586"/>
      <c r="AW239" s="586"/>
      <c r="AX239" s="586"/>
      <c r="AY239" s="586"/>
      <c r="AZ239" s="586"/>
      <c r="BA239" s="586"/>
      <c r="BB239" s="586"/>
    </row>
    <row r="240" spans="1:54" s="574" customFormat="1" hidden="1">
      <c r="A240" s="576"/>
      <c r="B240" s="581"/>
      <c r="G240" s="263"/>
      <c r="H240" s="263"/>
      <c r="I240" s="263"/>
      <c r="J240" s="263"/>
      <c r="K240" s="263"/>
      <c r="L240" s="263"/>
      <c r="M240" s="263"/>
      <c r="N240" s="263"/>
      <c r="O240" s="263"/>
      <c r="P240" s="263"/>
      <c r="Q240" s="263"/>
      <c r="R240" s="263"/>
      <c r="S240" s="263"/>
      <c r="T240" s="263"/>
      <c r="U240" s="263"/>
      <c r="V240" s="586"/>
      <c r="W240" s="586"/>
      <c r="X240" s="586"/>
      <c r="Y240" s="586"/>
      <c r="Z240" s="586"/>
      <c r="AA240" s="586"/>
      <c r="AB240" s="586"/>
      <c r="AC240" s="586"/>
      <c r="AD240" s="586"/>
      <c r="AE240" s="586"/>
      <c r="AF240" s="586"/>
      <c r="AG240" s="586"/>
      <c r="AH240" s="586"/>
      <c r="AI240" s="586"/>
      <c r="AJ240" s="586"/>
      <c r="AK240" s="586"/>
      <c r="AL240" s="586"/>
      <c r="AM240" s="586"/>
      <c r="AN240" s="586"/>
      <c r="AO240" s="586"/>
      <c r="AP240" s="586"/>
      <c r="AQ240" s="586"/>
      <c r="AR240" s="586"/>
      <c r="AS240" s="586"/>
      <c r="AT240" s="586"/>
      <c r="AU240" s="586"/>
      <c r="AV240" s="586"/>
      <c r="AW240" s="586"/>
      <c r="AX240" s="586"/>
      <c r="AY240" s="586"/>
      <c r="AZ240" s="586"/>
      <c r="BA240" s="586"/>
      <c r="BB240" s="586"/>
    </row>
    <row r="241" spans="1:55" s="574" customFormat="1" hidden="1">
      <c r="G241" s="263"/>
      <c r="H241" s="263"/>
      <c r="I241" s="263"/>
      <c r="J241" s="263"/>
      <c r="K241" s="263"/>
      <c r="L241" s="263"/>
      <c r="M241" s="263"/>
      <c r="N241" s="263"/>
      <c r="O241" s="263"/>
      <c r="P241" s="263"/>
      <c r="Q241" s="263"/>
      <c r="R241" s="263"/>
      <c r="S241" s="263"/>
      <c r="T241" s="263"/>
      <c r="U241" s="263"/>
      <c r="V241" s="586"/>
      <c r="W241" s="586"/>
      <c r="X241" s="586"/>
      <c r="Y241" s="586"/>
      <c r="Z241" s="586"/>
      <c r="AA241" s="586"/>
      <c r="AB241" s="586"/>
      <c r="AC241" s="586"/>
      <c r="AD241" s="586"/>
      <c r="AE241" s="586"/>
      <c r="AF241" s="586"/>
      <c r="AG241" s="586"/>
      <c r="AH241" s="586"/>
      <c r="AI241" s="586"/>
      <c r="AJ241" s="586"/>
      <c r="AK241" s="586"/>
      <c r="AL241" s="586"/>
      <c r="AM241" s="586"/>
      <c r="AN241" s="586"/>
      <c r="AO241" s="586"/>
      <c r="AP241" s="586"/>
      <c r="AQ241" s="586"/>
      <c r="AR241" s="586"/>
      <c r="AS241" s="586"/>
      <c r="AT241" s="586"/>
      <c r="AU241" s="586"/>
      <c r="AV241" s="586"/>
      <c r="AW241" s="586"/>
      <c r="AX241" s="586"/>
      <c r="AY241" s="586"/>
      <c r="AZ241" s="586"/>
      <c r="BA241" s="586"/>
      <c r="BB241" s="586"/>
    </row>
    <row r="242" spans="1:55" s="574" customFormat="1" hidden="1">
      <c r="A242" s="576"/>
      <c r="B242" s="580"/>
      <c r="D242" s="580"/>
      <c r="E242" s="578"/>
      <c r="F242" s="579"/>
      <c r="G242" s="263"/>
      <c r="H242" s="263"/>
      <c r="I242" s="263"/>
      <c r="J242" s="263"/>
      <c r="K242" s="263"/>
      <c r="L242" s="263"/>
      <c r="M242" s="263"/>
      <c r="N242" s="263"/>
      <c r="O242" s="263"/>
      <c r="P242" s="263"/>
      <c r="Q242" s="263"/>
      <c r="R242" s="263"/>
      <c r="S242" s="263"/>
      <c r="T242" s="263"/>
      <c r="U242" s="263"/>
      <c r="V242" s="586"/>
      <c r="W242" s="586"/>
      <c r="X242" s="586"/>
      <c r="Y242" s="586"/>
      <c r="Z242" s="586"/>
      <c r="AA242" s="586"/>
      <c r="AB242" s="586"/>
      <c r="AC242" s="586"/>
      <c r="AD242" s="586"/>
      <c r="AE242" s="586"/>
      <c r="AF242" s="586"/>
      <c r="AG242" s="586"/>
      <c r="AH242" s="586"/>
      <c r="AI242" s="586"/>
      <c r="AJ242" s="586"/>
      <c r="AK242" s="586"/>
      <c r="AL242" s="586"/>
      <c r="AM242" s="586"/>
      <c r="AN242" s="586"/>
      <c r="AO242" s="586"/>
      <c r="AP242" s="586"/>
      <c r="AQ242" s="586"/>
      <c r="AR242" s="586"/>
      <c r="AS242" s="586"/>
      <c r="AT242" s="586"/>
      <c r="AU242" s="586"/>
      <c r="AV242" s="586"/>
      <c r="AW242" s="586"/>
      <c r="AX242" s="586"/>
      <c r="AY242" s="586"/>
      <c r="AZ242" s="586"/>
      <c r="BA242" s="586"/>
      <c r="BB242" s="586"/>
    </row>
    <row r="243" spans="1:55" s="574" customFormat="1" hidden="1">
      <c r="A243" s="576"/>
      <c r="B243" s="581"/>
      <c r="G243" s="263"/>
      <c r="H243" s="263"/>
      <c r="I243" s="263"/>
      <c r="J243" s="263"/>
      <c r="K243" s="263"/>
      <c r="L243" s="263"/>
      <c r="M243" s="263"/>
      <c r="N243" s="263"/>
      <c r="O243" s="263"/>
      <c r="P243" s="263"/>
      <c r="Q243" s="263"/>
      <c r="R243" s="263"/>
      <c r="S243" s="263"/>
      <c r="T243" s="263"/>
      <c r="U243" s="263"/>
      <c r="V243" s="586"/>
      <c r="W243" s="586"/>
      <c r="X243" s="586"/>
      <c r="Y243" s="586"/>
      <c r="Z243" s="586"/>
      <c r="AA243" s="586"/>
      <c r="AB243" s="586"/>
      <c r="AC243" s="586"/>
      <c r="AD243" s="586"/>
      <c r="AE243" s="586"/>
      <c r="AF243" s="586"/>
      <c r="AG243" s="586"/>
      <c r="AH243" s="586"/>
      <c r="AI243" s="586"/>
      <c r="AJ243" s="586"/>
      <c r="AK243" s="586"/>
      <c r="AL243" s="586"/>
      <c r="AM243" s="586"/>
      <c r="AN243" s="586"/>
      <c r="AO243" s="586"/>
      <c r="AP243" s="586"/>
      <c r="AQ243" s="586"/>
      <c r="AR243" s="586"/>
      <c r="AS243" s="586"/>
      <c r="AT243" s="586"/>
      <c r="AU243" s="586"/>
      <c r="AV243" s="586"/>
      <c r="AW243" s="586"/>
      <c r="AX243" s="586"/>
      <c r="AY243" s="586"/>
      <c r="AZ243" s="586"/>
      <c r="BA243" s="586"/>
      <c r="BB243" s="586"/>
    </row>
    <row r="244" spans="1:55" s="574" customFormat="1" hidden="1">
      <c r="G244" s="263"/>
      <c r="H244" s="263"/>
      <c r="I244" s="263"/>
      <c r="J244" s="263"/>
      <c r="K244" s="263"/>
      <c r="L244" s="263"/>
      <c r="M244" s="263"/>
      <c r="N244" s="263"/>
      <c r="O244" s="263"/>
      <c r="P244" s="263"/>
      <c r="Q244" s="263"/>
      <c r="R244" s="263"/>
      <c r="S244" s="263"/>
      <c r="T244" s="263"/>
      <c r="U244" s="263"/>
      <c r="V244" s="586"/>
      <c r="W244" s="586"/>
      <c r="X244" s="586"/>
      <c r="Y244" s="586"/>
      <c r="Z244" s="586"/>
      <c r="AA244" s="586"/>
      <c r="AB244" s="586"/>
      <c r="AC244" s="586"/>
      <c r="AD244" s="586"/>
      <c r="AE244" s="586"/>
      <c r="AF244" s="586"/>
      <c r="AG244" s="586"/>
      <c r="AH244" s="586"/>
      <c r="AI244" s="586"/>
      <c r="AJ244" s="586"/>
      <c r="AK244" s="586"/>
      <c r="AL244" s="586"/>
      <c r="AM244" s="586"/>
      <c r="AN244" s="586"/>
      <c r="AO244" s="586"/>
      <c r="AP244" s="586"/>
      <c r="AQ244" s="586"/>
      <c r="AR244" s="586"/>
      <c r="AS244" s="586"/>
      <c r="AT244" s="586"/>
      <c r="AU244" s="586"/>
      <c r="AV244" s="586"/>
      <c r="AW244" s="586"/>
      <c r="AX244" s="586"/>
      <c r="AY244" s="586"/>
      <c r="AZ244" s="586"/>
      <c r="BA244" s="586"/>
      <c r="BB244" s="586"/>
    </row>
    <row r="245" spans="1:55" s="466" customFormat="1" hidden="1">
      <c r="A245" s="300"/>
      <c r="B245" s="468"/>
      <c r="D245" s="470"/>
      <c r="E245" s="569"/>
      <c r="F245" s="570"/>
      <c r="G245" s="263"/>
      <c r="H245" s="263"/>
      <c r="I245" s="263"/>
      <c r="J245" s="263"/>
      <c r="K245" s="263"/>
      <c r="L245" s="263"/>
      <c r="M245" s="263"/>
      <c r="N245" s="263"/>
      <c r="O245" s="263"/>
      <c r="P245" s="263"/>
      <c r="Q245" s="263"/>
      <c r="R245" s="263"/>
      <c r="S245" s="263"/>
      <c r="T245" s="263"/>
      <c r="U245" s="263"/>
      <c r="V245" s="586"/>
      <c r="W245" s="586"/>
      <c r="X245" s="586"/>
      <c r="Y245" s="586"/>
      <c r="Z245" s="586"/>
      <c r="AA245" s="586"/>
      <c r="AB245" s="586"/>
      <c r="AC245" s="586"/>
      <c r="AD245" s="586"/>
      <c r="AE245" s="586"/>
      <c r="AF245" s="586"/>
      <c r="AG245" s="586"/>
      <c r="AH245" s="586"/>
      <c r="AI245" s="586"/>
      <c r="AJ245" s="586"/>
      <c r="AK245" s="586"/>
      <c r="AL245" s="586"/>
      <c r="AM245" s="586"/>
      <c r="AN245" s="586"/>
      <c r="AO245" s="586"/>
      <c r="AP245" s="586"/>
      <c r="AQ245" s="586"/>
      <c r="AR245" s="586"/>
      <c r="AS245" s="586"/>
      <c r="AT245" s="586"/>
      <c r="AU245" s="586"/>
      <c r="AV245" s="586"/>
      <c r="AW245" s="586"/>
      <c r="AX245" s="586"/>
      <c r="AY245" s="586"/>
      <c r="AZ245" s="586"/>
      <c r="BA245" s="586"/>
      <c r="BB245" s="586"/>
      <c r="BC245" s="574"/>
    </row>
    <row r="246" spans="1:55" s="466" customFormat="1" hidden="1">
      <c r="A246" s="300"/>
      <c r="B246" s="571"/>
      <c r="G246" s="263"/>
      <c r="H246" s="263"/>
      <c r="I246" s="263"/>
      <c r="J246" s="263"/>
      <c r="K246" s="263"/>
      <c r="L246" s="263"/>
      <c r="M246" s="263"/>
      <c r="N246" s="263"/>
      <c r="O246" s="263"/>
      <c r="P246" s="263"/>
      <c r="Q246" s="263"/>
      <c r="R246" s="263"/>
      <c r="S246" s="263"/>
      <c r="T246" s="263"/>
      <c r="U246" s="263"/>
      <c r="V246" s="586"/>
      <c r="W246" s="586"/>
      <c r="X246" s="586"/>
      <c r="Y246" s="586"/>
      <c r="Z246" s="586"/>
      <c r="AA246" s="586"/>
      <c r="AB246" s="586"/>
      <c r="AC246" s="586"/>
      <c r="AD246" s="586"/>
      <c r="AE246" s="586"/>
      <c r="AF246" s="586"/>
      <c r="AG246" s="586"/>
      <c r="AH246" s="586"/>
      <c r="AI246" s="586"/>
      <c r="AJ246" s="586"/>
      <c r="AK246" s="586"/>
      <c r="AL246" s="586"/>
      <c r="AM246" s="586"/>
      <c r="AN246" s="586"/>
      <c r="AO246" s="586"/>
      <c r="AP246" s="586"/>
      <c r="AQ246" s="586"/>
      <c r="AR246" s="586"/>
      <c r="AS246" s="586"/>
      <c r="AT246" s="586"/>
      <c r="AU246" s="586"/>
      <c r="AV246" s="586"/>
      <c r="AW246" s="586"/>
      <c r="AX246" s="586"/>
      <c r="AY246" s="586"/>
      <c r="AZ246" s="586"/>
      <c r="BA246" s="586"/>
      <c r="BB246" s="586"/>
      <c r="BC246" s="574"/>
    </row>
    <row r="247" spans="1:55" s="466" customFormat="1" hidden="1">
      <c r="B247" s="468"/>
      <c r="G247" s="263"/>
      <c r="H247" s="263"/>
      <c r="I247" s="263"/>
      <c r="J247" s="263"/>
      <c r="K247" s="263"/>
      <c r="L247" s="263"/>
      <c r="M247" s="263"/>
      <c r="N247" s="263"/>
      <c r="O247" s="263"/>
      <c r="P247" s="263"/>
      <c r="Q247" s="263"/>
      <c r="R247" s="263"/>
      <c r="S247" s="263"/>
      <c r="T247" s="263"/>
      <c r="U247" s="263"/>
      <c r="V247" s="586"/>
      <c r="W247" s="586"/>
      <c r="X247" s="586"/>
      <c r="Y247" s="586"/>
      <c r="Z247" s="586"/>
      <c r="AA247" s="586"/>
      <c r="AB247" s="586"/>
      <c r="AC247" s="586"/>
      <c r="AD247" s="586"/>
      <c r="AE247" s="586"/>
      <c r="AF247" s="586"/>
      <c r="AG247" s="586"/>
      <c r="AH247" s="586"/>
      <c r="AI247" s="586"/>
      <c r="AJ247" s="586"/>
      <c r="AK247" s="586"/>
      <c r="AL247" s="586"/>
      <c r="AM247" s="586"/>
      <c r="AN247" s="586"/>
      <c r="AO247" s="586"/>
      <c r="AP247" s="586"/>
      <c r="AQ247" s="586"/>
      <c r="AR247" s="586"/>
      <c r="AS247" s="586"/>
      <c r="AT247" s="586"/>
      <c r="AU247" s="586"/>
      <c r="AV247" s="586"/>
      <c r="AW247" s="586"/>
      <c r="AX247" s="586"/>
      <c r="AY247" s="586"/>
      <c r="AZ247" s="586"/>
      <c r="BA247" s="586"/>
      <c r="BB247" s="586"/>
      <c r="BC247" s="574"/>
    </row>
    <row r="248" spans="1:55" s="466" customFormat="1" hidden="1">
      <c r="A248" s="300"/>
      <c r="B248" s="468"/>
      <c r="D248" s="470"/>
      <c r="E248" s="569"/>
      <c r="F248" s="570"/>
      <c r="G248" s="263"/>
      <c r="H248" s="263"/>
      <c r="I248" s="263"/>
      <c r="J248" s="263"/>
      <c r="K248" s="263"/>
      <c r="L248" s="263"/>
      <c r="M248" s="263"/>
      <c r="N248" s="263"/>
      <c r="O248" s="263"/>
      <c r="P248" s="263"/>
      <c r="Q248" s="263"/>
      <c r="R248" s="263"/>
      <c r="S248" s="263"/>
      <c r="T248" s="263"/>
      <c r="U248" s="263"/>
      <c r="V248" s="586"/>
      <c r="W248" s="586"/>
      <c r="X248" s="586"/>
      <c r="Y248" s="586"/>
      <c r="Z248" s="586"/>
      <c r="AA248" s="586"/>
      <c r="AB248" s="586"/>
      <c r="AC248" s="586"/>
      <c r="AD248" s="586"/>
      <c r="AE248" s="586"/>
      <c r="AF248" s="586"/>
      <c r="AG248" s="586"/>
      <c r="AH248" s="586"/>
      <c r="AI248" s="586"/>
      <c r="AJ248" s="586"/>
      <c r="AK248" s="586"/>
      <c r="AL248" s="586"/>
      <c r="AM248" s="586"/>
      <c r="AN248" s="586"/>
      <c r="AO248" s="586"/>
      <c r="AP248" s="586"/>
      <c r="AQ248" s="586"/>
      <c r="AR248" s="586"/>
      <c r="AS248" s="586"/>
      <c r="AT248" s="586"/>
      <c r="AU248" s="586"/>
      <c r="AV248" s="586"/>
      <c r="AW248" s="586"/>
      <c r="AX248" s="586"/>
      <c r="AY248" s="586"/>
      <c r="AZ248" s="586"/>
      <c r="BA248" s="586"/>
      <c r="BB248" s="586"/>
      <c r="BC248" s="574"/>
    </row>
    <row r="249" spans="1:55" s="466" customFormat="1" hidden="1">
      <c r="A249" s="300"/>
      <c r="B249" s="571"/>
      <c r="G249" s="263"/>
      <c r="H249" s="263"/>
      <c r="I249" s="263"/>
      <c r="J249" s="263"/>
      <c r="K249" s="263"/>
      <c r="L249" s="263"/>
      <c r="M249" s="263"/>
      <c r="N249" s="263"/>
      <c r="O249" s="263"/>
      <c r="P249" s="263"/>
      <c r="Q249" s="263"/>
      <c r="R249" s="263"/>
      <c r="S249" s="263"/>
      <c r="T249" s="263"/>
      <c r="U249" s="263"/>
      <c r="V249" s="586"/>
      <c r="W249" s="586"/>
      <c r="X249" s="586"/>
      <c r="Y249" s="586"/>
      <c r="Z249" s="586"/>
      <c r="AA249" s="586"/>
      <c r="AB249" s="586"/>
      <c r="AC249" s="586"/>
      <c r="AD249" s="586"/>
      <c r="AE249" s="586"/>
      <c r="AF249" s="586"/>
      <c r="AG249" s="586"/>
      <c r="AH249" s="586"/>
      <c r="AI249" s="586"/>
      <c r="AJ249" s="586"/>
      <c r="AK249" s="586"/>
      <c r="AL249" s="586"/>
      <c r="AM249" s="586"/>
      <c r="AN249" s="586"/>
      <c r="AO249" s="586"/>
      <c r="AP249" s="586"/>
      <c r="AQ249" s="586"/>
      <c r="AR249" s="586"/>
      <c r="AS249" s="586"/>
      <c r="AT249" s="586"/>
      <c r="AU249" s="586"/>
      <c r="AV249" s="586"/>
      <c r="AW249" s="586"/>
      <c r="AX249" s="586"/>
      <c r="AY249" s="586"/>
      <c r="AZ249" s="586"/>
      <c r="BA249" s="586"/>
      <c r="BB249" s="586"/>
      <c r="BC249" s="574"/>
    </row>
    <row r="250" spans="1:55" s="466" customFormat="1" hidden="1">
      <c r="B250" s="468"/>
      <c r="G250" s="263"/>
      <c r="H250" s="263"/>
      <c r="I250" s="263"/>
      <c r="J250" s="263"/>
      <c r="K250" s="263"/>
      <c r="L250" s="263"/>
      <c r="M250" s="263"/>
      <c r="N250" s="263"/>
      <c r="O250" s="263"/>
      <c r="P250" s="263"/>
      <c r="Q250" s="263"/>
      <c r="R250" s="263"/>
      <c r="S250" s="263"/>
      <c r="T250" s="263"/>
      <c r="U250" s="263"/>
      <c r="V250" s="586"/>
      <c r="W250" s="586"/>
      <c r="X250" s="586"/>
      <c r="Y250" s="586"/>
      <c r="Z250" s="586"/>
      <c r="AA250" s="586"/>
      <c r="AB250" s="586"/>
      <c r="AC250" s="586"/>
      <c r="AD250" s="586"/>
      <c r="AE250" s="586"/>
      <c r="AF250" s="586"/>
      <c r="AG250" s="586"/>
      <c r="AH250" s="586"/>
      <c r="AI250" s="586"/>
      <c r="AJ250" s="586"/>
      <c r="AK250" s="586"/>
      <c r="AL250" s="586"/>
      <c r="AM250" s="586"/>
      <c r="AN250" s="586"/>
      <c r="AO250" s="586"/>
      <c r="AP250" s="586"/>
      <c r="AQ250" s="586"/>
      <c r="AR250" s="586"/>
      <c r="AS250" s="586"/>
      <c r="AT250" s="586"/>
      <c r="AU250" s="586"/>
      <c r="AV250" s="586"/>
      <c r="AW250" s="586"/>
      <c r="AX250" s="586"/>
      <c r="AY250" s="586"/>
      <c r="AZ250" s="586"/>
      <c r="BA250" s="586"/>
      <c r="BB250" s="586"/>
      <c r="BC250" s="574"/>
    </row>
    <row r="251" spans="1:55" s="466" customFormat="1" hidden="1">
      <c r="A251" s="300"/>
      <c r="B251" s="468"/>
      <c r="D251" s="470"/>
      <c r="E251" s="569"/>
      <c r="F251" s="570"/>
      <c r="G251" s="263"/>
      <c r="H251" s="263"/>
      <c r="I251" s="263"/>
      <c r="J251" s="263"/>
      <c r="K251" s="263"/>
      <c r="L251" s="263"/>
      <c r="M251" s="263"/>
      <c r="N251" s="263"/>
      <c r="O251" s="263"/>
      <c r="P251" s="263"/>
      <c r="Q251" s="263"/>
      <c r="R251" s="263"/>
      <c r="S251" s="263"/>
      <c r="T251" s="263"/>
      <c r="U251" s="263"/>
      <c r="V251" s="586"/>
      <c r="W251" s="586"/>
      <c r="X251" s="586"/>
      <c r="Y251" s="586"/>
      <c r="Z251" s="586"/>
      <c r="AA251" s="586"/>
      <c r="AB251" s="586"/>
      <c r="AC251" s="586"/>
      <c r="AD251" s="586"/>
      <c r="AE251" s="586"/>
      <c r="AF251" s="586"/>
      <c r="AG251" s="586"/>
      <c r="AH251" s="586"/>
      <c r="AI251" s="586"/>
      <c r="AJ251" s="586"/>
      <c r="AK251" s="586"/>
      <c r="AL251" s="586"/>
      <c r="AM251" s="586"/>
      <c r="AN251" s="586"/>
      <c r="AO251" s="586"/>
      <c r="AP251" s="586"/>
      <c r="AQ251" s="586"/>
      <c r="AR251" s="586"/>
      <c r="AS251" s="586"/>
      <c r="AT251" s="586"/>
      <c r="AU251" s="586"/>
      <c r="AV251" s="586"/>
      <c r="AW251" s="586"/>
      <c r="AX251" s="586"/>
      <c r="AY251" s="586"/>
      <c r="AZ251" s="586"/>
      <c r="BA251" s="586"/>
      <c r="BB251" s="586"/>
      <c r="BC251" s="574"/>
    </row>
    <row r="252" spans="1:55" s="466" customFormat="1" hidden="1">
      <c r="A252" s="300"/>
      <c r="B252" s="571"/>
      <c r="G252" s="263"/>
      <c r="H252" s="263"/>
      <c r="I252" s="263"/>
      <c r="J252" s="263"/>
      <c r="K252" s="263"/>
      <c r="L252" s="263"/>
      <c r="M252" s="263"/>
      <c r="N252" s="263"/>
      <c r="O252" s="263"/>
      <c r="P252" s="263"/>
      <c r="Q252" s="263"/>
      <c r="R252" s="263"/>
      <c r="S252" s="263"/>
      <c r="T252" s="263"/>
      <c r="U252" s="263"/>
      <c r="V252" s="586"/>
      <c r="W252" s="586"/>
      <c r="X252" s="586"/>
      <c r="Y252" s="586"/>
      <c r="Z252" s="586"/>
      <c r="AA252" s="586"/>
      <c r="AB252" s="586"/>
      <c r="AC252" s="586"/>
      <c r="AD252" s="586"/>
      <c r="AE252" s="586"/>
      <c r="AF252" s="586"/>
      <c r="AG252" s="586"/>
      <c r="AH252" s="586"/>
      <c r="AI252" s="586"/>
      <c r="AJ252" s="586"/>
      <c r="AK252" s="586"/>
      <c r="AL252" s="586"/>
      <c r="AM252" s="586"/>
      <c r="AN252" s="586"/>
      <c r="AO252" s="586"/>
      <c r="AP252" s="586"/>
      <c r="AQ252" s="586"/>
      <c r="AR252" s="586"/>
      <c r="AS252" s="586"/>
      <c r="AT252" s="586"/>
      <c r="AU252" s="586"/>
      <c r="AV252" s="586"/>
      <c r="AW252" s="586"/>
      <c r="AX252" s="586"/>
      <c r="AY252" s="586"/>
      <c r="AZ252" s="586"/>
      <c r="BA252" s="586"/>
      <c r="BB252" s="586"/>
      <c r="BC252" s="574"/>
    </row>
    <row r="253" spans="1:55" s="466" customFormat="1" hidden="1">
      <c r="G253" s="263"/>
      <c r="H253" s="263"/>
      <c r="I253" s="263"/>
      <c r="J253" s="263"/>
      <c r="K253" s="263"/>
      <c r="L253" s="263"/>
      <c r="M253" s="263"/>
      <c r="N253" s="263"/>
      <c r="O253" s="263"/>
      <c r="P253" s="263"/>
      <c r="Q253" s="263"/>
      <c r="R253" s="263"/>
      <c r="S253" s="263"/>
      <c r="T253" s="263"/>
      <c r="U253" s="263"/>
      <c r="V253" s="586"/>
      <c r="W253" s="586"/>
      <c r="X253" s="586"/>
      <c r="Y253" s="586"/>
      <c r="Z253" s="586"/>
      <c r="AA253" s="586"/>
      <c r="AB253" s="586"/>
      <c r="AC253" s="586"/>
      <c r="AD253" s="586"/>
      <c r="AE253" s="586"/>
      <c r="AF253" s="586"/>
      <c r="AG253" s="586"/>
      <c r="AH253" s="586"/>
      <c r="AI253" s="586"/>
      <c r="AJ253" s="586"/>
      <c r="AK253" s="586"/>
      <c r="AL253" s="586"/>
      <c r="AM253" s="586"/>
      <c r="AN253" s="586"/>
      <c r="AO253" s="586"/>
      <c r="AP253" s="586"/>
      <c r="AQ253" s="586"/>
      <c r="AR253" s="586"/>
      <c r="AS253" s="586"/>
      <c r="AT253" s="586"/>
      <c r="AU253" s="586"/>
      <c r="AV253" s="586"/>
      <c r="AW253" s="586"/>
      <c r="AX253" s="586"/>
      <c r="AY253" s="586"/>
      <c r="AZ253" s="586"/>
      <c r="BA253" s="586"/>
      <c r="BB253" s="586"/>
      <c r="BC253" s="574"/>
    </row>
    <row r="254" spans="1:55" s="466" customFormat="1" hidden="1">
      <c r="A254" s="300"/>
      <c r="D254" s="470"/>
      <c r="E254" s="569"/>
      <c r="F254" s="570"/>
      <c r="G254" s="263"/>
      <c r="H254" s="263"/>
      <c r="I254" s="263"/>
      <c r="J254" s="263"/>
      <c r="K254" s="263"/>
      <c r="L254" s="263"/>
      <c r="M254" s="263"/>
      <c r="N254" s="263"/>
      <c r="O254" s="263"/>
      <c r="P254" s="263"/>
      <c r="Q254" s="263"/>
      <c r="R254" s="263"/>
      <c r="S254" s="263"/>
      <c r="T254" s="263"/>
      <c r="U254" s="263"/>
      <c r="V254" s="586"/>
      <c r="W254" s="586"/>
      <c r="X254" s="586"/>
      <c r="Y254" s="586"/>
      <c r="Z254" s="586"/>
      <c r="AA254" s="586"/>
      <c r="AB254" s="586"/>
      <c r="AC254" s="586"/>
      <c r="AD254" s="586"/>
      <c r="AE254" s="586"/>
      <c r="AF254" s="586"/>
      <c r="AG254" s="586"/>
      <c r="AH254" s="586"/>
      <c r="AI254" s="586"/>
      <c r="AJ254" s="586"/>
      <c r="AK254" s="586"/>
      <c r="AL254" s="586"/>
      <c r="AM254" s="586"/>
      <c r="AN254" s="586"/>
      <c r="AO254" s="586"/>
      <c r="AP254" s="586"/>
      <c r="AQ254" s="586"/>
      <c r="AR254" s="586"/>
      <c r="AS254" s="586"/>
      <c r="AT254" s="586"/>
      <c r="AU254" s="586"/>
      <c r="AV254" s="586"/>
      <c r="AW254" s="586"/>
      <c r="AX254" s="586"/>
      <c r="AY254" s="586"/>
      <c r="AZ254" s="586"/>
      <c r="BA254" s="586"/>
      <c r="BB254" s="586"/>
      <c r="BC254" s="574"/>
    </row>
    <row r="255" spans="1:55" s="466" customFormat="1" hidden="1">
      <c r="A255" s="300"/>
      <c r="B255" s="571"/>
      <c r="G255" s="263"/>
      <c r="H255" s="263"/>
      <c r="I255" s="263"/>
      <c r="J255" s="263"/>
      <c r="K255" s="263"/>
      <c r="L255" s="263"/>
      <c r="M255" s="263"/>
      <c r="N255" s="263"/>
      <c r="O255" s="263"/>
      <c r="P255" s="263"/>
      <c r="Q255" s="263"/>
      <c r="R255" s="263"/>
      <c r="S255" s="263"/>
      <c r="T255" s="263"/>
      <c r="U255" s="263"/>
      <c r="V255" s="586"/>
      <c r="W255" s="586"/>
      <c r="X255" s="586"/>
      <c r="Y255" s="586"/>
      <c r="Z255" s="586"/>
      <c r="AA255" s="586"/>
      <c r="AB255" s="586"/>
      <c r="AC255" s="586"/>
      <c r="AD255" s="586"/>
      <c r="AE255" s="586"/>
      <c r="AF255" s="586"/>
      <c r="AG255" s="586"/>
      <c r="AH255" s="586"/>
      <c r="AI255" s="586"/>
      <c r="AJ255" s="586"/>
      <c r="AK255" s="586"/>
      <c r="AL255" s="586"/>
      <c r="AM255" s="586"/>
      <c r="AN255" s="586"/>
      <c r="AO255" s="586"/>
      <c r="AP255" s="586"/>
      <c r="AQ255" s="586"/>
      <c r="AR255" s="586"/>
      <c r="AS255" s="586"/>
      <c r="AT255" s="586"/>
      <c r="AU255" s="586"/>
      <c r="AV255" s="586"/>
      <c r="AW255" s="586"/>
      <c r="AX255" s="586"/>
      <c r="AY255" s="586"/>
      <c r="AZ255" s="586"/>
      <c r="BA255" s="586"/>
      <c r="BB255" s="586"/>
      <c r="BC255" s="574"/>
    </row>
    <row r="256" spans="1:55" s="466" customFormat="1" hidden="1">
      <c r="G256" s="263"/>
      <c r="H256" s="263"/>
      <c r="I256" s="263"/>
      <c r="J256" s="263"/>
      <c r="K256" s="263"/>
      <c r="L256" s="263"/>
      <c r="M256" s="263"/>
      <c r="N256" s="263"/>
      <c r="O256" s="263"/>
      <c r="P256" s="263"/>
      <c r="Q256" s="263"/>
      <c r="R256" s="263"/>
      <c r="S256" s="263"/>
      <c r="T256" s="263"/>
      <c r="U256" s="263"/>
      <c r="V256" s="586"/>
      <c r="W256" s="586"/>
      <c r="X256" s="586"/>
      <c r="Y256" s="586"/>
      <c r="Z256" s="586"/>
      <c r="AA256" s="586"/>
      <c r="AB256" s="586"/>
      <c r="AC256" s="586"/>
      <c r="AD256" s="586"/>
      <c r="AE256" s="586"/>
      <c r="AF256" s="586"/>
      <c r="AG256" s="586"/>
      <c r="AH256" s="586"/>
      <c r="AI256" s="586"/>
      <c r="AJ256" s="586"/>
      <c r="AK256" s="586"/>
      <c r="AL256" s="586"/>
      <c r="AM256" s="586"/>
      <c r="AN256" s="586"/>
      <c r="AO256" s="586"/>
      <c r="AP256" s="586"/>
      <c r="AQ256" s="586"/>
      <c r="AR256" s="586"/>
      <c r="AS256" s="586"/>
      <c r="AT256" s="586"/>
      <c r="AU256" s="586"/>
      <c r="AV256" s="586"/>
      <c r="AW256" s="586"/>
      <c r="AX256" s="586"/>
      <c r="AY256" s="586"/>
      <c r="AZ256" s="586"/>
      <c r="BA256" s="586"/>
      <c r="BB256" s="586"/>
      <c r="BC256" s="574"/>
    </row>
    <row r="257" spans="1:55" s="466" customFormat="1" hidden="1">
      <c r="A257" s="300"/>
      <c r="D257" s="470"/>
      <c r="E257" s="569"/>
      <c r="F257" s="570"/>
      <c r="G257" s="263"/>
      <c r="H257" s="263"/>
      <c r="I257" s="263"/>
      <c r="J257" s="263"/>
      <c r="K257" s="263"/>
      <c r="L257" s="263"/>
      <c r="M257" s="263"/>
      <c r="N257" s="263"/>
      <c r="O257" s="263"/>
      <c r="P257" s="263"/>
      <c r="Q257" s="263"/>
      <c r="R257" s="263"/>
      <c r="S257" s="263"/>
      <c r="T257" s="263"/>
      <c r="U257" s="263"/>
      <c r="V257" s="586"/>
      <c r="W257" s="586"/>
      <c r="X257" s="586"/>
      <c r="Y257" s="586"/>
      <c r="Z257" s="586"/>
      <c r="AA257" s="586"/>
      <c r="AB257" s="586"/>
      <c r="AC257" s="586"/>
      <c r="AD257" s="586"/>
      <c r="AE257" s="586"/>
      <c r="AF257" s="586"/>
      <c r="AG257" s="586"/>
      <c r="AH257" s="586"/>
      <c r="AI257" s="586"/>
      <c r="AJ257" s="586"/>
      <c r="AK257" s="586"/>
      <c r="AL257" s="586"/>
      <c r="AM257" s="586"/>
      <c r="AN257" s="586"/>
      <c r="AO257" s="586"/>
      <c r="AP257" s="586"/>
      <c r="AQ257" s="586"/>
      <c r="AR257" s="586"/>
      <c r="AS257" s="586"/>
      <c r="AT257" s="586"/>
      <c r="AU257" s="586"/>
      <c r="AV257" s="586"/>
      <c r="AW257" s="586"/>
      <c r="AX257" s="586"/>
      <c r="AY257" s="586"/>
      <c r="AZ257" s="586"/>
      <c r="BA257" s="586"/>
      <c r="BB257" s="586"/>
      <c r="BC257" s="574"/>
    </row>
    <row r="258" spans="1:55" s="466" customFormat="1" hidden="1">
      <c r="A258" s="300"/>
      <c r="B258" s="571"/>
      <c r="G258" s="263"/>
      <c r="H258" s="263"/>
      <c r="I258" s="263"/>
      <c r="J258" s="263"/>
      <c r="K258" s="263"/>
      <c r="L258" s="263"/>
      <c r="M258" s="263"/>
      <c r="N258" s="263"/>
      <c r="O258" s="263"/>
      <c r="P258" s="263"/>
      <c r="Q258" s="263"/>
      <c r="R258" s="263"/>
      <c r="S258" s="263"/>
      <c r="T258" s="263"/>
      <c r="U258" s="263"/>
      <c r="V258" s="586"/>
      <c r="W258" s="586"/>
      <c r="X258" s="586"/>
      <c r="Y258" s="586"/>
      <c r="Z258" s="586"/>
      <c r="AA258" s="586"/>
      <c r="AB258" s="586"/>
      <c r="AC258" s="586"/>
      <c r="AD258" s="586"/>
      <c r="AE258" s="586"/>
      <c r="AF258" s="586"/>
      <c r="AG258" s="586"/>
      <c r="AH258" s="586"/>
      <c r="AI258" s="586"/>
      <c r="AJ258" s="586"/>
      <c r="AK258" s="586"/>
      <c r="AL258" s="586"/>
      <c r="AM258" s="586"/>
      <c r="AN258" s="586"/>
      <c r="AO258" s="586"/>
      <c r="AP258" s="586"/>
      <c r="AQ258" s="586"/>
      <c r="AR258" s="586"/>
      <c r="AS258" s="586"/>
      <c r="AT258" s="586"/>
      <c r="AU258" s="586"/>
      <c r="AV258" s="586"/>
      <c r="AW258" s="586"/>
      <c r="AX258" s="586"/>
      <c r="AY258" s="586"/>
      <c r="AZ258" s="586"/>
      <c r="BA258" s="586"/>
      <c r="BB258" s="586"/>
      <c r="BC258" s="574"/>
    </row>
    <row r="259" spans="1:55" s="466" customFormat="1" hidden="1">
      <c r="G259" s="263"/>
      <c r="H259" s="263"/>
      <c r="I259" s="263"/>
      <c r="J259" s="263"/>
      <c r="K259" s="263"/>
      <c r="L259" s="263"/>
      <c r="M259" s="263"/>
      <c r="N259" s="263"/>
      <c r="O259" s="263"/>
      <c r="P259" s="263"/>
      <c r="Q259" s="263"/>
      <c r="R259" s="263"/>
      <c r="S259" s="263"/>
      <c r="T259" s="263"/>
      <c r="U259" s="263"/>
      <c r="V259" s="586"/>
      <c r="W259" s="586"/>
      <c r="X259" s="586"/>
      <c r="Y259" s="586"/>
      <c r="Z259" s="586"/>
      <c r="AA259" s="586"/>
      <c r="AB259" s="586"/>
      <c r="AC259" s="586"/>
      <c r="AD259" s="586"/>
      <c r="AE259" s="586"/>
      <c r="AF259" s="586"/>
      <c r="AG259" s="586"/>
      <c r="AH259" s="586"/>
      <c r="AI259" s="586"/>
      <c r="AJ259" s="586"/>
      <c r="AK259" s="586"/>
      <c r="AL259" s="586"/>
      <c r="AM259" s="586"/>
      <c r="AN259" s="586"/>
      <c r="AO259" s="586"/>
      <c r="AP259" s="586"/>
      <c r="AQ259" s="586"/>
      <c r="AR259" s="586"/>
      <c r="AS259" s="586"/>
      <c r="AT259" s="586"/>
      <c r="AU259" s="586"/>
      <c r="AV259" s="586"/>
      <c r="AW259" s="586"/>
      <c r="AX259" s="586"/>
      <c r="AY259" s="586"/>
      <c r="AZ259" s="586"/>
      <c r="BA259" s="586"/>
      <c r="BB259" s="586"/>
      <c r="BC259" s="574"/>
    </row>
    <row r="260" spans="1:55" s="466" customFormat="1" hidden="1">
      <c r="A260" s="300"/>
      <c r="B260" s="468"/>
      <c r="D260" s="470"/>
      <c r="E260" s="569"/>
      <c r="F260" s="570"/>
      <c r="G260" s="263"/>
      <c r="H260" s="263"/>
      <c r="I260" s="263"/>
      <c r="J260" s="263"/>
      <c r="K260" s="263"/>
      <c r="L260" s="263"/>
      <c r="M260" s="263"/>
      <c r="N260" s="263"/>
      <c r="O260" s="263"/>
      <c r="P260" s="263"/>
      <c r="Q260" s="263"/>
      <c r="R260" s="263"/>
      <c r="S260" s="263"/>
      <c r="T260" s="263"/>
      <c r="U260" s="263"/>
      <c r="V260" s="586"/>
      <c r="W260" s="586"/>
      <c r="X260" s="586"/>
      <c r="Y260" s="586"/>
      <c r="Z260" s="586"/>
      <c r="AA260" s="586"/>
      <c r="AB260" s="586"/>
      <c r="AC260" s="586"/>
      <c r="AD260" s="586"/>
      <c r="AE260" s="586"/>
      <c r="AF260" s="586"/>
      <c r="AG260" s="586"/>
      <c r="AH260" s="586"/>
      <c r="AI260" s="586"/>
      <c r="AJ260" s="586"/>
      <c r="AK260" s="586"/>
      <c r="AL260" s="586"/>
      <c r="AM260" s="586"/>
      <c r="AN260" s="586"/>
      <c r="AO260" s="586"/>
      <c r="AP260" s="586"/>
      <c r="AQ260" s="586"/>
      <c r="AR260" s="586"/>
      <c r="AS260" s="586"/>
      <c r="AT260" s="586"/>
      <c r="AU260" s="586"/>
      <c r="AV260" s="586"/>
      <c r="AW260" s="586"/>
      <c r="AX260" s="586"/>
      <c r="AY260" s="586"/>
      <c r="AZ260" s="586"/>
      <c r="BA260" s="586"/>
      <c r="BB260" s="586"/>
      <c r="BC260" s="574"/>
    </row>
    <row r="261" spans="1:55" s="466" customFormat="1" hidden="1">
      <c r="A261" s="300"/>
      <c r="B261" s="571"/>
      <c r="G261" s="263"/>
      <c r="H261" s="263"/>
      <c r="I261" s="263"/>
      <c r="J261" s="263"/>
      <c r="K261" s="263"/>
      <c r="L261" s="263"/>
      <c r="M261" s="263"/>
      <c r="N261" s="263"/>
      <c r="O261" s="263"/>
      <c r="P261" s="263"/>
      <c r="Q261" s="263"/>
      <c r="R261" s="263"/>
      <c r="S261" s="263"/>
      <c r="T261" s="263"/>
      <c r="U261" s="263"/>
      <c r="V261" s="586"/>
      <c r="W261" s="586"/>
      <c r="X261" s="586"/>
      <c r="Y261" s="586"/>
      <c r="Z261" s="586"/>
      <c r="AA261" s="586"/>
      <c r="AB261" s="586"/>
      <c r="AC261" s="586"/>
      <c r="AD261" s="586"/>
      <c r="AE261" s="586"/>
      <c r="AF261" s="586"/>
      <c r="AG261" s="586"/>
      <c r="AH261" s="586"/>
      <c r="AI261" s="586"/>
      <c r="AJ261" s="586"/>
      <c r="AK261" s="586"/>
      <c r="AL261" s="586"/>
      <c r="AM261" s="586"/>
      <c r="AN261" s="586"/>
      <c r="AO261" s="586"/>
      <c r="AP261" s="586"/>
      <c r="AQ261" s="586"/>
      <c r="AR261" s="586"/>
      <c r="AS261" s="586"/>
      <c r="AT261" s="586"/>
      <c r="AU261" s="586"/>
      <c r="AV261" s="586"/>
      <c r="AW261" s="586"/>
      <c r="AX261" s="586"/>
      <c r="AY261" s="586"/>
      <c r="AZ261" s="586"/>
      <c r="BA261" s="586"/>
      <c r="BB261" s="586"/>
      <c r="BC261" s="574"/>
    </row>
    <row r="262" spans="1:55" s="466" customFormat="1" hidden="1">
      <c r="G262" s="263"/>
      <c r="H262" s="263"/>
      <c r="I262" s="263"/>
      <c r="J262" s="263"/>
      <c r="K262" s="263"/>
      <c r="L262" s="263"/>
      <c r="M262" s="263"/>
      <c r="N262" s="263"/>
      <c r="O262" s="263"/>
      <c r="P262" s="263"/>
      <c r="Q262" s="263"/>
      <c r="R262" s="263"/>
      <c r="S262" s="263"/>
      <c r="T262" s="263"/>
      <c r="U262" s="263"/>
      <c r="V262" s="586"/>
      <c r="W262" s="586"/>
      <c r="X262" s="586"/>
      <c r="Y262" s="586"/>
      <c r="Z262" s="586"/>
      <c r="AA262" s="586"/>
      <c r="AB262" s="586"/>
      <c r="AC262" s="586"/>
      <c r="AD262" s="586"/>
      <c r="AE262" s="586"/>
      <c r="AF262" s="586"/>
      <c r="AG262" s="586"/>
      <c r="AH262" s="586"/>
      <c r="AI262" s="586"/>
      <c r="AJ262" s="586"/>
      <c r="AK262" s="586"/>
      <c r="AL262" s="586"/>
      <c r="AM262" s="586"/>
      <c r="AN262" s="586"/>
      <c r="AO262" s="586"/>
      <c r="AP262" s="586"/>
      <c r="AQ262" s="586"/>
      <c r="AR262" s="586"/>
      <c r="AS262" s="586"/>
      <c r="AT262" s="586"/>
      <c r="AU262" s="586"/>
      <c r="AV262" s="586"/>
      <c r="AW262" s="586"/>
      <c r="AX262" s="586"/>
      <c r="AY262" s="586"/>
      <c r="AZ262" s="586"/>
      <c r="BA262" s="586"/>
      <c r="BB262" s="586"/>
      <c r="BC262" s="574"/>
    </row>
    <row r="263" spans="1:55" s="466" customFormat="1" hidden="1">
      <c r="A263" s="300"/>
      <c r="D263" s="470"/>
      <c r="E263" s="569"/>
      <c r="F263" s="570"/>
      <c r="G263" s="263"/>
      <c r="H263" s="263"/>
      <c r="I263" s="263"/>
      <c r="J263" s="263"/>
      <c r="K263" s="263"/>
      <c r="L263" s="263"/>
      <c r="M263" s="263"/>
      <c r="N263" s="263"/>
      <c r="O263" s="263"/>
      <c r="P263" s="263"/>
      <c r="Q263" s="263"/>
      <c r="R263" s="263"/>
      <c r="S263" s="263"/>
      <c r="T263" s="263"/>
      <c r="U263" s="263"/>
      <c r="V263" s="586"/>
      <c r="W263" s="586"/>
      <c r="X263" s="586"/>
      <c r="Y263" s="586"/>
      <c r="Z263" s="586"/>
      <c r="AA263" s="586"/>
      <c r="AB263" s="586"/>
      <c r="AC263" s="586"/>
      <c r="AD263" s="586"/>
      <c r="AE263" s="586"/>
      <c r="AF263" s="586"/>
      <c r="AG263" s="586"/>
      <c r="AH263" s="586"/>
      <c r="AI263" s="586"/>
      <c r="AJ263" s="586"/>
      <c r="AK263" s="586"/>
      <c r="AL263" s="586"/>
      <c r="AM263" s="586"/>
      <c r="AN263" s="586"/>
      <c r="AO263" s="586"/>
      <c r="AP263" s="586"/>
      <c r="AQ263" s="586"/>
      <c r="AR263" s="586"/>
      <c r="AS263" s="586"/>
      <c r="AT263" s="586"/>
      <c r="AU263" s="586"/>
      <c r="AV263" s="586"/>
      <c r="AW263" s="586"/>
      <c r="AX263" s="586"/>
      <c r="AY263" s="586"/>
      <c r="AZ263" s="586"/>
      <c r="BA263" s="586"/>
      <c r="BB263" s="586"/>
      <c r="BC263" s="574"/>
    </row>
    <row r="264" spans="1:55" s="466" customFormat="1" hidden="1">
      <c r="A264" s="300"/>
      <c r="B264" s="571"/>
      <c r="G264" s="263"/>
      <c r="H264" s="263"/>
      <c r="I264" s="263"/>
      <c r="J264" s="263"/>
      <c r="K264" s="263"/>
      <c r="L264" s="263"/>
      <c r="M264" s="263"/>
      <c r="N264" s="263"/>
      <c r="O264" s="263"/>
      <c r="P264" s="263"/>
      <c r="Q264" s="263"/>
      <c r="R264" s="263"/>
      <c r="S264" s="263"/>
      <c r="T264" s="263"/>
      <c r="U264" s="263"/>
      <c r="V264" s="586"/>
      <c r="W264" s="586"/>
      <c r="X264" s="586"/>
      <c r="Y264" s="586"/>
      <c r="Z264" s="586"/>
      <c r="AA264" s="586"/>
      <c r="AB264" s="586"/>
      <c r="AC264" s="586"/>
      <c r="AD264" s="586"/>
      <c r="AE264" s="586"/>
      <c r="AF264" s="586"/>
      <c r="AG264" s="586"/>
      <c r="AH264" s="586"/>
      <c r="AI264" s="586"/>
      <c r="AJ264" s="586"/>
      <c r="AK264" s="586"/>
      <c r="AL264" s="586"/>
      <c r="AM264" s="586"/>
      <c r="AN264" s="586"/>
      <c r="AO264" s="586"/>
      <c r="AP264" s="586"/>
      <c r="AQ264" s="586"/>
      <c r="AR264" s="586"/>
      <c r="AS264" s="586"/>
      <c r="AT264" s="586"/>
      <c r="AU264" s="586"/>
      <c r="AV264" s="586"/>
      <c r="AW264" s="586"/>
      <c r="AX264" s="586"/>
      <c r="AY264" s="586"/>
      <c r="AZ264" s="586"/>
      <c r="BA264" s="586"/>
      <c r="BB264" s="586"/>
      <c r="BC264" s="574"/>
    </row>
    <row r="265" spans="1:55" s="466" customFormat="1" hidden="1">
      <c r="G265" s="263"/>
      <c r="H265" s="263"/>
      <c r="I265" s="263"/>
      <c r="J265" s="263"/>
      <c r="K265" s="263"/>
      <c r="L265" s="263"/>
      <c r="M265" s="263"/>
      <c r="N265" s="263"/>
      <c r="O265" s="263"/>
      <c r="P265" s="263"/>
      <c r="Q265" s="263"/>
      <c r="R265" s="263"/>
      <c r="S265" s="263"/>
      <c r="T265" s="263"/>
      <c r="U265" s="263"/>
      <c r="V265" s="586"/>
      <c r="W265" s="586"/>
      <c r="X265" s="586"/>
      <c r="Y265" s="586"/>
      <c r="Z265" s="586"/>
      <c r="AA265" s="586"/>
      <c r="AB265" s="586"/>
      <c r="AC265" s="586"/>
      <c r="AD265" s="586"/>
      <c r="AE265" s="586"/>
      <c r="AF265" s="586"/>
      <c r="AG265" s="586"/>
      <c r="AH265" s="586"/>
      <c r="AI265" s="586"/>
      <c r="AJ265" s="586"/>
      <c r="AK265" s="586"/>
      <c r="AL265" s="586"/>
      <c r="AM265" s="586"/>
      <c r="AN265" s="586"/>
      <c r="AO265" s="586"/>
      <c r="AP265" s="586"/>
      <c r="AQ265" s="586"/>
      <c r="AR265" s="586"/>
      <c r="AS265" s="586"/>
      <c r="AT265" s="586"/>
      <c r="AU265" s="586"/>
      <c r="AV265" s="586"/>
      <c r="AW265" s="586"/>
      <c r="AX265" s="586"/>
      <c r="AY265" s="586"/>
      <c r="AZ265" s="586"/>
      <c r="BA265" s="586"/>
      <c r="BB265" s="586"/>
      <c r="BC265" s="574"/>
    </row>
    <row r="266" spans="1:55" s="466" customFormat="1" hidden="1">
      <c r="A266" s="300"/>
      <c r="B266" s="468"/>
      <c r="D266" s="470"/>
      <c r="E266" s="569"/>
      <c r="F266" s="570"/>
      <c r="G266" s="263"/>
      <c r="H266" s="263"/>
      <c r="I266" s="263"/>
      <c r="J266" s="263"/>
      <c r="K266" s="263"/>
      <c r="L266" s="263"/>
      <c r="M266" s="263"/>
      <c r="N266" s="263"/>
      <c r="O266" s="263"/>
      <c r="P266" s="263"/>
      <c r="Q266" s="263"/>
      <c r="R266" s="263"/>
      <c r="S266" s="263"/>
      <c r="T266" s="263"/>
      <c r="U266" s="263"/>
      <c r="V266" s="586"/>
      <c r="W266" s="586"/>
      <c r="X266" s="586"/>
      <c r="Y266" s="586"/>
      <c r="Z266" s="586"/>
      <c r="AA266" s="586"/>
      <c r="AB266" s="586"/>
      <c r="AC266" s="586"/>
      <c r="AD266" s="586"/>
      <c r="AE266" s="586"/>
      <c r="AF266" s="586"/>
      <c r="AG266" s="586"/>
      <c r="AH266" s="586"/>
      <c r="AI266" s="586"/>
      <c r="AJ266" s="586"/>
      <c r="AK266" s="586"/>
      <c r="AL266" s="586"/>
      <c r="AM266" s="586"/>
      <c r="AN266" s="586"/>
      <c r="AO266" s="586"/>
      <c r="AP266" s="586"/>
      <c r="AQ266" s="586"/>
      <c r="AR266" s="586"/>
      <c r="AS266" s="586"/>
      <c r="AT266" s="586"/>
      <c r="AU266" s="586"/>
      <c r="AV266" s="586"/>
      <c r="AW266" s="586"/>
      <c r="AX266" s="586"/>
      <c r="AY266" s="586"/>
      <c r="AZ266" s="586"/>
      <c r="BA266" s="586"/>
      <c r="BB266" s="586"/>
      <c r="BC266" s="574"/>
    </row>
    <row r="267" spans="1:55" s="466" customFormat="1" hidden="1">
      <c r="A267" s="300"/>
      <c r="B267" s="571"/>
      <c r="G267" s="263"/>
      <c r="H267" s="263"/>
      <c r="I267" s="263"/>
      <c r="J267" s="263"/>
      <c r="K267" s="263"/>
      <c r="L267" s="263"/>
      <c r="M267" s="263"/>
      <c r="N267" s="263"/>
      <c r="O267" s="263"/>
      <c r="P267" s="263"/>
      <c r="Q267" s="263"/>
      <c r="R267" s="263"/>
      <c r="S267" s="263"/>
      <c r="T267" s="263"/>
      <c r="U267" s="263"/>
      <c r="V267" s="586"/>
      <c r="W267" s="586"/>
      <c r="X267" s="586"/>
      <c r="Y267" s="586"/>
      <c r="Z267" s="586"/>
      <c r="AA267" s="586"/>
      <c r="AB267" s="586"/>
      <c r="AC267" s="586"/>
      <c r="AD267" s="586"/>
      <c r="AE267" s="586"/>
      <c r="AF267" s="586"/>
      <c r="AG267" s="586"/>
      <c r="AH267" s="586"/>
      <c r="AI267" s="586"/>
      <c r="AJ267" s="586"/>
      <c r="AK267" s="586"/>
      <c r="AL267" s="586"/>
      <c r="AM267" s="586"/>
      <c r="AN267" s="586"/>
      <c r="AO267" s="586"/>
      <c r="AP267" s="586"/>
      <c r="AQ267" s="586"/>
      <c r="AR267" s="586"/>
      <c r="AS267" s="586"/>
      <c r="AT267" s="586"/>
      <c r="AU267" s="586"/>
      <c r="AV267" s="586"/>
      <c r="AW267" s="586"/>
      <c r="AX267" s="586"/>
      <c r="AY267" s="586"/>
      <c r="AZ267" s="586"/>
      <c r="BA267" s="586"/>
      <c r="BB267" s="586"/>
      <c r="BC267" s="574"/>
    </row>
    <row r="268" spans="1:55" s="466" customFormat="1" hidden="1">
      <c r="G268" s="263"/>
      <c r="H268" s="263"/>
      <c r="I268" s="263"/>
      <c r="J268" s="263"/>
      <c r="K268" s="263"/>
      <c r="L268" s="263"/>
      <c r="M268" s="263"/>
      <c r="N268" s="263"/>
      <c r="O268" s="263"/>
      <c r="P268" s="263"/>
      <c r="Q268" s="263"/>
      <c r="R268" s="263"/>
      <c r="S268" s="263"/>
      <c r="T268" s="263"/>
      <c r="U268" s="263"/>
      <c r="V268" s="586"/>
      <c r="W268" s="586"/>
      <c r="X268" s="586"/>
      <c r="Y268" s="586"/>
      <c r="Z268" s="586"/>
      <c r="AA268" s="586"/>
      <c r="AB268" s="586"/>
      <c r="AC268" s="586"/>
      <c r="AD268" s="586"/>
      <c r="AE268" s="586"/>
      <c r="AF268" s="586"/>
      <c r="AG268" s="586"/>
      <c r="AH268" s="586"/>
      <c r="AI268" s="586"/>
      <c r="AJ268" s="586"/>
      <c r="AK268" s="586"/>
      <c r="AL268" s="586"/>
      <c r="AM268" s="586"/>
      <c r="AN268" s="586"/>
      <c r="AO268" s="586"/>
      <c r="AP268" s="586"/>
      <c r="AQ268" s="586"/>
      <c r="AR268" s="586"/>
      <c r="AS268" s="586"/>
      <c r="AT268" s="586"/>
      <c r="AU268" s="586"/>
      <c r="AV268" s="586"/>
      <c r="AW268" s="586"/>
      <c r="AX268" s="586"/>
      <c r="AY268" s="586"/>
      <c r="AZ268" s="586"/>
      <c r="BA268" s="586"/>
      <c r="BB268" s="586"/>
      <c r="BC268" s="574"/>
    </row>
    <row r="269" spans="1:55" s="466" customFormat="1" hidden="1">
      <c r="A269" s="300"/>
      <c r="B269" s="468"/>
      <c r="D269" s="470"/>
      <c r="E269" s="569"/>
      <c r="F269" s="570"/>
      <c r="G269" s="263"/>
      <c r="H269" s="263"/>
      <c r="I269" s="263"/>
      <c r="J269" s="263"/>
      <c r="K269" s="263"/>
      <c r="L269" s="263"/>
      <c r="M269" s="263"/>
      <c r="N269" s="263"/>
      <c r="O269" s="263"/>
      <c r="P269" s="263"/>
      <c r="Q269" s="263"/>
      <c r="R269" s="263"/>
      <c r="S269" s="263"/>
      <c r="T269" s="263"/>
      <c r="U269" s="263"/>
      <c r="V269" s="586"/>
      <c r="W269" s="586"/>
      <c r="X269" s="586"/>
      <c r="Y269" s="586"/>
      <c r="Z269" s="586"/>
      <c r="AA269" s="586"/>
      <c r="AB269" s="586"/>
      <c r="AC269" s="586"/>
      <c r="AD269" s="586"/>
      <c r="AE269" s="586"/>
      <c r="AF269" s="586"/>
      <c r="AG269" s="586"/>
      <c r="AH269" s="586"/>
      <c r="AI269" s="586"/>
      <c r="AJ269" s="586"/>
      <c r="AK269" s="586"/>
      <c r="AL269" s="586"/>
      <c r="AM269" s="586"/>
      <c r="AN269" s="586"/>
      <c r="AO269" s="586"/>
      <c r="AP269" s="586"/>
      <c r="AQ269" s="586"/>
      <c r="AR269" s="586"/>
      <c r="AS269" s="586"/>
      <c r="AT269" s="586"/>
      <c r="AU269" s="586"/>
      <c r="AV269" s="586"/>
      <c r="AW269" s="586"/>
      <c r="AX269" s="586"/>
      <c r="AY269" s="586"/>
      <c r="AZ269" s="586"/>
      <c r="BA269" s="586"/>
      <c r="BB269" s="586"/>
      <c r="BC269" s="574"/>
    </row>
    <row r="270" spans="1:55" s="466" customFormat="1" hidden="1">
      <c r="A270" s="300"/>
      <c r="B270" s="571"/>
      <c r="G270" s="263"/>
      <c r="H270" s="263"/>
      <c r="I270" s="263"/>
      <c r="J270" s="263"/>
      <c r="K270" s="263"/>
      <c r="L270" s="263"/>
      <c r="M270" s="263"/>
      <c r="N270" s="263"/>
      <c r="O270" s="263"/>
      <c r="P270" s="263"/>
      <c r="Q270" s="263"/>
      <c r="R270" s="263"/>
      <c r="S270" s="263"/>
      <c r="T270" s="263"/>
      <c r="U270" s="263"/>
      <c r="V270" s="586"/>
      <c r="W270" s="586"/>
      <c r="X270" s="586"/>
      <c r="Y270" s="586"/>
      <c r="Z270" s="586"/>
      <c r="AA270" s="586"/>
      <c r="AB270" s="586"/>
      <c r="AC270" s="586"/>
      <c r="AD270" s="586"/>
      <c r="AE270" s="586"/>
      <c r="AF270" s="586"/>
      <c r="AG270" s="586"/>
      <c r="AH270" s="586"/>
      <c r="AI270" s="586"/>
      <c r="AJ270" s="586"/>
      <c r="AK270" s="586"/>
      <c r="AL270" s="586"/>
      <c r="AM270" s="586"/>
      <c r="AN270" s="586"/>
      <c r="AO270" s="586"/>
      <c r="AP270" s="586"/>
      <c r="AQ270" s="586"/>
      <c r="AR270" s="586"/>
      <c r="AS270" s="586"/>
      <c r="AT270" s="586"/>
      <c r="AU270" s="586"/>
      <c r="AV270" s="586"/>
      <c r="AW270" s="586"/>
      <c r="AX270" s="586"/>
      <c r="AY270" s="586"/>
      <c r="AZ270" s="586"/>
      <c r="BA270" s="586"/>
      <c r="BB270" s="586"/>
      <c r="BC270" s="574"/>
    </row>
    <row r="271" spans="1:55" s="466" customFormat="1" hidden="1">
      <c r="G271" s="263"/>
      <c r="H271" s="263"/>
      <c r="I271" s="263"/>
      <c r="J271" s="263"/>
      <c r="K271" s="263"/>
      <c r="L271" s="263"/>
      <c r="M271" s="263"/>
      <c r="N271" s="263"/>
      <c r="O271" s="263"/>
      <c r="P271" s="263"/>
      <c r="Q271" s="263"/>
      <c r="R271" s="263"/>
      <c r="S271" s="263"/>
      <c r="T271" s="263"/>
      <c r="U271" s="263"/>
      <c r="V271" s="586"/>
      <c r="W271" s="586"/>
      <c r="X271" s="586"/>
      <c r="Y271" s="586"/>
      <c r="Z271" s="586"/>
      <c r="AA271" s="586"/>
      <c r="AB271" s="586"/>
      <c r="AC271" s="586"/>
      <c r="AD271" s="586"/>
      <c r="AE271" s="586"/>
      <c r="AF271" s="586"/>
      <c r="AG271" s="586"/>
      <c r="AH271" s="586"/>
      <c r="AI271" s="586"/>
      <c r="AJ271" s="586"/>
      <c r="AK271" s="586"/>
      <c r="AL271" s="586"/>
      <c r="AM271" s="586"/>
      <c r="AN271" s="586"/>
      <c r="AO271" s="586"/>
      <c r="AP271" s="586"/>
      <c r="AQ271" s="586"/>
      <c r="AR271" s="586"/>
      <c r="AS271" s="586"/>
      <c r="AT271" s="586"/>
      <c r="AU271" s="586"/>
      <c r="AV271" s="586"/>
      <c r="AW271" s="586"/>
      <c r="AX271" s="586"/>
      <c r="AY271" s="586"/>
      <c r="AZ271" s="586"/>
      <c r="BA271" s="586"/>
      <c r="BB271" s="586"/>
      <c r="BC271" s="574"/>
    </row>
    <row r="272" spans="1:55" s="466" customFormat="1" hidden="1">
      <c r="A272" s="300"/>
      <c r="B272" s="468"/>
      <c r="D272" s="470"/>
      <c r="E272" s="569"/>
      <c r="F272" s="570"/>
      <c r="G272" s="263"/>
      <c r="H272" s="263"/>
      <c r="I272" s="263"/>
      <c r="J272" s="263"/>
      <c r="K272" s="263"/>
      <c r="L272" s="263"/>
      <c r="M272" s="263"/>
      <c r="N272" s="263"/>
      <c r="O272" s="263"/>
      <c r="P272" s="263"/>
      <c r="Q272" s="263"/>
      <c r="R272" s="263"/>
      <c r="S272" s="263"/>
      <c r="T272" s="263"/>
      <c r="U272" s="263"/>
      <c r="V272" s="586"/>
      <c r="W272" s="586"/>
      <c r="X272" s="586"/>
      <c r="Y272" s="586"/>
      <c r="Z272" s="586"/>
      <c r="AA272" s="586"/>
      <c r="AB272" s="586"/>
      <c r="AC272" s="586"/>
      <c r="AD272" s="586"/>
      <c r="AE272" s="586"/>
      <c r="AF272" s="586"/>
      <c r="AG272" s="586"/>
      <c r="AH272" s="586"/>
      <c r="AI272" s="586"/>
      <c r="AJ272" s="586"/>
      <c r="AK272" s="586"/>
      <c r="AL272" s="586"/>
      <c r="AM272" s="586"/>
      <c r="AN272" s="586"/>
      <c r="AO272" s="586"/>
      <c r="AP272" s="586"/>
      <c r="AQ272" s="586"/>
      <c r="AR272" s="586"/>
      <c r="AS272" s="586"/>
      <c r="AT272" s="586"/>
      <c r="AU272" s="586"/>
      <c r="AV272" s="586"/>
      <c r="AW272" s="586"/>
      <c r="AX272" s="586"/>
      <c r="AY272" s="586"/>
      <c r="AZ272" s="586"/>
      <c r="BA272" s="586"/>
      <c r="BB272" s="586"/>
      <c r="BC272" s="574"/>
    </row>
    <row r="273" spans="1:55" s="466" customFormat="1" hidden="1">
      <c r="A273" s="300"/>
      <c r="B273" s="571"/>
      <c r="G273" s="263"/>
      <c r="H273" s="263"/>
      <c r="I273" s="263"/>
      <c r="J273" s="263"/>
      <c r="K273" s="263"/>
      <c r="L273" s="263"/>
      <c r="M273" s="263"/>
      <c r="N273" s="263"/>
      <c r="O273" s="263"/>
      <c r="P273" s="263"/>
      <c r="Q273" s="263"/>
      <c r="R273" s="263"/>
      <c r="S273" s="263"/>
      <c r="T273" s="263"/>
      <c r="U273" s="263"/>
      <c r="V273" s="586"/>
      <c r="W273" s="586"/>
      <c r="X273" s="586"/>
      <c r="Y273" s="586"/>
      <c r="Z273" s="586"/>
      <c r="AA273" s="586"/>
      <c r="AB273" s="586"/>
      <c r="AC273" s="586"/>
      <c r="AD273" s="586"/>
      <c r="AE273" s="586"/>
      <c r="AF273" s="586"/>
      <c r="AG273" s="586"/>
      <c r="AH273" s="586"/>
      <c r="AI273" s="586"/>
      <c r="AJ273" s="586"/>
      <c r="AK273" s="586"/>
      <c r="AL273" s="586"/>
      <c r="AM273" s="586"/>
      <c r="AN273" s="586"/>
      <c r="AO273" s="586"/>
      <c r="AP273" s="586"/>
      <c r="AQ273" s="586"/>
      <c r="AR273" s="586"/>
      <c r="AS273" s="586"/>
      <c r="AT273" s="586"/>
      <c r="AU273" s="586"/>
      <c r="AV273" s="586"/>
      <c r="AW273" s="586"/>
      <c r="AX273" s="586"/>
      <c r="AY273" s="586"/>
      <c r="AZ273" s="586"/>
      <c r="BA273" s="586"/>
      <c r="BB273" s="586"/>
      <c r="BC273" s="574"/>
    </row>
    <row r="274" spans="1:55" s="466" customFormat="1" hidden="1">
      <c r="G274" s="263"/>
      <c r="H274" s="263"/>
      <c r="I274" s="263"/>
      <c r="J274" s="263"/>
      <c r="K274" s="263"/>
      <c r="L274" s="263"/>
      <c r="M274" s="263"/>
      <c r="N274" s="263"/>
      <c r="O274" s="263"/>
      <c r="P274" s="263"/>
      <c r="Q274" s="263"/>
      <c r="R274" s="263"/>
      <c r="S274" s="263"/>
      <c r="T274" s="263"/>
      <c r="U274" s="263"/>
      <c r="V274" s="586"/>
      <c r="W274" s="586"/>
      <c r="X274" s="586"/>
      <c r="Y274" s="586"/>
      <c r="Z274" s="586"/>
      <c r="AA274" s="586"/>
      <c r="AB274" s="586"/>
      <c r="AC274" s="586"/>
      <c r="AD274" s="586"/>
      <c r="AE274" s="586"/>
      <c r="AF274" s="586"/>
      <c r="AG274" s="586"/>
      <c r="AH274" s="586"/>
      <c r="AI274" s="586"/>
      <c r="AJ274" s="586"/>
      <c r="AK274" s="586"/>
      <c r="AL274" s="586"/>
      <c r="AM274" s="586"/>
      <c r="AN274" s="586"/>
      <c r="AO274" s="586"/>
      <c r="AP274" s="586"/>
      <c r="AQ274" s="586"/>
      <c r="AR274" s="586"/>
      <c r="AS274" s="586"/>
      <c r="AT274" s="586"/>
      <c r="AU274" s="586"/>
      <c r="AV274" s="586"/>
      <c r="AW274" s="586"/>
      <c r="AX274" s="586"/>
      <c r="AY274" s="586"/>
      <c r="AZ274" s="586"/>
      <c r="BA274" s="586"/>
      <c r="BB274" s="586"/>
      <c r="BC274" s="574"/>
    </row>
    <row r="275" spans="1:55" s="466" customFormat="1" hidden="1">
      <c r="A275" s="300"/>
      <c r="B275" s="468"/>
      <c r="D275" s="470"/>
      <c r="E275" s="569"/>
      <c r="F275" s="570"/>
      <c r="G275" s="263"/>
      <c r="H275" s="263"/>
      <c r="I275" s="263"/>
      <c r="J275" s="263"/>
      <c r="K275" s="263"/>
      <c r="L275" s="263"/>
      <c r="M275" s="263"/>
      <c r="N275" s="263"/>
      <c r="O275" s="263"/>
      <c r="P275" s="263"/>
      <c r="Q275" s="263"/>
      <c r="R275" s="263"/>
      <c r="S275" s="263"/>
      <c r="T275" s="263"/>
      <c r="U275" s="263"/>
      <c r="V275" s="586"/>
      <c r="W275" s="586"/>
      <c r="X275" s="586"/>
      <c r="Y275" s="586"/>
      <c r="Z275" s="586"/>
      <c r="AA275" s="586"/>
      <c r="AB275" s="586"/>
      <c r="AC275" s="586"/>
      <c r="AD275" s="586"/>
      <c r="AE275" s="586"/>
      <c r="AF275" s="586"/>
      <c r="AG275" s="586"/>
      <c r="AH275" s="586"/>
      <c r="AI275" s="586"/>
      <c r="AJ275" s="586"/>
      <c r="AK275" s="586"/>
      <c r="AL275" s="586"/>
      <c r="AM275" s="586"/>
      <c r="AN275" s="586"/>
      <c r="AO275" s="586"/>
      <c r="AP275" s="586"/>
      <c r="AQ275" s="586"/>
      <c r="AR275" s="586"/>
      <c r="AS275" s="586"/>
      <c r="AT275" s="586"/>
      <c r="AU275" s="586"/>
      <c r="AV275" s="586"/>
      <c r="AW275" s="586"/>
      <c r="AX275" s="586"/>
      <c r="AY275" s="586"/>
      <c r="AZ275" s="586"/>
      <c r="BA275" s="586"/>
      <c r="BB275" s="586"/>
      <c r="BC275" s="574"/>
    </row>
    <row r="276" spans="1:55" s="466" customFormat="1" hidden="1">
      <c r="A276" s="300"/>
      <c r="B276" s="571"/>
      <c r="G276" s="263"/>
      <c r="H276" s="263"/>
      <c r="I276" s="263"/>
      <c r="J276" s="263"/>
      <c r="K276" s="263"/>
      <c r="L276" s="263"/>
      <c r="M276" s="263"/>
      <c r="N276" s="263"/>
      <c r="O276" s="263"/>
      <c r="P276" s="263"/>
      <c r="Q276" s="263"/>
      <c r="R276" s="263"/>
      <c r="S276" s="263"/>
      <c r="T276" s="263"/>
      <c r="U276" s="263"/>
      <c r="V276" s="586"/>
      <c r="W276" s="586"/>
      <c r="X276" s="586"/>
      <c r="Y276" s="586"/>
      <c r="Z276" s="586"/>
      <c r="AA276" s="586"/>
      <c r="AB276" s="586"/>
      <c r="AC276" s="586"/>
      <c r="AD276" s="586"/>
      <c r="AE276" s="586"/>
      <c r="AF276" s="586"/>
      <c r="AG276" s="586"/>
      <c r="AH276" s="586"/>
      <c r="AI276" s="586"/>
      <c r="AJ276" s="586"/>
      <c r="AK276" s="586"/>
      <c r="AL276" s="586"/>
      <c r="AM276" s="586"/>
      <c r="AN276" s="586"/>
      <c r="AO276" s="586"/>
      <c r="AP276" s="586"/>
      <c r="AQ276" s="586"/>
      <c r="AR276" s="586"/>
      <c r="AS276" s="586"/>
      <c r="AT276" s="586"/>
      <c r="AU276" s="586"/>
      <c r="AV276" s="586"/>
      <c r="AW276" s="586"/>
      <c r="AX276" s="586"/>
      <c r="AY276" s="586"/>
      <c r="AZ276" s="586"/>
      <c r="BA276" s="586"/>
      <c r="BB276" s="586"/>
      <c r="BC276" s="574"/>
    </row>
    <row r="277" spans="1:55" s="466" customFormat="1" hidden="1">
      <c r="G277" s="263"/>
      <c r="H277" s="263"/>
      <c r="I277" s="263"/>
      <c r="J277" s="263"/>
      <c r="K277" s="263"/>
      <c r="L277" s="263"/>
      <c r="M277" s="263"/>
      <c r="N277" s="263"/>
      <c r="O277" s="263"/>
      <c r="P277" s="263"/>
      <c r="Q277" s="263"/>
      <c r="R277" s="263"/>
      <c r="S277" s="263"/>
      <c r="T277" s="263"/>
      <c r="U277" s="263"/>
      <c r="V277" s="586"/>
      <c r="W277" s="586"/>
      <c r="X277" s="586"/>
      <c r="Y277" s="586"/>
      <c r="Z277" s="586"/>
      <c r="AA277" s="586"/>
      <c r="AB277" s="586"/>
      <c r="AC277" s="586"/>
      <c r="AD277" s="586"/>
      <c r="AE277" s="586"/>
      <c r="AF277" s="586"/>
      <c r="AG277" s="586"/>
      <c r="AH277" s="586"/>
      <c r="AI277" s="586"/>
      <c r="AJ277" s="586"/>
      <c r="AK277" s="586"/>
      <c r="AL277" s="586"/>
      <c r="AM277" s="586"/>
      <c r="AN277" s="586"/>
      <c r="AO277" s="586"/>
      <c r="AP277" s="586"/>
      <c r="AQ277" s="586"/>
      <c r="AR277" s="586"/>
      <c r="AS277" s="586"/>
      <c r="AT277" s="586"/>
      <c r="AU277" s="586"/>
      <c r="AV277" s="586"/>
      <c r="AW277" s="586"/>
      <c r="AX277" s="586"/>
      <c r="AY277" s="586"/>
      <c r="AZ277" s="586"/>
      <c r="BA277" s="586"/>
      <c r="BB277" s="586"/>
      <c r="BC277" s="574"/>
    </row>
    <row r="278" spans="1:55" s="466" customFormat="1" hidden="1">
      <c r="A278" s="300"/>
      <c r="B278" s="468"/>
      <c r="D278" s="470"/>
      <c r="E278" s="569"/>
      <c r="F278" s="570"/>
      <c r="G278" s="263"/>
      <c r="H278" s="263"/>
      <c r="I278" s="263"/>
      <c r="J278" s="263"/>
      <c r="K278" s="263"/>
      <c r="L278" s="263"/>
      <c r="M278" s="263"/>
      <c r="N278" s="263"/>
      <c r="O278" s="263"/>
      <c r="P278" s="263"/>
      <c r="Q278" s="263"/>
      <c r="R278" s="263"/>
      <c r="S278" s="263"/>
      <c r="T278" s="263"/>
      <c r="U278" s="263"/>
      <c r="V278" s="586"/>
      <c r="W278" s="586"/>
      <c r="X278" s="586"/>
      <c r="Y278" s="586"/>
      <c r="Z278" s="586"/>
      <c r="AA278" s="586"/>
      <c r="AB278" s="586"/>
      <c r="AC278" s="586"/>
      <c r="AD278" s="586"/>
      <c r="AE278" s="586"/>
      <c r="AF278" s="586"/>
      <c r="AG278" s="586"/>
      <c r="AH278" s="586"/>
      <c r="AI278" s="586"/>
      <c r="AJ278" s="586"/>
      <c r="AK278" s="586"/>
      <c r="AL278" s="586"/>
      <c r="AM278" s="586"/>
      <c r="AN278" s="586"/>
      <c r="AO278" s="586"/>
      <c r="AP278" s="586"/>
      <c r="AQ278" s="586"/>
      <c r="AR278" s="586"/>
      <c r="AS278" s="586"/>
      <c r="AT278" s="586"/>
      <c r="AU278" s="586"/>
      <c r="AV278" s="586"/>
      <c r="AW278" s="586"/>
      <c r="AX278" s="586"/>
      <c r="AY278" s="586"/>
      <c r="AZ278" s="586"/>
      <c r="BA278" s="586"/>
      <c r="BB278" s="586"/>
      <c r="BC278" s="574"/>
    </row>
    <row r="279" spans="1:55" s="466" customFormat="1" hidden="1">
      <c r="A279" s="300"/>
      <c r="B279" s="571"/>
      <c r="G279" s="263"/>
      <c r="H279" s="263"/>
      <c r="I279" s="263"/>
      <c r="J279" s="263"/>
      <c r="K279" s="263"/>
      <c r="L279" s="263"/>
      <c r="M279" s="263"/>
      <c r="N279" s="263"/>
      <c r="O279" s="263"/>
      <c r="P279" s="263"/>
      <c r="Q279" s="263"/>
      <c r="R279" s="263"/>
      <c r="S279" s="263"/>
      <c r="T279" s="263"/>
      <c r="U279" s="263"/>
      <c r="V279" s="586"/>
      <c r="W279" s="586"/>
      <c r="X279" s="586"/>
      <c r="Y279" s="586"/>
      <c r="Z279" s="586"/>
      <c r="AA279" s="586"/>
      <c r="AB279" s="586"/>
      <c r="AC279" s="586"/>
      <c r="AD279" s="586"/>
      <c r="AE279" s="586"/>
      <c r="AF279" s="586"/>
      <c r="AG279" s="586"/>
      <c r="AH279" s="586"/>
      <c r="AI279" s="586"/>
      <c r="AJ279" s="586"/>
      <c r="AK279" s="586"/>
      <c r="AL279" s="586"/>
      <c r="AM279" s="586"/>
      <c r="AN279" s="586"/>
      <c r="AO279" s="586"/>
      <c r="AP279" s="586"/>
      <c r="AQ279" s="586"/>
      <c r="AR279" s="586"/>
      <c r="AS279" s="586"/>
      <c r="AT279" s="586"/>
      <c r="AU279" s="586"/>
      <c r="AV279" s="586"/>
      <c r="AW279" s="586"/>
      <c r="AX279" s="586"/>
      <c r="AY279" s="586"/>
      <c r="AZ279" s="586"/>
      <c r="BA279" s="586"/>
      <c r="BB279" s="586"/>
      <c r="BC279" s="574"/>
    </row>
    <row r="280" spans="1:55" s="466" customFormat="1" hidden="1">
      <c r="G280" s="263"/>
      <c r="H280" s="263"/>
      <c r="I280" s="263"/>
      <c r="J280" s="263"/>
      <c r="K280" s="263"/>
      <c r="L280" s="263"/>
      <c r="M280" s="263"/>
      <c r="N280" s="263"/>
      <c r="O280" s="263"/>
      <c r="P280" s="263"/>
      <c r="Q280" s="263"/>
      <c r="R280" s="263"/>
      <c r="S280" s="263"/>
      <c r="T280" s="263"/>
      <c r="U280" s="263"/>
      <c r="V280" s="586"/>
      <c r="W280" s="586"/>
      <c r="X280" s="586"/>
      <c r="Y280" s="586"/>
      <c r="Z280" s="586"/>
      <c r="AA280" s="586"/>
      <c r="AB280" s="586"/>
      <c r="AC280" s="586"/>
      <c r="AD280" s="586"/>
      <c r="AE280" s="586"/>
      <c r="AF280" s="586"/>
      <c r="AG280" s="586"/>
      <c r="AH280" s="586"/>
      <c r="AI280" s="586"/>
      <c r="AJ280" s="586"/>
      <c r="AK280" s="586"/>
      <c r="AL280" s="586"/>
      <c r="AM280" s="586"/>
      <c r="AN280" s="586"/>
      <c r="AO280" s="586"/>
      <c r="AP280" s="586"/>
      <c r="AQ280" s="586"/>
      <c r="AR280" s="586"/>
      <c r="AS280" s="586"/>
      <c r="AT280" s="586"/>
      <c r="AU280" s="586"/>
      <c r="AV280" s="586"/>
      <c r="AW280" s="586"/>
      <c r="AX280" s="586"/>
      <c r="AY280" s="586"/>
      <c r="AZ280" s="586"/>
      <c r="BA280" s="586"/>
      <c r="BB280" s="586"/>
      <c r="BC280" s="574"/>
    </row>
    <row r="281" spans="1:55" s="466" customFormat="1" hidden="1">
      <c r="A281" s="300"/>
      <c r="B281" s="468"/>
      <c r="D281" s="470"/>
      <c r="E281" s="569"/>
      <c r="F281" s="570"/>
      <c r="G281" s="263"/>
      <c r="H281" s="263"/>
      <c r="I281" s="263"/>
      <c r="J281" s="263"/>
      <c r="K281" s="263"/>
      <c r="L281" s="263"/>
      <c r="M281" s="263"/>
      <c r="N281" s="263"/>
      <c r="O281" s="263"/>
      <c r="P281" s="263"/>
      <c r="Q281" s="263"/>
      <c r="R281" s="263"/>
      <c r="S281" s="263"/>
      <c r="T281" s="263"/>
      <c r="U281" s="263"/>
      <c r="V281" s="586"/>
      <c r="W281" s="586"/>
      <c r="X281" s="586"/>
      <c r="Y281" s="586"/>
      <c r="Z281" s="586"/>
      <c r="AA281" s="586"/>
      <c r="AB281" s="586"/>
      <c r="AC281" s="586"/>
      <c r="AD281" s="586"/>
      <c r="AE281" s="586"/>
      <c r="AF281" s="586"/>
      <c r="AG281" s="586"/>
      <c r="AH281" s="586"/>
      <c r="AI281" s="586"/>
      <c r="AJ281" s="586"/>
      <c r="AK281" s="586"/>
      <c r="AL281" s="586"/>
      <c r="AM281" s="586"/>
      <c r="AN281" s="586"/>
      <c r="AO281" s="586"/>
      <c r="AP281" s="586"/>
      <c r="AQ281" s="586"/>
      <c r="AR281" s="586"/>
      <c r="AS281" s="586"/>
      <c r="AT281" s="586"/>
      <c r="AU281" s="586"/>
      <c r="AV281" s="586"/>
      <c r="AW281" s="586"/>
      <c r="AX281" s="586"/>
      <c r="AY281" s="586"/>
      <c r="AZ281" s="586"/>
      <c r="BA281" s="586"/>
      <c r="BB281" s="586"/>
      <c r="BC281" s="574"/>
    </row>
    <row r="282" spans="1:55" s="466" customFormat="1" hidden="1">
      <c r="A282" s="300"/>
      <c r="B282" s="571"/>
      <c r="G282" s="263"/>
      <c r="H282" s="263"/>
      <c r="I282" s="263"/>
      <c r="J282" s="263"/>
      <c r="K282" s="263"/>
      <c r="L282" s="263"/>
      <c r="M282" s="263"/>
      <c r="N282" s="263"/>
      <c r="O282" s="263"/>
      <c r="P282" s="263"/>
      <c r="Q282" s="263"/>
      <c r="R282" s="263"/>
      <c r="S282" s="263"/>
      <c r="T282" s="263"/>
      <c r="U282" s="263"/>
      <c r="V282" s="586"/>
      <c r="W282" s="586"/>
      <c r="X282" s="586"/>
      <c r="Y282" s="586"/>
      <c r="Z282" s="586"/>
      <c r="AA282" s="586"/>
      <c r="AB282" s="586"/>
      <c r="AC282" s="586"/>
      <c r="AD282" s="586"/>
      <c r="AE282" s="586"/>
      <c r="AF282" s="586"/>
      <c r="AG282" s="586"/>
      <c r="AH282" s="586"/>
      <c r="AI282" s="586"/>
      <c r="AJ282" s="586"/>
      <c r="AK282" s="586"/>
      <c r="AL282" s="586"/>
      <c r="AM282" s="586"/>
      <c r="AN282" s="586"/>
      <c r="AO282" s="586"/>
      <c r="AP282" s="586"/>
      <c r="AQ282" s="586"/>
      <c r="AR282" s="586"/>
      <c r="AS282" s="586"/>
      <c r="AT282" s="586"/>
      <c r="AU282" s="586"/>
      <c r="AV282" s="586"/>
      <c r="AW282" s="586"/>
      <c r="AX282" s="586"/>
      <c r="AY282" s="586"/>
      <c r="AZ282" s="586"/>
      <c r="BA282" s="586"/>
      <c r="BB282" s="586"/>
      <c r="BC282" s="574"/>
    </row>
    <row r="283" spans="1:55" s="466" customFormat="1" hidden="1">
      <c r="G283" s="263"/>
      <c r="H283" s="263"/>
      <c r="I283" s="263"/>
      <c r="J283" s="263"/>
      <c r="K283" s="263"/>
      <c r="L283" s="263"/>
      <c r="M283" s="263"/>
      <c r="N283" s="263"/>
      <c r="O283" s="263"/>
      <c r="P283" s="263"/>
      <c r="Q283" s="263"/>
      <c r="R283" s="263"/>
      <c r="S283" s="263"/>
      <c r="T283" s="263"/>
      <c r="U283" s="263"/>
      <c r="V283" s="586"/>
      <c r="W283" s="586"/>
      <c r="X283" s="586"/>
      <c r="Y283" s="586"/>
      <c r="Z283" s="586"/>
      <c r="AA283" s="586"/>
      <c r="AB283" s="586"/>
      <c r="AC283" s="586"/>
      <c r="AD283" s="586"/>
      <c r="AE283" s="586"/>
      <c r="AF283" s="586"/>
      <c r="AG283" s="586"/>
      <c r="AH283" s="586"/>
      <c r="AI283" s="586"/>
      <c r="AJ283" s="586"/>
      <c r="AK283" s="586"/>
      <c r="AL283" s="586"/>
      <c r="AM283" s="586"/>
      <c r="AN283" s="586"/>
      <c r="AO283" s="586"/>
      <c r="AP283" s="586"/>
      <c r="AQ283" s="586"/>
      <c r="AR283" s="586"/>
      <c r="AS283" s="586"/>
      <c r="AT283" s="586"/>
      <c r="AU283" s="586"/>
      <c r="AV283" s="586"/>
      <c r="AW283" s="586"/>
      <c r="AX283" s="586"/>
      <c r="AY283" s="586"/>
      <c r="AZ283" s="586"/>
      <c r="BA283" s="586"/>
      <c r="BB283" s="586"/>
      <c r="BC283" s="574"/>
    </row>
    <row r="284" spans="1:55" s="466" customFormat="1" hidden="1">
      <c r="A284" s="300"/>
      <c r="B284" s="468"/>
      <c r="D284" s="470"/>
      <c r="E284" s="569"/>
      <c r="F284" s="570"/>
      <c r="G284" s="263"/>
      <c r="H284" s="263"/>
      <c r="I284" s="263"/>
      <c r="J284" s="263"/>
      <c r="K284" s="263"/>
      <c r="L284" s="263"/>
      <c r="M284" s="263"/>
      <c r="N284" s="263"/>
      <c r="O284" s="263"/>
      <c r="P284" s="263"/>
      <c r="Q284" s="263"/>
      <c r="R284" s="263"/>
      <c r="S284" s="263"/>
      <c r="T284" s="263"/>
      <c r="U284" s="263"/>
      <c r="V284" s="586"/>
      <c r="W284" s="586"/>
      <c r="X284" s="586"/>
      <c r="Y284" s="586"/>
      <c r="Z284" s="586"/>
      <c r="AA284" s="586"/>
      <c r="AB284" s="586"/>
      <c r="AC284" s="586"/>
      <c r="AD284" s="586"/>
      <c r="AE284" s="586"/>
      <c r="AF284" s="586"/>
      <c r="AG284" s="586"/>
      <c r="AH284" s="586"/>
      <c r="AI284" s="586"/>
      <c r="AJ284" s="586"/>
      <c r="AK284" s="586"/>
      <c r="AL284" s="586"/>
      <c r="AM284" s="586"/>
      <c r="AN284" s="586"/>
      <c r="AO284" s="586"/>
      <c r="AP284" s="586"/>
      <c r="AQ284" s="586"/>
      <c r="AR284" s="586"/>
      <c r="AS284" s="586"/>
      <c r="AT284" s="586"/>
      <c r="AU284" s="586"/>
      <c r="AV284" s="586"/>
      <c r="AW284" s="586"/>
      <c r="AX284" s="586"/>
      <c r="AY284" s="586"/>
      <c r="AZ284" s="586"/>
      <c r="BA284" s="586"/>
      <c r="BB284" s="586"/>
      <c r="BC284" s="574"/>
    </row>
    <row r="285" spans="1:55" s="466" customFormat="1" hidden="1">
      <c r="A285" s="300"/>
      <c r="B285" s="571"/>
      <c r="G285" s="263"/>
      <c r="H285" s="263"/>
      <c r="I285" s="263"/>
      <c r="J285" s="263"/>
      <c r="K285" s="263"/>
      <c r="L285" s="263"/>
      <c r="M285" s="263"/>
      <c r="N285" s="263"/>
      <c r="O285" s="263"/>
      <c r="P285" s="263"/>
      <c r="Q285" s="263"/>
      <c r="R285" s="263"/>
      <c r="S285" s="263"/>
      <c r="T285" s="263"/>
      <c r="U285" s="263"/>
      <c r="V285" s="586"/>
      <c r="W285" s="586"/>
      <c r="X285" s="586"/>
      <c r="Y285" s="586"/>
      <c r="Z285" s="586"/>
      <c r="AA285" s="586"/>
      <c r="AB285" s="586"/>
      <c r="AC285" s="586"/>
      <c r="AD285" s="586"/>
      <c r="AE285" s="586"/>
      <c r="AF285" s="586"/>
      <c r="AG285" s="586"/>
      <c r="AH285" s="586"/>
      <c r="AI285" s="586"/>
      <c r="AJ285" s="586"/>
      <c r="AK285" s="586"/>
      <c r="AL285" s="586"/>
      <c r="AM285" s="586"/>
      <c r="AN285" s="586"/>
      <c r="AO285" s="586"/>
      <c r="AP285" s="586"/>
      <c r="AQ285" s="586"/>
      <c r="AR285" s="586"/>
      <c r="AS285" s="586"/>
      <c r="AT285" s="586"/>
      <c r="AU285" s="586"/>
      <c r="AV285" s="586"/>
      <c r="AW285" s="586"/>
      <c r="AX285" s="586"/>
      <c r="AY285" s="586"/>
      <c r="AZ285" s="586"/>
      <c r="BA285" s="586"/>
      <c r="BB285" s="586"/>
      <c r="BC285" s="574"/>
    </row>
    <row r="286" spans="1:55" s="466" customFormat="1" hidden="1">
      <c r="G286" s="263"/>
      <c r="H286" s="263"/>
      <c r="I286" s="263"/>
      <c r="J286" s="263"/>
      <c r="K286" s="263"/>
      <c r="L286" s="263"/>
      <c r="M286" s="263"/>
      <c r="N286" s="263"/>
      <c r="O286" s="263"/>
      <c r="P286" s="263"/>
      <c r="Q286" s="263"/>
      <c r="R286" s="263"/>
      <c r="S286" s="263"/>
      <c r="T286" s="263"/>
      <c r="U286" s="263"/>
      <c r="V286" s="586"/>
      <c r="W286" s="586"/>
      <c r="X286" s="586"/>
      <c r="Y286" s="586"/>
      <c r="Z286" s="586"/>
      <c r="AA286" s="586"/>
      <c r="AB286" s="586"/>
      <c r="AC286" s="586"/>
      <c r="AD286" s="586"/>
      <c r="AE286" s="586"/>
      <c r="AF286" s="586"/>
      <c r="AG286" s="586"/>
      <c r="AH286" s="586"/>
      <c r="AI286" s="586"/>
      <c r="AJ286" s="586"/>
      <c r="AK286" s="586"/>
      <c r="AL286" s="586"/>
      <c r="AM286" s="586"/>
      <c r="AN286" s="586"/>
      <c r="AO286" s="586"/>
      <c r="AP286" s="586"/>
      <c r="AQ286" s="586"/>
      <c r="AR286" s="586"/>
      <c r="AS286" s="586"/>
      <c r="AT286" s="586"/>
      <c r="AU286" s="586"/>
      <c r="AV286" s="586"/>
      <c r="AW286" s="586"/>
      <c r="AX286" s="586"/>
      <c r="AY286" s="586"/>
      <c r="AZ286" s="586"/>
      <c r="BA286" s="586"/>
      <c r="BB286" s="586"/>
      <c r="BC286" s="574"/>
    </row>
    <row r="287" spans="1:55" s="466" customFormat="1" hidden="1">
      <c r="A287" s="300"/>
      <c r="B287" s="468"/>
      <c r="D287" s="470"/>
      <c r="E287" s="569"/>
      <c r="F287" s="570"/>
      <c r="G287" s="263"/>
      <c r="H287" s="263"/>
      <c r="I287" s="263"/>
      <c r="J287" s="263"/>
      <c r="K287" s="263"/>
      <c r="L287" s="263"/>
      <c r="M287" s="263"/>
      <c r="N287" s="263"/>
      <c r="O287" s="263"/>
      <c r="P287" s="263"/>
      <c r="Q287" s="263"/>
      <c r="R287" s="263"/>
      <c r="S287" s="263"/>
      <c r="T287" s="263"/>
      <c r="U287" s="263"/>
      <c r="V287" s="586"/>
      <c r="W287" s="586"/>
      <c r="X287" s="586"/>
      <c r="Y287" s="586"/>
      <c r="Z287" s="586"/>
      <c r="AA287" s="586"/>
      <c r="AB287" s="586"/>
      <c r="AC287" s="586"/>
      <c r="AD287" s="586"/>
      <c r="AE287" s="586"/>
      <c r="AF287" s="586"/>
      <c r="AG287" s="586"/>
      <c r="AH287" s="586"/>
      <c r="AI287" s="586"/>
      <c r="AJ287" s="586"/>
      <c r="AK287" s="586"/>
      <c r="AL287" s="586"/>
      <c r="AM287" s="586"/>
      <c r="AN287" s="586"/>
      <c r="AO287" s="586"/>
      <c r="AP287" s="586"/>
      <c r="AQ287" s="586"/>
      <c r="AR287" s="586"/>
      <c r="AS287" s="586"/>
      <c r="AT287" s="586"/>
      <c r="AU287" s="586"/>
      <c r="AV287" s="586"/>
      <c r="AW287" s="586"/>
      <c r="AX287" s="586"/>
      <c r="AY287" s="586"/>
      <c r="AZ287" s="586"/>
      <c r="BA287" s="586"/>
      <c r="BB287" s="586"/>
      <c r="BC287" s="574"/>
    </row>
    <row r="288" spans="1:55" s="466" customFormat="1" hidden="1">
      <c r="A288" s="300"/>
      <c r="B288" s="571"/>
      <c r="G288" s="263"/>
      <c r="H288" s="263"/>
      <c r="I288" s="263"/>
      <c r="J288" s="263"/>
      <c r="K288" s="263"/>
      <c r="L288" s="263"/>
      <c r="M288" s="263"/>
      <c r="N288" s="263"/>
      <c r="O288" s="263"/>
      <c r="P288" s="263"/>
      <c r="Q288" s="263"/>
      <c r="R288" s="263"/>
      <c r="S288" s="263"/>
      <c r="T288" s="263"/>
      <c r="U288" s="263"/>
      <c r="V288" s="586"/>
      <c r="W288" s="586"/>
      <c r="X288" s="586"/>
      <c r="Y288" s="586"/>
      <c r="Z288" s="586"/>
      <c r="AA288" s="586"/>
      <c r="AB288" s="586"/>
      <c r="AC288" s="586"/>
      <c r="AD288" s="586"/>
      <c r="AE288" s="586"/>
      <c r="AF288" s="586"/>
      <c r="AG288" s="586"/>
      <c r="AH288" s="586"/>
      <c r="AI288" s="586"/>
      <c r="AJ288" s="586"/>
      <c r="AK288" s="586"/>
      <c r="AL288" s="586"/>
      <c r="AM288" s="586"/>
      <c r="AN288" s="586"/>
      <c r="AO288" s="586"/>
      <c r="AP288" s="586"/>
      <c r="AQ288" s="586"/>
      <c r="AR288" s="586"/>
      <c r="AS288" s="586"/>
      <c r="AT288" s="586"/>
      <c r="AU288" s="586"/>
      <c r="AV288" s="586"/>
      <c r="AW288" s="586"/>
      <c r="AX288" s="586"/>
      <c r="AY288" s="586"/>
      <c r="AZ288" s="586"/>
      <c r="BA288" s="586"/>
      <c r="BB288" s="586"/>
      <c r="BC288" s="574"/>
    </row>
    <row r="289" spans="1:55" s="466" customFormat="1" hidden="1">
      <c r="G289" s="263"/>
      <c r="H289" s="263"/>
      <c r="I289" s="263"/>
      <c r="J289" s="263"/>
      <c r="K289" s="263"/>
      <c r="L289" s="263"/>
      <c r="M289" s="263"/>
      <c r="N289" s="263"/>
      <c r="O289" s="263"/>
      <c r="P289" s="263"/>
      <c r="Q289" s="263"/>
      <c r="R289" s="263"/>
      <c r="S289" s="263"/>
      <c r="T289" s="263"/>
      <c r="U289" s="263"/>
      <c r="V289" s="586"/>
      <c r="W289" s="586"/>
      <c r="X289" s="586"/>
      <c r="Y289" s="586"/>
      <c r="Z289" s="586"/>
      <c r="AA289" s="586"/>
      <c r="AB289" s="586"/>
      <c r="AC289" s="586"/>
      <c r="AD289" s="586"/>
      <c r="AE289" s="586"/>
      <c r="AF289" s="586"/>
      <c r="AG289" s="586"/>
      <c r="AH289" s="586"/>
      <c r="AI289" s="586"/>
      <c r="AJ289" s="586"/>
      <c r="AK289" s="586"/>
      <c r="AL289" s="586"/>
      <c r="AM289" s="586"/>
      <c r="AN289" s="586"/>
      <c r="AO289" s="586"/>
      <c r="AP289" s="586"/>
      <c r="AQ289" s="586"/>
      <c r="AR289" s="586"/>
      <c r="AS289" s="586"/>
      <c r="AT289" s="586"/>
      <c r="AU289" s="586"/>
      <c r="AV289" s="586"/>
      <c r="AW289" s="586"/>
      <c r="AX289" s="586"/>
      <c r="AY289" s="586"/>
      <c r="AZ289" s="586"/>
      <c r="BA289" s="586"/>
      <c r="BB289" s="586"/>
      <c r="BC289" s="574"/>
    </row>
    <row r="290" spans="1:55" s="466" customFormat="1" hidden="1">
      <c r="A290" s="300"/>
      <c r="B290" s="468"/>
      <c r="D290" s="470"/>
      <c r="E290" s="569"/>
      <c r="F290" s="570"/>
      <c r="G290" s="263"/>
      <c r="H290" s="263"/>
      <c r="I290" s="263"/>
      <c r="J290" s="263"/>
      <c r="K290" s="263"/>
      <c r="L290" s="263"/>
      <c r="M290" s="263"/>
      <c r="N290" s="263"/>
      <c r="O290" s="263"/>
      <c r="P290" s="263"/>
      <c r="Q290" s="263"/>
      <c r="R290" s="263"/>
      <c r="S290" s="263"/>
      <c r="T290" s="263"/>
      <c r="U290" s="263"/>
      <c r="V290" s="586"/>
      <c r="W290" s="586"/>
      <c r="X290" s="586"/>
      <c r="Y290" s="586"/>
      <c r="Z290" s="586"/>
      <c r="AA290" s="586"/>
      <c r="AB290" s="586"/>
      <c r="AC290" s="586"/>
      <c r="AD290" s="586"/>
      <c r="AE290" s="586"/>
      <c r="AF290" s="586"/>
      <c r="AG290" s="586"/>
      <c r="AH290" s="586"/>
      <c r="AI290" s="586"/>
      <c r="AJ290" s="586"/>
      <c r="AK290" s="586"/>
      <c r="AL290" s="586"/>
      <c r="AM290" s="586"/>
      <c r="AN290" s="586"/>
      <c r="AO290" s="586"/>
      <c r="AP290" s="586"/>
      <c r="AQ290" s="586"/>
      <c r="AR290" s="586"/>
      <c r="AS290" s="586"/>
      <c r="AT290" s="586"/>
      <c r="AU290" s="586"/>
      <c r="AV290" s="586"/>
      <c r="AW290" s="586"/>
      <c r="AX290" s="586"/>
      <c r="AY290" s="586"/>
      <c r="AZ290" s="586"/>
      <c r="BA290" s="586"/>
      <c r="BB290" s="586"/>
      <c r="BC290" s="574"/>
    </row>
    <row r="291" spans="1:55" s="466" customFormat="1" hidden="1">
      <c r="A291" s="300"/>
      <c r="B291" s="571"/>
      <c r="G291" s="263"/>
      <c r="H291" s="263"/>
      <c r="I291" s="263"/>
      <c r="J291" s="263"/>
      <c r="K291" s="263"/>
      <c r="L291" s="263"/>
      <c r="M291" s="263"/>
      <c r="N291" s="263"/>
      <c r="O291" s="263"/>
      <c r="P291" s="263"/>
      <c r="Q291" s="263"/>
      <c r="R291" s="263"/>
      <c r="S291" s="263"/>
      <c r="T291" s="263"/>
      <c r="U291" s="263"/>
      <c r="V291" s="586"/>
      <c r="W291" s="586"/>
      <c r="X291" s="586"/>
      <c r="Y291" s="586"/>
      <c r="Z291" s="586"/>
      <c r="AA291" s="586"/>
      <c r="AB291" s="586"/>
      <c r="AC291" s="586"/>
      <c r="AD291" s="586"/>
      <c r="AE291" s="586"/>
      <c r="AF291" s="586"/>
      <c r="AG291" s="586"/>
      <c r="AH291" s="586"/>
      <c r="AI291" s="586"/>
      <c r="AJ291" s="586"/>
      <c r="AK291" s="586"/>
      <c r="AL291" s="586"/>
      <c r="AM291" s="586"/>
      <c r="AN291" s="586"/>
      <c r="AO291" s="586"/>
      <c r="AP291" s="586"/>
      <c r="AQ291" s="586"/>
      <c r="AR291" s="586"/>
      <c r="AS291" s="586"/>
      <c r="AT291" s="586"/>
      <c r="AU291" s="586"/>
      <c r="AV291" s="586"/>
      <c r="AW291" s="586"/>
      <c r="AX291" s="586"/>
      <c r="AY291" s="586"/>
      <c r="AZ291" s="586"/>
      <c r="BA291" s="586"/>
      <c r="BB291" s="586"/>
      <c r="BC291" s="574"/>
    </row>
    <row r="292" spans="1:55" s="466" customFormat="1" hidden="1">
      <c r="G292" s="263"/>
      <c r="H292" s="263"/>
      <c r="I292" s="263"/>
      <c r="J292" s="263"/>
      <c r="K292" s="263"/>
      <c r="L292" s="263"/>
      <c r="M292" s="263"/>
      <c r="N292" s="263"/>
      <c r="O292" s="263"/>
      <c r="P292" s="263"/>
      <c r="Q292" s="263"/>
      <c r="R292" s="263"/>
      <c r="S292" s="263"/>
      <c r="T292" s="263"/>
      <c r="U292" s="263"/>
      <c r="V292" s="586"/>
      <c r="W292" s="586"/>
      <c r="X292" s="586"/>
      <c r="Y292" s="586"/>
      <c r="Z292" s="586"/>
      <c r="AA292" s="586"/>
      <c r="AB292" s="586"/>
      <c r="AC292" s="586"/>
      <c r="AD292" s="586"/>
      <c r="AE292" s="586"/>
      <c r="AF292" s="586"/>
      <c r="AG292" s="586"/>
      <c r="AH292" s="586"/>
      <c r="AI292" s="586"/>
      <c r="AJ292" s="586"/>
      <c r="AK292" s="586"/>
      <c r="AL292" s="586"/>
      <c r="AM292" s="586"/>
      <c r="AN292" s="586"/>
      <c r="AO292" s="586"/>
      <c r="AP292" s="586"/>
      <c r="AQ292" s="586"/>
      <c r="AR292" s="586"/>
      <c r="AS292" s="586"/>
      <c r="AT292" s="586"/>
      <c r="AU292" s="586"/>
      <c r="AV292" s="586"/>
      <c r="AW292" s="586"/>
      <c r="AX292" s="586"/>
      <c r="AY292" s="586"/>
      <c r="AZ292" s="586"/>
      <c r="BA292" s="586"/>
      <c r="BB292" s="586"/>
      <c r="BC292" s="574"/>
    </row>
    <row r="293" spans="1:55" s="466" customFormat="1" hidden="1">
      <c r="A293" s="300"/>
      <c r="B293" s="468"/>
      <c r="D293" s="470"/>
      <c r="E293" s="569"/>
      <c r="F293" s="570"/>
      <c r="G293" s="263"/>
      <c r="H293" s="263"/>
      <c r="I293" s="263"/>
      <c r="J293" s="263"/>
      <c r="K293" s="263"/>
      <c r="L293" s="263"/>
      <c r="M293" s="263"/>
      <c r="N293" s="263"/>
      <c r="O293" s="263"/>
      <c r="P293" s="263"/>
      <c r="Q293" s="263"/>
      <c r="R293" s="263"/>
      <c r="S293" s="263"/>
      <c r="T293" s="263"/>
      <c r="U293" s="263"/>
      <c r="V293" s="586"/>
      <c r="W293" s="586"/>
      <c r="X293" s="586"/>
      <c r="Y293" s="586"/>
      <c r="Z293" s="586"/>
      <c r="AA293" s="586"/>
      <c r="AB293" s="586"/>
      <c r="AC293" s="586"/>
      <c r="AD293" s="586"/>
      <c r="AE293" s="586"/>
      <c r="AF293" s="586"/>
      <c r="AG293" s="586"/>
      <c r="AH293" s="586"/>
      <c r="AI293" s="586"/>
      <c r="AJ293" s="586"/>
      <c r="AK293" s="586"/>
      <c r="AL293" s="586"/>
      <c r="AM293" s="586"/>
      <c r="AN293" s="586"/>
      <c r="AO293" s="586"/>
      <c r="AP293" s="586"/>
      <c r="AQ293" s="586"/>
      <c r="AR293" s="586"/>
      <c r="AS293" s="586"/>
      <c r="AT293" s="586"/>
      <c r="AU293" s="586"/>
      <c r="AV293" s="586"/>
      <c r="AW293" s="586"/>
      <c r="AX293" s="586"/>
      <c r="AY293" s="586"/>
      <c r="AZ293" s="586"/>
      <c r="BA293" s="586"/>
      <c r="BB293" s="586"/>
      <c r="BC293" s="574"/>
    </row>
    <row r="294" spans="1:55" s="466" customFormat="1" hidden="1">
      <c r="A294" s="300"/>
      <c r="B294" s="571"/>
      <c r="G294" s="263"/>
      <c r="H294" s="263"/>
      <c r="I294" s="263"/>
      <c r="J294" s="263"/>
      <c r="K294" s="263"/>
      <c r="L294" s="263"/>
      <c r="M294" s="263"/>
      <c r="N294" s="263"/>
      <c r="O294" s="263"/>
      <c r="P294" s="263"/>
      <c r="Q294" s="263"/>
      <c r="R294" s="263"/>
      <c r="S294" s="263"/>
      <c r="T294" s="263"/>
      <c r="U294" s="263"/>
      <c r="V294" s="586"/>
      <c r="W294" s="586"/>
      <c r="X294" s="586"/>
      <c r="Y294" s="586"/>
      <c r="Z294" s="586"/>
      <c r="AA294" s="586"/>
      <c r="AB294" s="586"/>
      <c r="AC294" s="586"/>
      <c r="AD294" s="586"/>
      <c r="AE294" s="586"/>
      <c r="AF294" s="586"/>
      <c r="AG294" s="586"/>
      <c r="AH294" s="586"/>
      <c r="AI294" s="586"/>
      <c r="AJ294" s="586"/>
      <c r="AK294" s="586"/>
      <c r="AL294" s="586"/>
      <c r="AM294" s="586"/>
      <c r="AN294" s="586"/>
      <c r="AO294" s="586"/>
      <c r="AP294" s="586"/>
      <c r="AQ294" s="586"/>
      <c r="AR294" s="586"/>
      <c r="AS294" s="586"/>
      <c r="AT294" s="586"/>
      <c r="AU294" s="586"/>
      <c r="AV294" s="586"/>
      <c r="AW294" s="586"/>
      <c r="AX294" s="586"/>
      <c r="AY294" s="586"/>
      <c r="AZ294" s="586"/>
      <c r="BA294" s="586"/>
      <c r="BB294" s="586"/>
      <c r="BC294" s="574"/>
    </row>
    <row r="295" spans="1:55" s="466" customFormat="1" hidden="1">
      <c r="G295" s="263"/>
      <c r="H295" s="263"/>
      <c r="I295" s="263"/>
      <c r="J295" s="263"/>
      <c r="K295" s="263"/>
      <c r="L295" s="263"/>
      <c r="M295" s="263"/>
      <c r="N295" s="263"/>
      <c r="O295" s="263"/>
      <c r="P295" s="263"/>
      <c r="Q295" s="263"/>
      <c r="R295" s="263"/>
      <c r="S295" s="263"/>
      <c r="T295" s="263"/>
      <c r="U295" s="263"/>
      <c r="V295" s="586"/>
      <c r="W295" s="586"/>
      <c r="X295" s="586"/>
      <c r="Y295" s="586"/>
      <c r="Z295" s="586"/>
      <c r="AA295" s="586"/>
      <c r="AB295" s="586"/>
      <c r="AC295" s="586"/>
      <c r="AD295" s="586"/>
      <c r="AE295" s="586"/>
      <c r="AF295" s="586"/>
      <c r="AG295" s="586"/>
      <c r="AH295" s="586"/>
      <c r="AI295" s="586"/>
      <c r="AJ295" s="586"/>
      <c r="AK295" s="586"/>
      <c r="AL295" s="586"/>
      <c r="AM295" s="586"/>
      <c r="AN295" s="586"/>
      <c r="AO295" s="586"/>
      <c r="AP295" s="586"/>
      <c r="AQ295" s="586"/>
      <c r="AR295" s="586"/>
      <c r="AS295" s="586"/>
      <c r="AT295" s="586"/>
      <c r="AU295" s="586"/>
      <c r="AV295" s="586"/>
      <c r="AW295" s="586"/>
      <c r="AX295" s="586"/>
      <c r="AY295" s="586"/>
      <c r="AZ295" s="586"/>
      <c r="BA295" s="586"/>
      <c r="BB295" s="586"/>
      <c r="BC295" s="574"/>
    </row>
    <row r="296" spans="1:55" s="466" customFormat="1" hidden="1">
      <c r="A296" s="300"/>
      <c r="B296" s="468"/>
      <c r="D296" s="470"/>
      <c r="E296" s="569"/>
      <c r="F296" s="570"/>
      <c r="G296" s="263"/>
      <c r="H296" s="263"/>
      <c r="I296" s="263"/>
      <c r="J296" s="263"/>
      <c r="K296" s="263"/>
      <c r="L296" s="263"/>
      <c r="M296" s="263"/>
      <c r="N296" s="263"/>
      <c r="O296" s="263"/>
      <c r="P296" s="263"/>
      <c r="Q296" s="263"/>
      <c r="R296" s="263"/>
      <c r="S296" s="263"/>
      <c r="T296" s="263"/>
      <c r="U296" s="263"/>
      <c r="V296" s="586"/>
      <c r="W296" s="586"/>
      <c r="X296" s="586"/>
      <c r="Y296" s="586"/>
      <c r="Z296" s="586"/>
      <c r="AA296" s="586"/>
      <c r="AB296" s="586"/>
      <c r="AC296" s="586"/>
      <c r="AD296" s="586"/>
      <c r="AE296" s="586"/>
      <c r="AF296" s="586"/>
      <c r="AG296" s="586"/>
      <c r="AH296" s="586"/>
      <c r="AI296" s="586"/>
      <c r="AJ296" s="586"/>
      <c r="AK296" s="586"/>
      <c r="AL296" s="586"/>
      <c r="AM296" s="586"/>
      <c r="AN296" s="586"/>
      <c r="AO296" s="586"/>
      <c r="AP296" s="586"/>
      <c r="AQ296" s="586"/>
      <c r="AR296" s="586"/>
      <c r="AS296" s="586"/>
      <c r="AT296" s="586"/>
      <c r="AU296" s="586"/>
      <c r="AV296" s="586"/>
      <c r="AW296" s="586"/>
      <c r="AX296" s="586"/>
      <c r="AY296" s="586"/>
      <c r="AZ296" s="586"/>
      <c r="BA296" s="586"/>
      <c r="BB296" s="586"/>
      <c r="BC296" s="574"/>
    </row>
    <row r="297" spans="1:55" s="466" customFormat="1" hidden="1">
      <c r="A297" s="300"/>
      <c r="B297" s="571"/>
      <c r="G297" s="263"/>
      <c r="H297" s="263"/>
      <c r="I297" s="263"/>
      <c r="J297" s="263"/>
      <c r="K297" s="263"/>
      <c r="L297" s="263"/>
      <c r="M297" s="263"/>
      <c r="N297" s="263"/>
      <c r="O297" s="263"/>
      <c r="P297" s="263"/>
      <c r="Q297" s="263"/>
      <c r="R297" s="263"/>
      <c r="S297" s="263"/>
      <c r="T297" s="263"/>
      <c r="U297" s="263"/>
      <c r="V297" s="586"/>
      <c r="W297" s="586"/>
      <c r="X297" s="586"/>
      <c r="Y297" s="586"/>
      <c r="Z297" s="586"/>
      <c r="AA297" s="586"/>
      <c r="AB297" s="586"/>
      <c r="AC297" s="586"/>
      <c r="AD297" s="586"/>
      <c r="AE297" s="586"/>
      <c r="AF297" s="586"/>
      <c r="AG297" s="586"/>
      <c r="AH297" s="586"/>
      <c r="AI297" s="586"/>
      <c r="AJ297" s="586"/>
      <c r="AK297" s="586"/>
      <c r="AL297" s="586"/>
      <c r="AM297" s="586"/>
      <c r="AN297" s="586"/>
      <c r="AO297" s="586"/>
      <c r="AP297" s="586"/>
      <c r="AQ297" s="586"/>
      <c r="AR297" s="586"/>
      <c r="AS297" s="586"/>
      <c r="AT297" s="586"/>
      <c r="AU297" s="586"/>
      <c r="AV297" s="586"/>
      <c r="AW297" s="586"/>
      <c r="AX297" s="586"/>
      <c r="AY297" s="586"/>
      <c r="AZ297" s="586"/>
      <c r="BA297" s="586"/>
      <c r="BB297" s="586"/>
      <c r="BC297" s="574"/>
    </row>
    <row r="298" spans="1:55" s="466" customFormat="1" hidden="1">
      <c r="G298" s="263"/>
      <c r="H298" s="263"/>
      <c r="I298" s="263"/>
      <c r="J298" s="263"/>
      <c r="K298" s="263"/>
      <c r="L298" s="263"/>
      <c r="M298" s="263"/>
      <c r="N298" s="263"/>
      <c r="O298" s="263"/>
      <c r="P298" s="263"/>
      <c r="Q298" s="263"/>
      <c r="R298" s="263"/>
      <c r="S298" s="263"/>
      <c r="T298" s="263"/>
      <c r="U298" s="263"/>
      <c r="V298" s="586"/>
      <c r="W298" s="586"/>
      <c r="X298" s="586"/>
      <c r="Y298" s="586"/>
      <c r="Z298" s="586"/>
      <c r="AA298" s="586"/>
      <c r="AB298" s="586"/>
      <c r="AC298" s="586"/>
      <c r="AD298" s="586"/>
      <c r="AE298" s="586"/>
      <c r="AF298" s="586"/>
      <c r="AG298" s="586"/>
      <c r="AH298" s="586"/>
      <c r="AI298" s="586"/>
      <c r="AJ298" s="586"/>
      <c r="AK298" s="586"/>
      <c r="AL298" s="586"/>
      <c r="AM298" s="586"/>
      <c r="AN298" s="586"/>
      <c r="AO298" s="586"/>
      <c r="AP298" s="586"/>
      <c r="AQ298" s="586"/>
      <c r="AR298" s="586"/>
      <c r="AS298" s="586"/>
      <c r="AT298" s="586"/>
      <c r="AU298" s="586"/>
      <c r="AV298" s="586"/>
      <c r="AW298" s="586"/>
      <c r="AX298" s="586"/>
      <c r="AY298" s="586"/>
      <c r="AZ298" s="586"/>
      <c r="BA298" s="586"/>
      <c r="BB298" s="586"/>
      <c r="BC298" s="574"/>
    </row>
    <row r="299" spans="1:55" s="466" customFormat="1" hidden="1">
      <c r="A299" s="300"/>
      <c r="B299" s="468"/>
      <c r="D299" s="470"/>
      <c r="E299" s="569"/>
      <c r="F299" s="570"/>
      <c r="G299" s="263"/>
      <c r="H299" s="263"/>
      <c r="I299" s="263"/>
      <c r="J299" s="263"/>
      <c r="K299" s="263"/>
      <c r="L299" s="263"/>
      <c r="M299" s="263"/>
      <c r="N299" s="263"/>
      <c r="O299" s="263"/>
      <c r="P299" s="263"/>
      <c r="Q299" s="263"/>
      <c r="R299" s="263"/>
      <c r="S299" s="263"/>
      <c r="T299" s="263"/>
      <c r="U299" s="263"/>
      <c r="V299" s="586"/>
      <c r="W299" s="586"/>
      <c r="X299" s="586"/>
      <c r="Y299" s="586"/>
      <c r="Z299" s="586"/>
      <c r="AA299" s="586"/>
      <c r="AB299" s="586"/>
      <c r="AC299" s="586"/>
      <c r="AD299" s="586"/>
      <c r="AE299" s="586"/>
      <c r="AF299" s="586"/>
      <c r="AG299" s="586"/>
      <c r="AH299" s="586"/>
      <c r="AI299" s="586"/>
      <c r="AJ299" s="586"/>
      <c r="AK299" s="586"/>
      <c r="AL299" s="586"/>
      <c r="AM299" s="586"/>
      <c r="AN299" s="586"/>
      <c r="AO299" s="586"/>
      <c r="AP299" s="586"/>
      <c r="AQ299" s="586"/>
      <c r="AR299" s="586"/>
      <c r="AS299" s="586"/>
      <c r="AT299" s="586"/>
      <c r="AU299" s="586"/>
      <c r="AV299" s="586"/>
      <c r="AW299" s="586"/>
      <c r="AX299" s="586"/>
      <c r="AY299" s="586"/>
      <c r="AZ299" s="586"/>
      <c r="BA299" s="586"/>
      <c r="BB299" s="586"/>
      <c r="BC299" s="574"/>
    </row>
    <row r="300" spans="1:55" s="466" customFormat="1" hidden="1">
      <c r="A300" s="300"/>
      <c r="B300" s="571"/>
      <c r="G300" s="263"/>
      <c r="H300" s="263"/>
      <c r="I300" s="263"/>
      <c r="J300" s="263"/>
      <c r="K300" s="263"/>
      <c r="L300" s="263"/>
      <c r="M300" s="263"/>
      <c r="N300" s="263"/>
      <c r="O300" s="263"/>
      <c r="P300" s="263"/>
      <c r="Q300" s="263"/>
      <c r="R300" s="263"/>
      <c r="S300" s="263"/>
      <c r="T300" s="263"/>
      <c r="U300" s="263"/>
      <c r="V300" s="586"/>
      <c r="W300" s="586"/>
      <c r="X300" s="586"/>
      <c r="Y300" s="586"/>
      <c r="Z300" s="586"/>
      <c r="AA300" s="586"/>
      <c r="AB300" s="586"/>
      <c r="AC300" s="586"/>
      <c r="AD300" s="586"/>
      <c r="AE300" s="586"/>
      <c r="AF300" s="586"/>
      <c r="AG300" s="586"/>
      <c r="AH300" s="586"/>
      <c r="AI300" s="586"/>
      <c r="AJ300" s="586"/>
      <c r="AK300" s="586"/>
      <c r="AL300" s="586"/>
      <c r="AM300" s="586"/>
      <c r="AN300" s="586"/>
      <c r="AO300" s="586"/>
      <c r="AP300" s="586"/>
      <c r="AQ300" s="586"/>
      <c r="AR300" s="586"/>
      <c r="AS300" s="586"/>
      <c r="AT300" s="586"/>
      <c r="AU300" s="586"/>
      <c r="AV300" s="586"/>
      <c r="AW300" s="586"/>
      <c r="AX300" s="586"/>
      <c r="AY300" s="586"/>
      <c r="AZ300" s="586"/>
      <c r="BA300" s="586"/>
      <c r="BB300" s="586"/>
      <c r="BC300" s="574"/>
    </row>
    <row r="301" spans="1:55" s="466" customFormat="1" hidden="1">
      <c r="G301" s="263"/>
      <c r="H301" s="263"/>
      <c r="I301" s="263"/>
      <c r="J301" s="263"/>
      <c r="K301" s="263"/>
      <c r="L301" s="263"/>
      <c r="M301" s="263"/>
      <c r="N301" s="263"/>
      <c r="O301" s="263"/>
      <c r="P301" s="263"/>
      <c r="Q301" s="263"/>
      <c r="R301" s="263"/>
      <c r="S301" s="263"/>
      <c r="T301" s="263"/>
      <c r="U301" s="263"/>
      <c r="V301" s="586"/>
      <c r="W301" s="586"/>
      <c r="X301" s="586"/>
      <c r="Y301" s="586"/>
      <c r="Z301" s="586"/>
      <c r="AA301" s="586"/>
      <c r="AB301" s="586"/>
      <c r="AC301" s="586"/>
      <c r="AD301" s="586"/>
      <c r="AE301" s="586"/>
      <c r="AF301" s="586"/>
      <c r="AG301" s="586"/>
      <c r="AH301" s="586"/>
      <c r="AI301" s="586"/>
      <c r="AJ301" s="586"/>
      <c r="AK301" s="586"/>
      <c r="AL301" s="586"/>
      <c r="AM301" s="586"/>
      <c r="AN301" s="586"/>
      <c r="AO301" s="586"/>
      <c r="AP301" s="586"/>
      <c r="AQ301" s="586"/>
      <c r="AR301" s="586"/>
      <c r="AS301" s="586"/>
      <c r="AT301" s="586"/>
      <c r="AU301" s="586"/>
      <c r="AV301" s="586"/>
      <c r="AW301" s="586"/>
      <c r="AX301" s="586"/>
      <c r="AY301" s="586"/>
      <c r="AZ301" s="586"/>
      <c r="BA301" s="586"/>
      <c r="BB301" s="586"/>
      <c r="BC301" s="574"/>
    </row>
    <row r="302" spans="1:55" s="466" customFormat="1" hidden="1">
      <c r="A302" s="300"/>
      <c r="B302" s="468"/>
      <c r="D302" s="470"/>
      <c r="E302" s="569"/>
      <c r="F302" s="570"/>
      <c r="G302" s="263"/>
      <c r="H302" s="263"/>
      <c r="I302" s="263"/>
      <c r="J302" s="263"/>
      <c r="K302" s="263"/>
      <c r="L302" s="263"/>
      <c r="M302" s="263"/>
      <c r="N302" s="263"/>
      <c r="O302" s="263"/>
      <c r="P302" s="263"/>
      <c r="Q302" s="263"/>
      <c r="R302" s="263"/>
      <c r="S302" s="263"/>
      <c r="T302" s="263"/>
      <c r="U302" s="263"/>
      <c r="V302" s="586"/>
      <c r="W302" s="586"/>
      <c r="X302" s="586"/>
      <c r="Y302" s="586"/>
      <c r="Z302" s="586"/>
      <c r="AA302" s="586"/>
      <c r="AB302" s="586"/>
      <c r="AC302" s="586"/>
      <c r="AD302" s="586"/>
      <c r="AE302" s="586"/>
      <c r="AF302" s="586"/>
      <c r="AG302" s="586"/>
      <c r="AH302" s="586"/>
      <c r="AI302" s="586"/>
      <c r="AJ302" s="586"/>
      <c r="AK302" s="586"/>
      <c r="AL302" s="586"/>
      <c r="AM302" s="586"/>
      <c r="AN302" s="586"/>
      <c r="AO302" s="586"/>
      <c r="AP302" s="586"/>
      <c r="AQ302" s="586"/>
      <c r="AR302" s="586"/>
      <c r="AS302" s="586"/>
      <c r="AT302" s="586"/>
      <c r="AU302" s="586"/>
      <c r="AV302" s="586"/>
      <c r="AW302" s="586"/>
      <c r="AX302" s="586"/>
      <c r="AY302" s="586"/>
      <c r="AZ302" s="586"/>
      <c r="BA302" s="586"/>
      <c r="BB302" s="586"/>
      <c r="BC302" s="574"/>
    </row>
    <row r="303" spans="1:55" s="466" customFormat="1" hidden="1">
      <c r="A303" s="300"/>
      <c r="B303" s="571"/>
      <c r="G303" s="263"/>
      <c r="H303" s="263"/>
      <c r="I303" s="263"/>
      <c r="J303" s="263"/>
      <c r="K303" s="263"/>
      <c r="L303" s="263"/>
      <c r="M303" s="263"/>
      <c r="N303" s="263"/>
      <c r="O303" s="263"/>
      <c r="P303" s="263"/>
      <c r="Q303" s="263"/>
      <c r="R303" s="263"/>
      <c r="S303" s="263"/>
      <c r="T303" s="263"/>
      <c r="U303" s="263"/>
      <c r="V303" s="586"/>
      <c r="W303" s="586"/>
      <c r="X303" s="586"/>
      <c r="Y303" s="586"/>
      <c r="Z303" s="586"/>
      <c r="AA303" s="586"/>
      <c r="AB303" s="586"/>
      <c r="AC303" s="586"/>
      <c r="AD303" s="586"/>
      <c r="AE303" s="586"/>
      <c r="AF303" s="586"/>
      <c r="AG303" s="586"/>
      <c r="AH303" s="586"/>
      <c r="AI303" s="586"/>
      <c r="AJ303" s="586"/>
      <c r="AK303" s="586"/>
      <c r="AL303" s="586"/>
      <c r="AM303" s="586"/>
      <c r="AN303" s="586"/>
      <c r="AO303" s="586"/>
      <c r="AP303" s="586"/>
      <c r="AQ303" s="586"/>
      <c r="AR303" s="586"/>
      <c r="AS303" s="586"/>
      <c r="AT303" s="586"/>
      <c r="AU303" s="586"/>
      <c r="AV303" s="586"/>
      <c r="AW303" s="586"/>
      <c r="AX303" s="586"/>
      <c r="AY303" s="586"/>
      <c r="AZ303" s="586"/>
      <c r="BA303" s="586"/>
      <c r="BB303" s="586"/>
      <c r="BC303" s="574"/>
    </row>
    <row r="304" spans="1:55" s="466" customFormat="1" hidden="1">
      <c r="G304" s="263"/>
      <c r="H304" s="263"/>
      <c r="I304" s="263"/>
      <c r="J304" s="263"/>
      <c r="K304" s="263"/>
      <c r="L304" s="263"/>
      <c r="M304" s="263"/>
      <c r="N304" s="263"/>
      <c r="O304" s="263"/>
      <c r="P304" s="263"/>
      <c r="Q304" s="263"/>
      <c r="R304" s="263"/>
      <c r="S304" s="263"/>
      <c r="T304" s="263"/>
      <c r="U304" s="263"/>
      <c r="V304" s="586"/>
      <c r="W304" s="586"/>
      <c r="X304" s="586"/>
      <c r="Y304" s="586"/>
      <c r="Z304" s="586"/>
      <c r="AA304" s="586"/>
      <c r="AB304" s="586"/>
      <c r="AC304" s="586"/>
      <c r="AD304" s="586"/>
      <c r="AE304" s="586"/>
      <c r="AF304" s="586"/>
      <c r="AG304" s="586"/>
      <c r="AH304" s="586"/>
      <c r="AI304" s="586"/>
      <c r="AJ304" s="586"/>
      <c r="AK304" s="586"/>
      <c r="AL304" s="586"/>
      <c r="AM304" s="586"/>
      <c r="AN304" s="586"/>
      <c r="AO304" s="586"/>
      <c r="AP304" s="586"/>
      <c r="AQ304" s="586"/>
      <c r="AR304" s="586"/>
      <c r="AS304" s="586"/>
      <c r="AT304" s="586"/>
      <c r="AU304" s="586"/>
      <c r="AV304" s="586"/>
      <c r="AW304" s="586"/>
      <c r="AX304" s="586"/>
      <c r="AY304" s="586"/>
      <c r="AZ304" s="586"/>
      <c r="BA304" s="586"/>
      <c r="BB304" s="586"/>
      <c r="BC304" s="574"/>
    </row>
    <row r="305" spans="1:55" s="466" customFormat="1" hidden="1">
      <c r="A305" s="300"/>
      <c r="B305" s="468"/>
      <c r="D305" s="470"/>
      <c r="E305" s="569"/>
      <c r="F305" s="570"/>
      <c r="G305" s="263"/>
      <c r="H305" s="263"/>
      <c r="I305" s="263"/>
      <c r="J305" s="263"/>
      <c r="K305" s="263"/>
      <c r="L305" s="263"/>
      <c r="M305" s="263"/>
      <c r="N305" s="263"/>
      <c r="O305" s="263"/>
      <c r="P305" s="263"/>
      <c r="Q305" s="263"/>
      <c r="R305" s="263"/>
      <c r="S305" s="263"/>
      <c r="T305" s="263"/>
      <c r="U305" s="263"/>
      <c r="V305" s="586"/>
      <c r="W305" s="586"/>
      <c r="X305" s="586"/>
      <c r="Y305" s="586"/>
      <c r="Z305" s="586"/>
      <c r="AA305" s="586"/>
      <c r="AB305" s="586"/>
      <c r="AC305" s="586"/>
      <c r="AD305" s="586"/>
      <c r="AE305" s="586"/>
      <c r="AF305" s="586"/>
      <c r="AG305" s="586"/>
      <c r="AH305" s="586"/>
      <c r="AI305" s="586"/>
      <c r="AJ305" s="586"/>
      <c r="AK305" s="586"/>
      <c r="AL305" s="586"/>
      <c r="AM305" s="586"/>
      <c r="AN305" s="586"/>
      <c r="AO305" s="586"/>
      <c r="AP305" s="586"/>
      <c r="AQ305" s="586"/>
      <c r="AR305" s="586"/>
      <c r="AS305" s="586"/>
      <c r="AT305" s="586"/>
      <c r="AU305" s="586"/>
      <c r="AV305" s="586"/>
      <c r="AW305" s="586"/>
      <c r="AX305" s="586"/>
      <c r="AY305" s="586"/>
      <c r="AZ305" s="586"/>
      <c r="BA305" s="586"/>
      <c r="BB305" s="586"/>
      <c r="BC305" s="574"/>
    </row>
    <row r="306" spans="1:55" s="466" customFormat="1" hidden="1">
      <c r="A306" s="300"/>
      <c r="B306" s="571"/>
      <c r="G306" s="263"/>
      <c r="H306" s="263"/>
      <c r="I306" s="263"/>
      <c r="J306" s="263"/>
      <c r="K306" s="263"/>
      <c r="L306" s="263"/>
      <c r="M306" s="263"/>
      <c r="N306" s="263"/>
      <c r="O306" s="263"/>
      <c r="P306" s="263"/>
      <c r="Q306" s="263"/>
      <c r="R306" s="263"/>
      <c r="S306" s="263"/>
      <c r="T306" s="263"/>
      <c r="U306" s="263"/>
      <c r="V306" s="586"/>
      <c r="W306" s="586"/>
      <c r="X306" s="586"/>
      <c r="Y306" s="586"/>
      <c r="Z306" s="586"/>
      <c r="AA306" s="586"/>
      <c r="AB306" s="586"/>
      <c r="AC306" s="586"/>
      <c r="AD306" s="586"/>
      <c r="AE306" s="586"/>
      <c r="AF306" s="586"/>
      <c r="AG306" s="586"/>
      <c r="AH306" s="586"/>
      <c r="AI306" s="586"/>
      <c r="AJ306" s="586"/>
      <c r="AK306" s="586"/>
      <c r="AL306" s="586"/>
      <c r="AM306" s="586"/>
      <c r="AN306" s="586"/>
      <c r="AO306" s="586"/>
      <c r="AP306" s="586"/>
      <c r="AQ306" s="586"/>
      <c r="AR306" s="586"/>
      <c r="AS306" s="586"/>
      <c r="AT306" s="586"/>
      <c r="AU306" s="586"/>
      <c r="AV306" s="586"/>
      <c r="AW306" s="586"/>
      <c r="AX306" s="586"/>
      <c r="AY306" s="586"/>
      <c r="AZ306" s="586"/>
      <c r="BA306" s="586"/>
      <c r="BB306" s="586"/>
      <c r="BC306" s="574"/>
    </row>
    <row r="307" spans="1:55" s="466" customFormat="1" hidden="1">
      <c r="G307" s="263"/>
      <c r="H307" s="263"/>
      <c r="I307" s="263"/>
      <c r="J307" s="263"/>
      <c r="K307" s="263"/>
      <c r="L307" s="263"/>
      <c r="M307" s="263"/>
      <c r="N307" s="263"/>
      <c r="O307" s="263"/>
      <c r="P307" s="263"/>
      <c r="Q307" s="263"/>
      <c r="R307" s="263"/>
      <c r="S307" s="263"/>
      <c r="T307" s="263"/>
      <c r="U307" s="263"/>
      <c r="V307" s="586"/>
      <c r="W307" s="586"/>
      <c r="X307" s="586"/>
      <c r="Y307" s="586"/>
      <c r="Z307" s="586"/>
      <c r="AA307" s="586"/>
      <c r="AB307" s="586"/>
      <c r="AC307" s="586"/>
      <c r="AD307" s="586"/>
      <c r="AE307" s="586"/>
      <c r="AF307" s="586"/>
      <c r="AG307" s="586"/>
      <c r="AH307" s="586"/>
      <c r="AI307" s="586"/>
      <c r="AJ307" s="586"/>
      <c r="AK307" s="586"/>
      <c r="AL307" s="586"/>
      <c r="AM307" s="586"/>
      <c r="AN307" s="586"/>
      <c r="AO307" s="586"/>
      <c r="AP307" s="586"/>
      <c r="AQ307" s="586"/>
      <c r="AR307" s="586"/>
      <c r="AS307" s="586"/>
      <c r="AT307" s="586"/>
      <c r="AU307" s="586"/>
      <c r="AV307" s="586"/>
      <c r="AW307" s="586"/>
      <c r="AX307" s="586"/>
      <c r="AY307" s="586"/>
      <c r="AZ307" s="586"/>
      <c r="BA307" s="586"/>
      <c r="BB307" s="586"/>
      <c r="BC307" s="574"/>
    </row>
    <row r="308" spans="1:55" s="466" customFormat="1" hidden="1">
      <c r="A308" s="300"/>
      <c r="B308" s="468"/>
      <c r="D308" s="470"/>
      <c r="E308" s="569"/>
      <c r="F308" s="570"/>
      <c r="G308" s="263"/>
      <c r="H308" s="263"/>
      <c r="I308" s="263"/>
      <c r="J308" s="263"/>
      <c r="K308" s="263"/>
      <c r="L308" s="263"/>
      <c r="M308" s="263"/>
      <c r="N308" s="263"/>
      <c r="O308" s="263"/>
      <c r="P308" s="263"/>
      <c r="Q308" s="263"/>
      <c r="R308" s="263"/>
      <c r="S308" s="263"/>
      <c r="T308" s="263"/>
      <c r="U308" s="263"/>
      <c r="V308" s="586"/>
      <c r="W308" s="586"/>
      <c r="X308" s="586"/>
      <c r="Y308" s="586"/>
      <c r="Z308" s="586"/>
      <c r="AA308" s="586"/>
      <c r="AB308" s="586"/>
      <c r="AC308" s="586"/>
      <c r="AD308" s="586"/>
      <c r="AE308" s="586"/>
      <c r="AF308" s="586"/>
      <c r="AG308" s="586"/>
      <c r="AH308" s="586"/>
      <c r="AI308" s="586"/>
      <c r="AJ308" s="586"/>
      <c r="AK308" s="586"/>
      <c r="AL308" s="586"/>
      <c r="AM308" s="586"/>
      <c r="AN308" s="586"/>
      <c r="AO308" s="586"/>
      <c r="AP308" s="586"/>
      <c r="AQ308" s="586"/>
      <c r="AR308" s="586"/>
      <c r="AS308" s="586"/>
      <c r="AT308" s="586"/>
      <c r="AU308" s="586"/>
      <c r="AV308" s="586"/>
      <c r="AW308" s="586"/>
      <c r="AX308" s="586"/>
      <c r="AY308" s="586"/>
      <c r="AZ308" s="586"/>
      <c r="BA308" s="586"/>
      <c r="BB308" s="586"/>
      <c r="BC308" s="574"/>
    </row>
    <row r="309" spans="1:55" s="466" customFormat="1" hidden="1">
      <c r="A309" s="300"/>
      <c r="B309" s="571"/>
      <c r="G309" s="263"/>
      <c r="H309" s="263"/>
      <c r="I309" s="263"/>
      <c r="J309" s="263"/>
      <c r="K309" s="263"/>
      <c r="L309" s="263"/>
      <c r="M309" s="263"/>
      <c r="N309" s="263"/>
      <c r="O309" s="263"/>
      <c r="P309" s="263"/>
      <c r="Q309" s="263"/>
      <c r="R309" s="263"/>
      <c r="S309" s="263"/>
      <c r="T309" s="263"/>
      <c r="U309" s="263"/>
      <c r="V309" s="586"/>
      <c r="W309" s="586"/>
      <c r="X309" s="586"/>
      <c r="Y309" s="586"/>
      <c r="Z309" s="586"/>
      <c r="AA309" s="586"/>
      <c r="AB309" s="586"/>
      <c r="AC309" s="586"/>
      <c r="AD309" s="586"/>
      <c r="AE309" s="586"/>
      <c r="AF309" s="586"/>
      <c r="AG309" s="586"/>
      <c r="AH309" s="586"/>
      <c r="AI309" s="586"/>
      <c r="AJ309" s="586"/>
      <c r="AK309" s="586"/>
      <c r="AL309" s="586"/>
      <c r="AM309" s="586"/>
      <c r="AN309" s="586"/>
      <c r="AO309" s="586"/>
      <c r="AP309" s="586"/>
      <c r="AQ309" s="586"/>
      <c r="AR309" s="586"/>
      <c r="AS309" s="586"/>
      <c r="AT309" s="586"/>
      <c r="AU309" s="586"/>
      <c r="AV309" s="586"/>
      <c r="AW309" s="586"/>
      <c r="AX309" s="586"/>
      <c r="AY309" s="586"/>
      <c r="AZ309" s="586"/>
      <c r="BA309" s="586"/>
      <c r="BB309" s="586"/>
      <c r="BC309" s="574"/>
    </row>
    <row r="310" spans="1:55" s="466" customFormat="1" hidden="1">
      <c r="G310" s="263"/>
      <c r="H310" s="263"/>
      <c r="I310" s="263"/>
      <c r="J310" s="263"/>
      <c r="K310" s="263"/>
      <c r="L310" s="263"/>
      <c r="M310" s="263"/>
      <c r="N310" s="263"/>
      <c r="O310" s="263"/>
      <c r="P310" s="263"/>
      <c r="Q310" s="263"/>
      <c r="R310" s="263"/>
      <c r="S310" s="263"/>
      <c r="T310" s="263"/>
      <c r="U310" s="263"/>
      <c r="V310" s="586"/>
      <c r="W310" s="586"/>
      <c r="X310" s="586"/>
      <c r="Y310" s="586"/>
      <c r="Z310" s="586"/>
      <c r="AA310" s="586"/>
      <c r="AB310" s="586"/>
      <c r="AC310" s="586"/>
      <c r="AD310" s="586"/>
      <c r="AE310" s="586"/>
      <c r="AF310" s="586"/>
      <c r="AG310" s="586"/>
      <c r="AH310" s="586"/>
      <c r="AI310" s="586"/>
      <c r="AJ310" s="586"/>
      <c r="AK310" s="586"/>
      <c r="AL310" s="586"/>
      <c r="AM310" s="586"/>
      <c r="AN310" s="586"/>
      <c r="AO310" s="586"/>
      <c r="AP310" s="586"/>
      <c r="AQ310" s="586"/>
      <c r="AR310" s="586"/>
      <c r="AS310" s="586"/>
      <c r="AT310" s="586"/>
      <c r="AU310" s="586"/>
      <c r="AV310" s="586"/>
      <c r="AW310" s="586"/>
      <c r="AX310" s="586"/>
      <c r="AY310" s="586"/>
      <c r="AZ310" s="586"/>
      <c r="BA310" s="586"/>
      <c r="BB310" s="586"/>
      <c r="BC310" s="574"/>
    </row>
    <row r="311" spans="1:55" s="466" customFormat="1" hidden="1">
      <c r="A311" s="300"/>
      <c r="B311" s="468"/>
      <c r="D311" s="470"/>
      <c r="E311" s="569"/>
      <c r="F311" s="570"/>
      <c r="G311" s="263"/>
      <c r="H311" s="263"/>
      <c r="I311" s="263"/>
      <c r="J311" s="263"/>
      <c r="K311" s="263"/>
      <c r="L311" s="263"/>
      <c r="M311" s="263"/>
      <c r="N311" s="263"/>
      <c r="O311" s="263"/>
      <c r="P311" s="263"/>
      <c r="Q311" s="263"/>
      <c r="R311" s="263"/>
      <c r="S311" s="263"/>
      <c r="T311" s="263"/>
      <c r="U311" s="263"/>
      <c r="V311" s="586"/>
      <c r="W311" s="586"/>
      <c r="X311" s="586"/>
      <c r="Y311" s="586"/>
      <c r="Z311" s="586"/>
      <c r="AA311" s="586"/>
      <c r="AB311" s="586"/>
      <c r="AC311" s="586"/>
      <c r="AD311" s="586"/>
      <c r="AE311" s="586"/>
      <c r="AF311" s="586"/>
      <c r="AG311" s="586"/>
      <c r="AH311" s="586"/>
      <c r="AI311" s="586"/>
      <c r="AJ311" s="586"/>
      <c r="AK311" s="586"/>
      <c r="AL311" s="586"/>
      <c r="AM311" s="586"/>
      <c r="AN311" s="586"/>
      <c r="AO311" s="586"/>
      <c r="AP311" s="586"/>
      <c r="AQ311" s="586"/>
      <c r="AR311" s="586"/>
      <c r="AS311" s="586"/>
      <c r="AT311" s="586"/>
      <c r="AU311" s="586"/>
      <c r="AV311" s="586"/>
      <c r="AW311" s="586"/>
      <c r="AX311" s="586"/>
      <c r="AY311" s="586"/>
      <c r="AZ311" s="586"/>
      <c r="BA311" s="586"/>
      <c r="BB311" s="586"/>
      <c r="BC311" s="574"/>
    </row>
    <row r="312" spans="1:55" s="466" customFormat="1" hidden="1">
      <c r="A312" s="300"/>
      <c r="B312" s="571"/>
      <c r="G312" s="263"/>
      <c r="H312" s="263"/>
      <c r="I312" s="263"/>
      <c r="J312" s="263"/>
      <c r="K312" s="263"/>
      <c r="L312" s="263"/>
      <c r="M312" s="263"/>
      <c r="N312" s="263"/>
      <c r="O312" s="263"/>
      <c r="P312" s="263"/>
      <c r="Q312" s="263"/>
      <c r="R312" s="263"/>
      <c r="S312" s="263"/>
      <c r="T312" s="263"/>
      <c r="U312" s="263"/>
      <c r="V312" s="586"/>
      <c r="W312" s="586"/>
      <c r="X312" s="586"/>
      <c r="Y312" s="586"/>
      <c r="Z312" s="586"/>
      <c r="AA312" s="586"/>
      <c r="AB312" s="586"/>
      <c r="AC312" s="586"/>
      <c r="AD312" s="586"/>
      <c r="AE312" s="586"/>
      <c r="AF312" s="586"/>
      <c r="AG312" s="586"/>
      <c r="AH312" s="586"/>
      <c r="AI312" s="586"/>
      <c r="AJ312" s="586"/>
      <c r="AK312" s="586"/>
      <c r="AL312" s="586"/>
      <c r="AM312" s="586"/>
      <c r="AN312" s="586"/>
      <c r="AO312" s="586"/>
      <c r="AP312" s="586"/>
      <c r="AQ312" s="586"/>
      <c r="AR312" s="586"/>
      <c r="AS312" s="586"/>
      <c r="AT312" s="586"/>
      <c r="AU312" s="586"/>
      <c r="AV312" s="586"/>
      <c r="AW312" s="586"/>
      <c r="AX312" s="586"/>
      <c r="AY312" s="586"/>
      <c r="AZ312" s="586"/>
      <c r="BA312" s="586"/>
      <c r="BB312" s="586"/>
      <c r="BC312" s="574"/>
    </row>
    <row r="313" spans="1:55" s="466" customFormat="1" hidden="1">
      <c r="G313" s="263"/>
      <c r="H313" s="263"/>
      <c r="I313" s="263"/>
      <c r="J313" s="263"/>
      <c r="K313" s="263"/>
      <c r="L313" s="263"/>
      <c r="M313" s="263"/>
      <c r="N313" s="263"/>
      <c r="O313" s="263"/>
      <c r="P313" s="263"/>
      <c r="Q313" s="263"/>
      <c r="R313" s="263"/>
      <c r="S313" s="263"/>
      <c r="T313" s="263"/>
      <c r="U313" s="263"/>
      <c r="V313" s="586"/>
      <c r="W313" s="586"/>
      <c r="X313" s="586"/>
      <c r="Y313" s="586"/>
      <c r="Z313" s="586"/>
      <c r="AA313" s="586"/>
      <c r="AB313" s="586"/>
      <c r="AC313" s="586"/>
      <c r="AD313" s="586"/>
      <c r="AE313" s="586"/>
      <c r="AF313" s="586"/>
      <c r="AG313" s="586"/>
      <c r="AH313" s="586"/>
      <c r="AI313" s="586"/>
      <c r="AJ313" s="586"/>
      <c r="AK313" s="586"/>
      <c r="AL313" s="586"/>
      <c r="AM313" s="586"/>
      <c r="AN313" s="586"/>
      <c r="AO313" s="586"/>
      <c r="AP313" s="586"/>
      <c r="AQ313" s="586"/>
      <c r="AR313" s="586"/>
      <c r="AS313" s="586"/>
      <c r="AT313" s="586"/>
      <c r="AU313" s="586"/>
      <c r="AV313" s="586"/>
      <c r="AW313" s="586"/>
      <c r="AX313" s="586"/>
      <c r="AY313" s="586"/>
      <c r="AZ313" s="586"/>
      <c r="BA313" s="586"/>
      <c r="BB313" s="586"/>
      <c r="BC313" s="574"/>
    </row>
    <row r="314" spans="1:55" s="466" customFormat="1" hidden="1">
      <c r="A314" s="300"/>
      <c r="B314" s="468"/>
      <c r="D314" s="470"/>
      <c r="E314" s="569"/>
      <c r="F314" s="570"/>
      <c r="G314" s="263"/>
      <c r="H314" s="263"/>
      <c r="I314" s="263"/>
      <c r="J314" s="263"/>
      <c r="K314" s="263"/>
      <c r="L314" s="263"/>
      <c r="M314" s="263"/>
      <c r="N314" s="263"/>
      <c r="O314" s="263"/>
      <c r="P314" s="263"/>
      <c r="Q314" s="263"/>
      <c r="R314" s="263"/>
      <c r="S314" s="263"/>
      <c r="T314" s="263"/>
      <c r="U314" s="263"/>
      <c r="V314" s="586"/>
      <c r="W314" s="586"/>
      <c r="X314" s="586"/>
      <c r="Y314" s="586"/>
      <c r="Z314" s="586"/>
      <c r="AA314" s="586"/>
      <c r="AB314" s="586"/>
      <c r="AC314" s="586"/>
      <c r="AD314" s="586"/>
      <c r="AE314" s="586"/>
      <c r="AF314" s="586"/>
      <c r="AG314" s="586"/>
      <c r="AH314" s="586"/>
      <c r="AI314" s="586"/>
      <c r="AJ314" s="586"/>
      <c r="AK314" s="586"/>
      <c r="AL314" s="586"/>
      <c r="AM314" s="586"/>
      <c r="AN314" s="586"/>
      <c r="AO314" s="586"/>
      <c r="AP314" s="586"/>
      <c r="AQ314" s="586"/>
      <c r="AR314" s="586"/>
      <c r="AS314" s="586"/>
      <c r="AT314" s="586"/>
      <c r="AU314" s="586"/>
      <c r="AV314" s="586"/>
      <c r="AW314" s="586"/>
      <c r="AX314" s="586"/>
      <c r="AY314" s="586"/>
      <c r="AZ314" s="586"/>
      <c r="BA314" s="586"/>
      <c r="BB314" s="586"/>
      <c r="BC314" s="574"/>
    </row>
    <row r="315" spans="1:55" s="466" customFormat="1" hidden="1">
      <c r="A315" s="300"/>
      <c r="B315" s="571"/>
      <c r="G315" s="263"/>
      <c r="H315" s="263"/>
      <c r="I315" s="263"/>
      <c r="J315" s="263"/>
      <c r="K315" s="263"/>
      <c r="L315" s="263"/>
      <c r="M315" s="263"/>
      <c r="N315" s="263"/>
      <c r="O315" s="263"/>
      <c r="P315" s="263"/>
      <c r="Q315" s="263"/>
      <c r="R315" s="263"/>
      <c r="S315" s="263"/>
      <c r="T315" s="263"/>
      <c r="U315" s="263"/>
      <c r="V315" s="586"/>
      <c r="W315" s="586"/>
      <c r="X315" s="586"/>
      <c r="Y315" s="586"/>
      <c r="Z315" s="586"/>
      <c r="AA315" s="586"/>
      <c r="AB315" s="586"/>
      <c r="AC315" s="586"/>
      <c r="AD315" s="586"/>
      <c r="AE315" s="586"/>
      <c r="AF315" s="586"/>
      <c r="AG315" s="586"/>
      <c r="AH315" s="586"/>
      <c r="AI315" s="586"/>
      <c r="AJ315" s="586"/>
      <c r="AK315" s="586"/>
      <c r="AL315" s="586"/>
      <c r="AM315" s="586"/>
      <c r="AN315" s="586"/>
      <c r="AO315" s="586"/>
      <c r="AP315" s="586"/>
      <c r="AQ315" s="586"/>
      <c r="AR315" s="586"/>
      <c r="AS315" s="586"/>
      <c r="AT315" s="586"/>
      <c r="AU315" s="586"/>
      <c r="AV315" s="586"/>
      <c r="AW315" s="586"/>
      <c r="AX315" s="586"/>
      <c r="AY315" s="586"/>
      <c r="AZ315" s="586"/>
      <c r="BA315" s="586"/>
      <c r="BB315" s="586"/>
      <c r="BC315" s="574"/>
    </row>
    <row r="316" spans="1:55" s="466" customFormat="1" hidden="1">
      <c r="G316" s="263"/>
      <c r="H316" s="263"/>
      <c r="I316" s="263"/>
      <c r="J316" s="263"/>
      <c r="K316" s="263"/>
      <c r="L316" s="263"/>
      <c r="M316" s="263"/>
      <c r="N316" s="263"/>
      <c r="O316" s="263"/>
      <c r="P316" s="263"/>
      <c r="Q316" s="263"/>
      <c r="R316" s="263"/>
      <c r="S316" s="263"/>
      <c r="T316" s="263"/>
      <c r="U316" s="263"/>
      <c r="V316" s="586"/>
      <c r="W316" s="586"/>
      <c r="X316" s="586"/>
      <c r="Y316" s="586"/>
      <c r="Z316" s="586"/>
      <c r="AA316" s="586"/>
      <c r="AB316" s="586"/>
      <c r="AC316" s="586"/>
      <c r="AD316" s="586"/>
      <c r="AE316" s="586"/>
      <c r="AF316" s="586"/>
      <c r="AG316" s="586"/>
      <c r="AH316" s="586"/>
      <c r="AI316" s="586"/>
      <c r="AJ316" s="586"/>
      <c r="AK316" s="586"/>
      <c r="AL316" s="586"/>
      <c r="AM316" s="586"/>
      <c r="AN316" s="586"/>
      <c r="AO316" s="586"/>
      <c r="AP316" s="586"/>
      <c r="AQ316" s="586"/>
      <c r="AR316" s="586"/>
      <c r="AS316" s="586"/>
      <c r="AT316" s="586"/>
      <c r="AU316" s="586"/>
      <c r="AV316" s="586"/>
      <c r="AW316" s="586"/>
      <c r="AX316" s="586"/>
      <c r="AY316" s="586"/>
      <c r="AZ316" s="586"/>
      <c r="BA316" s="586"/>
      <c r="BB316" s="586"/>
      <c r="BC316" s="574"/>
    </row>
    <row r="317" spans="1:55" s="466" customFormat="1" hidden="1">
      <c r="A317" s="300"/>
      <c r="B317" s="468"/>
      <c r="D317" s="470"/>
      <c r="E317" s="569"/>
      <c r="F317" s="570"/>
      <c r="G317" s="263"/>
      <c r="H317" s="263"/>
      <c r="I317" s="263"/>
      <c r="J317" s="263"/>
      <c r="K317" s="263"/>
      <c r="L317" s="263"/>
      <c r="M317" s="263"/>
      <c r="N317" s="263"/>
      <c r="O317" s="263"/>
      <c r="P317" s="263"/>
      <c r="Q317" s="263"/>
      <c r="R317" s="263"/>
      <c r="S317" s="263"/>
      <c r="T317" s="263"/>
      <c r="U317" s="263"/>
      <c r="V317" s="586"/>
      <c r="W317" s="586"/>
      <c r="X317" s="586"/>
      <c r="Y317" s="586"/>
      <c r="Z317" s="586"/>
      <c r="AA317" s="586"/>
      <c r="AB317" s="586"/>
      <c r="AC317" s="586"/>
      <c r="AD317" s="586"/>
      <c r="AE317" s="586"/>
      <c r="AF317" s="586"/>
      <c r="AG317" s="586"/>
      <c r="AH317" s="586"/>
      <c r="AI317" s="586"/>
      <c r="AJ317" s="586"/>
      <c r="AK317" s="586"/>
      <c r="AL317" s="586"/>
      <c r="AM317" s="586"/>
      <c r="AN317" s="586"/>
      <c r="AO317" s="586"/>
      <c r="AP317" s="586"/>
      <c r="AQ317" s="586"/>
      <c r="AR317" s="586"/>
      <c r="AS317" s="586"/>
      <c r="AT317" s="586"/>
      <c r="AU317" s="586"/>
      <c r="AV317" s="586"/>
      <c r="AW317" s="586"/>
      <c r="AX317" s="586"/>
      <c r="AY317" s="586"/>
      <c r="AZ317" s="586"/>
      <c r="BA317" s="586"/>
      <c r="BB317" s="586"/>
      <c r="BC317" s="574"/>
    </row>
    <row r="318" spans="1:55" s="466" customFormat="1" hidden="1">
      <c r="A318" s="300"/>
      <c r="B318" s="571"/>
      <c r="G318" s="263"/>
      <c r="H318" s="263"/>
      <c r="I318" s="263"/>
      <c r="J318" s="263"/>
      <c r="K318" s="263"/>
      <c r="L318" s="263"/>
      <c r="M318" s="263"/>
      <c r="N318" s="263"/>
      <c r="O318" s="263"/>
      <c r="P318" s="263"/>
      <c r="Q318" s="263"/>
      <c r="R318" s="263"/>
      <c r="S318" s="263"/>
      <c r="T318" s="263"/>
      <c r="U318" s="263"/>
      <c r="V318" s="586"/>
      <c r="W318" s="586"/>
      <c r="X318" s="586"/>
      <c r="Y318" s="586"/>
      <c r="Z318" s="586"/>
      <c r="AA318" s="586"/>
      <c r="AB318" s="586"/>
      <c r="AC318" s="586"/>
      <c r="AD318" s="586"/>
      <c r="AE318" s="586"/>
      <c r="AF318" s="586"/>
      <c r="AG318" s="586"/>
      <c r="AH318" s="586"/>
      <c r="AI318" s="586"/>
      <c r="AJ318" s="586"/>
      <c r="AK318" s="586"/>
      <c r="AL318" s="586"/>
      <c r="AM318" s="586"/>
      <c r="AN318" s="586"/>
      <c r="AO318" s="586"/>
      <c r="AP318" s="586"/>
      <c r="AQ318" s="586"/>
      <c r="AR318" s="586"/>
      <c r="AS318" s="586"/>
      <c r="AT318" s="586"/>
      <c r="AU318" s="586"/>
      <c r="AV318" s="586"/>
      <c r="AW318" s="586"/>
      <c r="AX318" s="586"/>
      <c r="AY318" s="586"/>
      <c r="AZ318" s="586"/>
      <c r="BA318" s="586"/>
      <c r="BB318" s="586"/>
      <c r="BC318" s="574"/>
    </row>
    <row r="319" spans="1:55" s="466" customFormat="1" hidden="1">
      <c r="G319" s="263"/>
      <c r="H319" s="263"/>
      <c r="I319" s="263"/>
      <c r="J319" s="263"/>
      <c r="K319" s="263"/>
      <c r="L319" s="263"/>
      <c r="M319" s="263"/>
      <c r="N319" s="263"/>
      <c r="O319" s="263"/>
      <c r="P319" s="263"/>
      <c r="Q319" s="263"/>
      <c r="R319" s="263"/>
      <c r="S319" s="263"/>
      <c r="T319" s="263"/>
      <c r="U319" s="263"/>
      <c r="V319" s="586"/>
      <c r="W319" s="586"/>
      <c r="X319" s="586"/>
      <c r="Y319" s="586"/>
      <c r="Z319" s="586"/>
      <c r="AA319" s="586"/>
      <c r="AB319" s="586"/>
      <c r="AC319" s="586"/>
      <c r="AD319" s="586"/>
      <c r="AE319" s="586"/>
      <c r="AF319" s="586"/>
      <c r="AG319" s="586"/>
      <c r="AH319" s="586"/>
      <c r="AI319" s="586"/>
      <c r="AJ319" s="586"/>
      <c r="AK319" s="586"/>
      <c r="AL319" s="586"/>
      <c r="AM319" s="586"/>
      <c r="AN319" s="586"/>
      <c r="AO319" s="586"/>
      <c r="AP319" s="586"/>
      <c r="AQ319" s="586"/>
      <c r="AR319" s="586"/>
      <c r="AS319" s="586"/>
      <c r="AT319" s="586"/>
      <c r="AU319" s="586"/>
      <c r="AV319" s="586"/>
      <c r="AW319" s="586"/>
      <c r="AX319" s="586"/>
      <c r="AY319" s="586"/>
      <c r="AZ319" s="586"/>
      <c r="BA319" s="586"/>
      <c r="BB319" s="586"/>
      <c r="BC319" s="574"/>
    </row>
    <row r="320" spans="1:55" s="466" customFormat="1" hidden="1">
      <c r="A320" s="300"/>
      <c r="B320" s="468"/>
      <c r="D320" s="470"/>
      <c r="E320" s="569"/>
      <c r="F320" s="570"/>
      <c r="G320" s="263"/>
      <c r="H320" s="263"/>
      <c r="I320" s="263"/>
      <c r="J320" s="263"/>
      <c r="K320" s="263"/>
      <c r="L320" s="263"/>
      <c r="M320" s="263"/>
      <c r="N320" s="263"/>
      <c r="O320" s="263"/>
      <c r="P320" s="263"/>
      <c r="Q320" s="263"/>
      <c r="R320" s="263"/>
      <c r="S320" s="263"/>
      <c r="T320" s="263"/>
      <c r="U320" s="263"/>
      <c r="V320" s="586"/>
      <c r="W320" s="586"/>
      <c r="X320" s="586"/>
      <c r="Y320" s="586"/>
      <c r="Z320" s="586"/>
      <c r="AA320" s="586"/>
      <c r="AB320" s="586"/>
      <c r="AC320" s="586"/>
      <c r="AD320" s="586"/>
      <c r="AE320" s="586"/>
      <c r="AF320" s="586"/>
      <c r="AG320" s="586"/>
      <c r="AH320" s="586"/>
      <c r="AI320" s="586"/>
      <c r="AJ320" s="586"/>
      <c r="AK320" s="586"/>
      <c r="AL320" s="586"/>
      <c r="AM320" s="586"/>
      <c r="AN320" s="586"/>
      <c r="AO320" s="586"/>
      <c r="AP320" s="586"/>
      <c r="AQ320" s="586"/>
      <c r="AR320" s="586"/>
      <c r="AS320" s="586"/>
      <c r="AT320" s="586"/>
      <c r="AU320" s="586"/>
      <c r="AV320" s="586"/>
      <c r="AW320" s="586"/>
      <c r="AX320" s="586"/>
      <c r="AY320" s="586"/>
      <c r="AZ320" s="586"/>
      <c r="BA320" s="586"/>
      <c r="BB320" s="586"/>
      <c r="BC320" s="574"/>
    </row>
    <row r="321" spans="1:55" s="466" customFormat="1" hidden="1">
      <c r="A321" s="300"/>
      <c r="B321" s="571"/>
      <c r="G321" s="263"/>
      <c r="H321" s="263"/>
      <c r="I321" s="263"/>
      <c r="J321" s="263"/>
      <c r="K321" s="263"/>
      <c r="L321" s="263"/>
      <c r="M321" s="263"/>
      <c r="N321" s="263"/>
      <c r="O321" s="263"/>
      <c r="P321" s="263"/>
      <c r="Q321" s="263"/>
      <c r="R321" s="263"/>
      <c r="S321" s="263"/>
      <c r="T321" s="263"/>
      <c r="U321" s="263"/>
      <c r="V321" s="586"/>
      <c r="W321" s="586"/>
      <c r="X321" s="586"/>
      <c r="Y321" s="586"/>
      <c r="Z321" s="586"/>
      <c r="AA321" s="586"/>
      <c r="AB321" s="586"/>
      <c r="AC321" s="586"/>
      <c r="AD321" s="586"/>
      <c r="AE321" s="586"/>
      <c r="AF321" s="586"/>
      <c r="AG321" s="586"/>
      <c r="AH321" s="586"/>
      <c r="AI321" s="586"/>
      <c r="AJ321" s="586"/>
      <c r="AK321" s="586"/>
      <c r="AL321" s="586"/>
      <c r="AM321" s="586"/>
      <c r="AN321" s="586"/>
      <c r="AO321" s="586"/>
      <c r="AP321" s="586"/>
      <c r="AQ321" s="586"/>
      <c r="AR321" s="586"/>
      <c r="AS321" s="586"/>
      <c r="AT321" s="586"/>
      <c r="AU321" s="586"/>
      <c r="AV321" s="586"/>
      <c r="AW321" s="586"/>
      <c r="AX321" s="586"/>
      <c r="AY321" s="586"/>
      <c r="AZ321" s="586"/>
      <c r="BA321" s="586"/>
      <c r="BB321" s="586"/>
      <c r="BC321" s="574"/>
    </row>
    <row r="322" spans="1:55" s="466" customFormat="1" hidden="1">
      <c r="G322" s="263"/>
      <c r="H322" s="263"/>
      <c r="I322" s="263"/>
      <c r="J322" s="263"/>
      <c r="K322" s="263"/>
      <c r="L322" s="263"/>
      <c r="M322" s="263"/>
      <c r="N322" s="263"/>
      <c r="O322" s="263"/>
      <c r="P322" s="263"/>
      <c r="Q322" s="263"/>
      <c r="R322" s="263"/>
      <c r="S322" s="263"/>
      <c r="T322" s="263"/>
      <c r="U322" s="263"/>
      <c r="V322" s="586"/>
      <c r="W322" s="586"/>
      <c r="X322" s="586"/>
      <c r="Y322" s="586"/>
      <c r="Z322" s="586"/>
      <c r="AA322" s="586"/>
      <c r="AB322" s="586"/>
      <c r="AC322" s="586"/>
      <c r="AD322" s="586"/>
      <c r="AE322" s="586"/>
      <c r="AF322" s="586"/>
      <c r="AG322" s="586"/>
      <c r="AH322" s="586"/>
      <c r="AI322" s="586"/>
      <c r="AJ322" s="586"/>
      <c r="AK322" s="586"/>
      <c r="AL322" s="586"/>
      <c r="AM322" s="586"/>
      <c r="AN322" s="586"/>
      <c r="AO322" s="586"/>
      <c r="AP322" s="586"/>
      <c r="AQ322" s="586"/>
      <c r="AR322" s="586"/>
      <c r="AS322" s="586"/>
      <c r="AT322" s="586"/>
      <c r="AU322" s="586"/>
      <c r="AV322" s="586"/>
      <c r="AW322" s="586"/>
      <c r="AX322" s="586"/>
      <c r="AY322" s="586"/>
      <c r="AZ322" s="586"/>
      <c r="BA322" s="586"/>
      <c r="BB322" s="586"/>
      <c r="BC322" s="574"/>
    </row>
    <row r="323" spans="1:55" s="466" customFormat="1" hidden="1">
      <c r="A323" s="300"/>
      <c r="B323" s="468"/>
      <c r="D323" s="470"/>
      <c r="E323" s="569"/>
      <c r="F323" s="570"/>
      <c r="G323" s="263"/>
      <c r="H323" s="263"/>
      <c r="I323" s="263"/>
      <c r="J323" s="263"/>
      <c r="K323" s="263"/>
      <c r="L323" s="263"/>
      <c r="M323" s="263"/>
      <c r="N323" s="263"/>
      <c r="O323" s="263"/>
      <c r="P323" s="263"/>
      <c r="Q323" s="263"/>
      <c r="R323" s="263"/>
      <c r="S323" s="263"/>
      <c r="T323" s="263"/>
      <c r="U323" s="263"/>
      <c r="V323" s="586"/>
      <c r="W323" s="586"/>
      <c r="X323" s="586"/>
      <c r="Y323" s="586"/>
      <c r="Z323" s="586"/>
      <c r="AA323" s="586"/>
      <c r="AB323" s="586"/>
      <c r="AC323" s="586"/>
      <c r="AD323" s="586"/>
      <c r="AE323" s="586"/>
      <c r="AF323" s="586"/>
      <c r="AG323" s="586"/>
      <c r="AH323" s="586"/>
      <c r="AI323" s="586"/>
      <c r="AJ323" s="586"/>
      <c r="AK323" s="586"/>
      <c r="AL323" s="586"/>
      <c r="AM323" s="586"/>
      <c r="AN323" s="586"/>
      <c r="AO323" s="586"/>
      <c r="AP323" s="586"/>
      <c r="AQ323" s="586"/>
      <c r="AR323" s="586"/>
      <c r="AS323" s="586"/>
      <c r="AT323" s="586"/>
      <c r="AU323" s="586"/>
      <c r="AV323" s="586"/>
      <c r="AW323" s="586"/>
      <c r="AX323" s="586"/>
      <c r="AY323" s="586"/>
      <c r="AZ323" s="586"/>
      <c r="BA323" s="586"/>
      <c r="BB323" s="586"/>
      <c r="BC323" s="574"/>
    </row>
    <row r="324" spans="1:55" s="466" customFormat="1" hidden="1">
      <c r="A324" s="300"/>
      <c r="B324" s="571"/>
      <c r="G324" s="263"/>
      <c r="H324" s="263"/>
      <c r="I324" s="263"/>
      <c r="J324" s="263"/>
      <c r="K324" s="263"/>
      <c r="L324" s="263"/>
      <c r="M324" s="263"/>
      <c r="N324" s="263"/>
      <c r="O324" s="263"/>
      <c r="P324" s="263"/>
      <c r="Q324" s="263"/>
      <c r="R324" s="263"/>
      <c r="S324" s="263"/>
      <c r="T324" s="263"/>
      <c r="U324" s="263"/>
      <c r="V324" s="586"/>
      <c r="W324" s="586"/>
      <c r="X324" s="586"/>
      <c r="Y324" s="586"/>
      <c r="Z324" s="586"/>
      <c r="AA324" s="586"/>
      <c r="AB324" s="586"/>
      <c r="AC324" s="586"/>
      <c r="AD324" s="586"/>
      <c r="AE324" s="586"/>
      <c r="AF324" s="586"/>
      <c r="AG324" s="586"/>
      <c r="AH324" s="586"/>
      <c r="AI324" s="586"/>
      <c r="AJ324" s="586"/>
      <c r="AK324" s="586"/>
      <c r="AL324" s="586"/>
      <c r="AM324" s="586"/>
      <c r="AN324" s="586"/>
      <c r="AO324" s="586"/>
      <c r="AP324" s="586"/>
      <c r="AQ324" s="586"/>
      <c r="AR324" s="586"/>
      <c r="AS324" s="586"/>
      <c r="AT324" s="586"/>
      <c r="AU324" s="586"/>
      <c r="AV324" s="586"/>
      <c r="AW324" s="586"/>
      <c r="AX324" s="586"/>
      <c r="AY324" s="586"/>
      <c r="AZ324" s="586"/>
      <c r="BA324" s="586"/>
      <c r="BB324" s="586"/>
      <c r="BC324" s="574"/>
    </row>
    <row r="325" spans="1:55" s="466" customFormat="1" hidden="1">
      <c r="G325" s="263"/>
      <c r="H325" s="263"/>
      <c r="I325" s="263"/>
      <c r="J325" s="263"/>
      <c r="K325" s="263"/>
      <c r="L325" s="263"/>
      <c r="M325" s="263"/>
      <c r="N325" s="263"/>
      <c r="O325" s="263"/>
      <c r="P325" s="263"/>
      <c r="Q325" s="263"/>
      <c r="R325" s="263"/>
      <c r="S325" s="263"/>
      <c r="T325" s="263"/>
      <c r="U325" s="263"/>
      <c r="V325" s="586"/>
      <c r="W325" s="586"/>
      <c r="X325" s="586"/>
      <c r="Y325" s="586"/>
      <c r="Z325" s="586"/>
      <c r="AA325" s="586"/>
      <c r="AB325" s="586"/>
      <c r="AC325" s="586"/>
      <c r="AD325" s="586"/>
      <c r="AE325" s="586"/>
      <c r="AF325" s="586"/>
      <c r="AG325" s="586"/>
      <c r="AH325" s="586"/>
      <c r="AI325" s="586"/>
      <c r="AJ325" s="586"/>
      <c r="AK325" s="586"/>
      <c r="AL325" s="586"/>
      <c r="AM325" s="586"/>
      <c r="AN325" s="586"/>
      <c r="AO325" s="586"/>
      <c r="AP325" s="586"/>
      <c r="AQ325" s="586"/>
      <c r="AR325" s="586"/>
      <c r="AS325" s="586"/>
      <c r="AT325" s="586"/>
      <c r="AU325" s="586"/>
      <c r="AV325" s="586"/>
      <c r="AW325" s="586"/>
      <c r="AX325" s="586"/>
      <c r="AY325" s="586"/>
      <c r="AZ325" s="586"/>
      <c r="BA325" s="586"/>
      <c r="BB325" s="586"/>
      <c r="BC325" s="574"/>
    </row>
    <row r="326" spans="1:55" s="466" customFormat="1" hidden="1">
      <c r="A326" s="300"/>
      <c r="B326" s="468"/>
      <c r="D326" s="470"/>
      <c r="E326" s="569"/>
      <c r="F326" s="570"/>
      <c r="G326" s="263"/>
      <c r="H326" s="263"/>
      <c r="I326" s="263"/>
      <c r="J326" s="263"/>
      <c r="K326" s="263"/>
      <c r="L326" s="263"/>
      <c r="M326" s="263"/>
      <c r="N326" s="263"/>
      <c r="O326" s="263"/>
      <c r="P326" s="263"/>
      <c r="Q326" s="263"/>
      <c r="R326" s="263"/>
      <c r="S326" s="263"/>
      <c r="T326" s="263"/>
      <c r="U326" s="263"/>
      <c r="V326" s="586"/>
      <c r="W326" s="586"/>
      <c r="X326" s="586"/>
      <c r="Y326" s="586"/>
      <c r="Z326" s="586"/>
      <c r="AA326" s="586"/>
      <c r="AB326" s="586"/>
      <c r="AC326" s="586"/>
      <c r="AD326" s="586"/>
      <c r="AE326" s="586"/>
      <c r="AF326" s="586"/>
      <c r="AG326" s="586"/>
      <c r="AH326" s="586"/>
      <c r="AI326" s="586"/>
      <c r="AJ326" s="586"/>
      <c r="AK326" s="586"/>
      <c r="AL326" s="586"/>
      <c r="AM326" s="586"/>
      <c r="AN326" s="586"/>
      <c r="AO326" s="586"/>
      <c r="AP326" s="586"/>
      <c r="AQ326" s="586"/>
      <c r="AR326" s="586"/>
      <c r="AS326" s="586"/>
      <c r="AT326" s="586"/>
      <c r="AU326" s="586"/>
      <c r="AV326" s="586"/>
      <c r="AW326" s="586"/>
      <c r="AX326" s="586"/>
      <c r="AY326" s="586"/>
      <c r="AZ326" s="586"/>
      <c r="BA326" s="586"/>
      <c r="BB326" s="586"/>
      <c r="BC326" s="574"/>
    </row>
    <row r="327" spans="1:55" s="466" customFormat="1" hidden="1">
      <c r="A327" s="300"/>
      <c r="B327" s="571"/>
      <c r="G327" s="263"/>
      <c r="H327" s="263"/>
      <c r="I327" s="263"/>
      <c r="J327" s="263"/>
      <c r="K327" s="263"/>
      <c r="L327" s="263"/>
      <c r="M327" s="263"/>
      <c r="N327" s="263"/>
      <c r="O327" s="263"/>
      <c r="P327" s="263"/>
      <c r="Q327" s="263"/>
      <c r="R327" s="263"/>
      <c r="S327" s="263"/>
      <c r="T327" s="263"/>
      <c r="U327" s="263"/>
      <c r="V327" s="586"/>
      <c r="W327" s="586"/>
      <c r="X327" s="586"/>
      <c r="Y327" s="586"/>
      <c r="Z327" s="586"/>
      <c r="AA327" s="586"/>
      <c r="AB327" s="586"/>
      <c r="AC327" s="586"/>
      <c r="AD327" s="586"/>
      <c r="AE327" s="586"/>
      <c r="AF327" s="586"/>
      <c r="AG327" s="586"/>
      <c r="AH327" s="586"/>
      <c r="AI327" s="586"/>
      <c r="AJ327" s="586"/>
      <c r="AK327" s="586"/>
      <c r="AL327" s="586"/>
      <c r="AM327" s="586"/>
      <c r="AN327" s="586"/>
      <c r="AO327" s="586"/>
      <c r="AP327" s="586"/>
      <c r="AQ327" s="586"/>
      <c r="AR327" s="586"/>
      <c r="AS327" s="586"/>
      <c r="AT327" s="586"/>
      <c r="AU327" s="586"/>
      <c r="AV327" s="586"/>
      <c r="AW327" s="586"/>
      <c r="AX327" s="586"/>
      <c r="AY327" s="586"/>
      <c r="AZ327" s="586"/>
      <c r="BA327" s="586"/>
      <c r="BB327" s="586"/>
      <c r="BC327" s="574"/>
    </row>
    <row r="328" spans="1:55" s="466" customFormat="1" hidden="1">
      <c r="G328" s="263"/>
      <c r="H328" s="263"/>
      <c r="I328" s="263"/>
      <c r="J328" s="263"/>
      <c r="K328" s="263"/>
      <c r="L328" s="263"/>
      <c r="M328" s="263"/>
      <c r="N328" s="263"/>
      <c r="O328" s="263"/>
      <c r="P328" s="263"/>
      <c r="Q328" s="263"/>
      <c r="R328" s="263"/>
      <c r="S328" s="263"/>
      <c r="T328" s="263"/>
      <c r="U328" s="263"/>
      <c r="V328" s="586"/>
      <c r="W328" s="586"/>
      <c r="X328" s="586"/>
      <c r="Y328" s="586"/>
      <c r="Z328" s="586"/>
      <c r="AA328" s="586"/>
      <c r="AB328" s="586"/>
      <c r="AC328" s="586"/>
      <c r="AD328" s="586"/>
      <c r="AE328" s="586"/>
      <c r="AF328" s="586"/>
      <c r="AG328" s="586"/>
      <c r="AH328" s="586"/>
      <c r="AI328" s="586"/>
      <c r="AJ328" s="586"/>
      <c r="AK328" s="586"/>
      <c r="AL328" s="586"/>
      <c r="AM328" s="586"/>
      <c r="AN328" s="586"/>
      <c r="AO328" s="586"/>
      <c r="AP328" s="586"/>
      <c r="AQ328" s="586"/>
      <c r="AR328" s="586"/>
      <c r="AS328" s="586"/>
      <c r="AT328" s="586"/>
      <c r="AU328" s="586"/>
      <c r="AV328" s="586"/>
      <c r="AW328" s="586"/>
      <c r="AX328" s="586"/>
      <c r="AY328" s="586"/>
      <c r="AZ328" s="586"/>
      <c r="BA328" s="586"/>
      <c r="BB328" s="586"/>
      <c r="BC328" s="574"/>
    </row>
    <row r="329" spans="1:55" s="466" customFormat="1" hidden="1">
      <c r="A329" s="300"/>
      <c r="B329" s="468"/>
      <c r="D329" s="470"/>
      <c r="E329" s="569"/>
      <c r="F329" s="570"/>
      <c r="G329" s="263"/>
      <c r="H329" s="263"/>
      <c r="I329" s="263"/>
      <c r="J329" s="263"/>
      <c r="K329" s="263"/>
      <c r="L329" s="263"/>
      <c r="M329" s="263"/>
      <c r="N329" s="263"/>
      <c r="O329" s="263"/>
      <c r="P329" s="263"/>
      <c r="Q329" s="263"/>
      <c r="R329" s="263"/>
      <c r="S329" s="263"/>
      <c r="T329" s="263"/>
      <c r="U329" s="263"/>
      <c r="V329" s="586"/>
      <c r="W329" s="586"/>
      <c r="X329" s="586"/>
      <c r="Y329" s="586"/>
      <c r="Z329" s="586"/>
      <c r="AA329" s="586"/>
      <c r="AB329" s="586"/>
      <c r="AC329" s="586"/>
      <c r="AD329" s="586"/>
      <c r="AE329" s="586"/>
      <c r="AF329" s="586"/>
      <c r="AG329" s="586"/>
      <c r="AH329" s="586"/>
      <c r="AI329" s="586"/>
      <c r="AJ329" s="586"/>
      <c r="AK329" s="586"/>
      <c r="AL329" s="586"/>
      <c r="AM329" s="586"/>
      <c r="AN329" s="586"/>
      <c r="AO329" s="586"/>
      <c r="AP329" s="586"/>
      <c r="AQ329" s="586"/>
      <c r="AR329" s="586"/>
      <c r="AS329" s="586"/>
      <c r="AT329" s="586"/>
      <c r="AU329" s="586"/>
      <c r="AV329" s="586"/>
      <c r="AW329" s="586"/>
      <c r="AX329" s="586"/>
      <c r="AY329" s="586"/>
      <c r="AZ329" s="586"/>
      <c r="BA329" s="586"/>
      <c r="BB329" s="586"/>
      <c r="BC329" s="574"/>
    </row>
    <row r="330" spans="1:55" s="466" customFormat="1" hidden="1">
      <c r="A330" s="300"/>
      <c r="B330" s="571"/>
      <c r="G330" s="263"/>
      <c r="H330" s="263"/>
      <c r="I330" s="263"/>
      <c r="J330" s="263"/>
      <c r="K330" s="263"/>
      <c r="L330" s="263"/>
      <c r="M330" s="263"/>
      <c r="N330" s="263"/>
      <c r="O330" s="263"/>
      <c r="P330" s="263"/>
      <c r="Q330" s="263"/>
      <c r="R330" s="263"/>
      <c r="S330" s="263"/>
      <c r="T330" s="263"/>
      <c r="U330" s="263"/>
      <c r="V330" s="586"/>
      <c r="W330" s="586"/>
      <c r="X330" s="586"/>
      <c r="Y330" s="586"/>
      <c r="Z330" s="586"/>
      <c r="AA330" s="586"/>
      <c r="AB330" s="586"/>
      <c r="AC330" s="586"/>
      <c r="AD330" s="586"/>
      <c r="AE330" s="586"/>
      <c r="AF330" s="586"/>
      <c r="AG330" s="586"/>
      <c r="AH330" s="586"/>
      <c r="AI330" s="586"/>
      <c r="AJ330" s="586"/>
      <c r="AK330" s="586"/>
      <c r="AL330" s="586"/>
      <c r="AM330" s="586"/>
      <c r="AN330" s="586"/>
      <c r="AO330" s="586"/>
      <c r="AP330" s="586"/>
      <c r="AQ330" s="586"/>
      <c r="AR330" s="586"/>
      <c r="AS330" s="586"/>
      <c r="AT330" s="586"/>
      <c r="AU330" s="586"/>
      <c r="AV330" s="586"/>
      <c r="AW330" s="586"/>
      <c r="AX330" s="586"/>
      <c r="AY330" s="586"/>
      <c r="AZ330" s="586"/>
      <c r="BA330" s="586"/>
      <c r="BB330" s="586"/>
      <c r="BC330" s="574"/>
    </row>
    <row r="331" spans="1:55" s="466" customFormat="1" hidden="1">
      <c r="G331" s="263"/>
      <c r="H331" s="263"/>
      <c r="I331" s="263"/>
      <c r="J331" s="263"/>
      <c r="K331" s="263"/>
      <c r="L331" s="263"/>
      <c r="M331" s="263"/>
      <c r="N331" s="263"/>
      <c r="O331" s="263"/>
      <c r="P331" s="263"/>
      <c r="Q331" s="263"/>
      <c r="R331" s="263"/>
      <c r="S331" s="263"/>
      <c r="T331" s="263"/>
      <c r="U331" s="263"/>
      <c r="V331" s="586"/>
      <c r="W331" s="586"/>
      <c r="X331" s="586"/>
      <c r="Y331" s="586"/>
      <c r="Z331" s="586"/>
      <c r="AA331" s="586"/>
      <c r="AB331" s="586"/>
      <c r="AC331" s="586"/>
      <c r="AD331" s="586"/>
      <c r="AE331" s="586"/>
      <c r="AF331" s="586"/>
      <c r="AG331" s="586"/>
      <c r="AH331" s="586"/>
      <c r="AI331" s="586"/>
      <c r="AJ331" s="586"/>
      <c r="AK331" s="586"/>
      <c r="AL331" s="586"/>
      <c r="AM331" s="586"/>
      <c r="AN331" s="586"/>
      <c r="AO331" s="586"/>
      <c r="AP331" s="586"/>
      <c r="AQ331" s="586"/>
      <c r="AR331" s="586"/>
      <c r="AS331" s="586"/>
      <c r="AT331" s="586"/>
      <c r="AU331" s="586"/>
      <c r="AV331" s="586"/>
      <c r="AW331" s="586"/>
      <c r="AX331" s="586"/>
      <c r="AY331" s="586"/>
      <c r="AZ331" s="586"/>
      <c r="BA331" s="586"/>
      <c r="BB331" s="586"/>
      <c r="BC331" s="574"/>
    </row>
    <row r="332" spans="1:55" s="466" customFormat="1" hidden="1">
      <c r="A332" s="300"/>
      <c r="B332" s="468"/>
      <c r="D332" s="470"/>
      <c r="E332" s="569"/>
      <c r="F332" s="570"/>
      <c r="G332" s="263"/>
      <c r="H332" s="263"/>
      <c r="I332" s="263"/>
      <c r="J332" s="263"/>
      <c r="K332" s="263"/>
      <c r="L332" s="263"/>
      <c r="M332" s="263"/>
      <c r="N332" s="263"/>
      <c r="O332" s="263"/>
      <c r="P332" s="263"/>
      <c r="Q332" s="263"/>
      <c r="R332" s="263"/>
      <c r="S332" s="263"/>
      <c r="T332" s="263"/>
      <c r="U332" s="263"/>
      <c r="V332" s="586"/>
      <c r="W332" s="586"/>
      <c r="X332" s="586"/>
      <c r="Y332" s="586"/>
      <c r="Z332" s="586"/>
      <c r="AA332" s="586"/>
      <c r="AB332" s="586"/>
      <c r="AC332" s="586"/>
      <c r="AD332" s="586"/>
      <c r="AE332" s="586"/>
      <c r="AF332" s="586"/>
      <c r="AG332" s="586"/>
      <c r="AH332" s="586"/>
      <c r="AI332" s="586"/>
      <c r="AJ332" s="586"/>
      <c r="AK332" s="586"/>
      <c r="AL332" s="586"/>
      <c r="AM332" s="586"/>
      <c r="AN332" s="586"/>
      <c r="AO332" s="586"/>
      <c r="AP332" s="586"/>
      <c r="AQ332" s="586"/>
      <c r="AR332" s="586"/>
      <c r="AS332" s="586"/>
      <c r="AT332" s="586"/>
      <c r="AU332" s="586"/>
      <c r="AV332" s="586"/>
      <c r="AW332" s="586"/>
      <c r="AX332" s="586"/>
      <c r="AY332" s="586"/>
      <c r="AZ332" s="586"/>
      <c r="BA332" s="586"/>
      <c r="BB332" s="586"/>
      <c r="BC332" s="574"/>
    </row>
    <row r="333" spans="1:55" s="466" customFormat="1" hidden="1">
      <c r="A333" s="300"/>
      <c r="B333" s="571"/>
      <c r="G333" s="263"/>
      <c r="H333" s="263"/>
      <c r="I333" s="263"/>
      <c r="J333" s="263"/>
      <c r="K333" s="263"/>
      <c r="L333" s="263"/>
      <c r="M333" s="263"/>
      <c r="N333" s="263"/>
      <c r="O333" s="263"/>
      <c r="P333" s="263"/>
      <c r="Q333" s="263"/>
      <c r="R333" s="263"/>
      <c r="S333" s="263"/>
      <c r="T333" s="263"/>
      <c r="U333" s="263"/>
      <c r="V333" s="586"/>
      <c r="W333" s="586"/>
      <c r="X333" s="586"/>
      <c r="Y333" s="586"/>
      <c r="Z333" s="586"/>
      <c r="AA333" s="586"/>
      <c r="AB333" s="586"/>
      <c r="AC333" s="586"/>
      <c r="AD333" s="586"/>
      <c r="AE333" s="586"/>
      <c r="AF333" s="586"/>
      <c r="AG333" s="586"/>
      <c r="AH333" s="586"/>
      <c r="AI333" s="586"/>
      <c r="AJ333" s="586"/>
      <c r="AK333" s="586"/>
      <c r="AL333" s="586"/>
      <c r="AM333" s="586"/>
      <c r="AN333" s="586"/>
      <c r="AO333" s="586"/>
      <c r="AP333" s="586"/>
      <c r="AQ333" s="586"/>
      <c r="AR333" s="586"/>
      <c r="AS333" s="586"/>
      <c r="AT333" s="586"/>
      <c r="AU333" s="586"/>
      <c r="AV333" s="586"/>
      <c r="AW333" s="586"/>
      <c r="AX333" s="586"/>
      <c r="AY333" s="586"/>
      <c r="AZ333" s="586"/>
      <c r="BA333" s="586"/>
      <c r="BB333" s="586"/>
      <c r="BC333" s="574"/>
    </row>
    <row r="334" spans="1:55" s="466" customFormat="1" hidden="1">
      <c r="G334" s="263"/>
      <c r="H334" s="263"/>
      <c r="I334" s="263"/>
      <c r="J334" s="263"/>
      <c r="K334" s="263"/>
      <c r="L334" s="263"/>
      <c r="M334" s="263"/>
      <c r="N334" s="263"/>
      <c r="O334" s="263"/>
      <c r="P334" s="263"/>
      <c r="Q334" s="263"/>
      <c r="R334" s="263"/>
      <c r="S334" s="263"/>
      <c r="T334" s="263"/>
      <c r="U334" s="263"/>
      <c r="V334" s="586"/>
      <c r="W334" s="586"/>
      <c r="X334" s="586"/>
      <c r="Y334" s="586"/>
      <c r="Z334" s="586"/>
      <c r="AA334" s="586"/>
      <c r="AB334" s="586"/>
      <c r="AC334" s="586"/>
      <c r="AD334" s="586"/>
      <c r="AE334" s="586"/>
      <c r="AF334" s="586"/>
      <c r="AG334" s="586"/>
      <c r="AH334" s="586"/>
      <c r="AI334" s="586"/>
      <c r="AJ334" s="586"/>
      <c r="AK334" s="586"/>
      <c r="AL334" s="586"/>
      <c r="AM334" s="586"/>
      <c r="AN334" s="586"/>
      <c r="AO334" s="586"/>
      <c r="AP334" s="586"/>
      <c r="AQ334" s="586"/>
      <c r="AR334" s="586"/>
      <c r="AS334" s="586"/>
      <c r="AT334" s="586"/>
      <c r="AU334" s="586"/>
      <c r="AV334" s="586"/>
      <c r="AW334" s="586"/>
      <c r="AX334" s="586"/>
      <c r="AY334" s="586"/>
      <c r="AZ334" s="586"/>
      <c r="BA334" s="586"/>
      <c r="BB334" s="586"/>
      <c r="BC334" s="574"/>
    </row>
    <row r="335" spans="1:55" s="466" customFormat="1" hidden="1">
      <c r="A335" s="300"/>
      <c r="B335" s="468"/>
      <c r="D335" s="470"/>
      <c r="E335" s="569"/>
      <c r="F335" s="570"/>
      <c r="G335" s="263"/>
      <c r="H335" s="263"/>
      <c r="I335" s="263"/>
      <c r="J335" s="263"/>
      <c r="K335" s="263"/>
      <c r="L335" s="263"/>
      <c r="M335" s="263"/>
      <c r="N335" s="263"/>
      <c r="O335" s="263"/>
      <c r="P335" s="263"/>
      <c r="Q335" s="263"/>
      <c r="R335" s="263"/>
      <c r="S335" s="263"/>
      <c r="T335" s="263"/>
      <c r="U335" s="263"/>
      <c r="V335" s="586"/>
      <c r="W335" s="586"/>
      <c r="X335" s="586"/>
      <c r="Y335" s="586"/>
      <c r="Z335" s="586"/>
      <c r="AA335" s="586"/>
      <c r="AB335" s="586"/>
      <c r="AC335" s="586"/>
      <c r="AD335" s="586"/>
      <c r="AE335" s="586"/>
      <c r="AF335" s="586"/>
      <c r="AG335" s="586"/>
      <c r="AH335" s="586"/>
      <c r="AI335" s="586"/>
      <c r="AJ335" s="586"/>
      <c r="AK335" s="586"/>
      <c r="AL335" s="586"/>
      <c r="AM335" s="586"/>
      <c r="AN335" s="586"/>
      <c r="AO335" s="586"/>
      <c r="AP335" s="586"/>
      <c r="AQ335" s="586"/>
      <c r="AR335" s="586"/>
      <c r="AS335" s="586"/>
      <c r="AT335" s="586"/>
      <c r="AU335" s="586"/>
      <c r="AV335" s="586"/>
      <c r="AW335" s="586"/>
      <c r="AX335" s="586"/>
      <c r="AY335" s="586"/>
      <c r="AZ335" s="586"/>
      <c r="BA335" s="586"/>
      <c r="BB335" s="586"/>
      <c r="BC335" s="574"/>
    </row>
    <row r="336" spans="1:55" s="466" customFormat="1" hidden="1">
      <c r="A336" s="300"/>
      <c r="B336" s="571"/>
      <c r="G336" s="263"/>
      <c r="H336" s="263"/>
      <c r="I336" s="263"/>
      <c r="J336" s="263"/>
      <c r="K336" s="263"/>
      <c r="L336" s="263"/>
      <c r="M336" s="263"/>
      <c r="N336" s="263"/>
      <c r="O336" s="263"/>
      <c r="P336" s="263"/>
      <c r="Q336" s="263"/>
      <c r="R336" s="263"/>
      <c r="S336" s="263"/>
      <c r="T336" s="263"/>
      <c r="U336" s="263"/>
      <c r="V336" s="586"/>
      <c r="W336" s="586"/>
      <c r="X336" s="586"/>
      <c r="Y336" s="586"/>
      <c r="Z336" s="586"/>
      <c r="AA336" s="586"/>
      <c r="AB336" s="586"/>
      <c r="AC336" s="586"/>
      <c r="AD336" s="586"/>
      <c r="AE336" s="586"/>
      <c r="AF336" s="586"/>
      <c r="AG336" s="586"/>
      <c r="AH336" s="586"/>
      <c r="AI336" s="586"/>
      <c r="AJ336" s="586"/>
      <c r="AK336" s="586"/>
      <c r="AL336" s="586"/>
      <c r="AM336" s="586"/>
      <c r="AN336" s="586"/>
      <c r="AO336" s="586"/>
      <c r="AP336" s="586"/>
      <c r="AQ336" s="586"/>
      <c r="AR336" s="586"/>
      <c r="AS336" s="586"/>
      <c r="AT336" s="586"/>
      <c r="AU336" s="586"/>
      <c r="AV336" s="586"/>
      <c r="AW336" s="586"/>
      <c r="AX336" s="586"/>
      <c r="AY336" s="586"/>
      <c r="AZ336" s="586"/>
      <c r="BA336" s="586"/>
      <c r="BB336" s="586"/>
      <c r="BC336" s="574"/>
    </row>
    <row r="337" spans="1:55" s="466" customFormat="1" hidden="1">
      <c r="G337" s="263"/>
      <c r="H337" s="263"/>
      <c r="I337" s="263"/>
      <c r="J337" s="263"/>
      <c r="K337" s="263"/>
      <c r="L337" s="263"/>
      <c r="M337" s="263"/>
      <c r="N337" s="263"/>
      <c r="O337" s="263"/>
      <c r="P337" s="263"/>
      <c r="Q337" s="263"/>
      <c r="R337" s="263"/>
      <c r="S337" s="263"/>
      <c r="T337" s="263"/>
      <c r="U337" s="263"/>
      <c r="V337" s="586"/>
      <c r="W337" s="586"/>
      <c r="X337" s="586"/>
      <c r="Y337" s="586"/>
      <c r="Z337" s="586"/>
      <c r="AA337" s="586"/>
      <c r="AB337" s="586"/>
      <c r="AC337" s="586"/>
      <c r="AD337" s="586"/>
      <c r="AE337" s="586"/>
      <c r="AF337" s="586"/>
      <c r="AG337" s="586"/>
      <c r="AH337" s="586"/>
      <c r="AI337" s="586"/>
      <c r="AJ337" s="586"/>
      <c r="AK337" s="586"/>
      <c r="AL337" s="586"/>
      <c r="AM337" s="586"/>
      <c r="AN337" s="586"/>
      <c r="AO337" s="586"/>
      <c r="AP337" s="586"/>
      <c r="AQ337" s="586"/>
      <c r="AR337" s="586"/>
      <c r="AS337" s="586"/>
      <c r="AT337" s="586"/>
      <c r="AU337" s="586"/>
      <c r="AV337" s="586"/>
      <c r="AW337" s="586"/>
      <c r="AX337" s="586"/>
      <c r="AY337" s="586"/>
      <c r="AZ337" s="586"/>
      <c r="BA337" s="586"/>
      <c r="BB337" s="586"/>
      <c r="BC337" s="574"/>
    </row>
    <row r="338" spans="1:55" s="466" customFormat="1" hidden="1">
      <c r="A338" s="300"/>
      <c r="B338" s="468"/>
      <c r="D338" s="470"/>
      <c r="E338" s="569"/>
      <c r="F338" s="570"/>
      <c r="G338" s="263"/>
      <c r="H338" s="263"/>
      <c r="I338" s="263"/>
      <c r="J338" s="263"/>
      <c r="K338" s="263"/>
      <c r="L338" s="263"/>
      <c r="M338" s="263"/>
      <c r="N338" s="263"/>
      <c r="O338" s="263"/>
      <c r="P338" s="263"/>
      <c r="Q338" s="263"/>
      <c r="R338" s="263"/>
      <c r="S338" s="263"/>
      <c r="T338" s="263"/>
      <c r="U338" s="263"/>
      <c r="V338" s="586"/>
      <c r="W338" s="586"/>
      <c r="X338" s="586"/>
      <c r="Y338" s="586"/>
      <c r="Z338" s="586"/>
      <c r="AA338" s="586"/>
      <c r="AB338" s="586"/>
      <c r="AC338" s="586"/>
      <c r="AD338" s="586"/>
      <c r="AE338" s="586"/>
      <c r="AF338" s="586"/>
      <c r="AG338" s="586"/>
      <c r="AH338" s="586"/>
      <c r="AI338" s="586"/>
      <c r="AJ338" s="586"/>
      <c r="AK338" s="586"/>
      <c r="AL338" s="586"/>
      <c r="AM338" s="586"/>
      <c r="AN338" s="586"/>
      <c r="AO338" s="586"/>
      <c r="AP338" s="586"/>
      <c r="AQ338" s="586"/>
      <c r="AR338" s="586"/>
      <c r="AS338" s="586"/>
      <c r="AT338" s="586"/>
      <c r="AU338" s="586"/>
      <c r="AV338" s="586"/>
      <c r="AW338" s="586"/>
      <c r="AX338" s="586"/>
      <c r="AY338" s="586"/>
      <c r="AZ338" s="586"/>
      <c r="BA338" s="586"/>
      <c r="BB338" s="586"/>
      <c r="BC338" s="574"/>
    </row>
    <row r="339" spans="1:55" s="466" customFormat="1" hidden="1">
      <c r="A339" s="300"/>
      <c r="B339" s="571"/>
      <c r="G339" s="263"/>
      <c r="H339" s="263"/>
      <c r="I339" s="263"/>
      <c r="J339" s="263"/>
      <c r="K339" s="263"/>
      <c r="L339" s="263"/>
      <c r="M339" s="263"/>
      <c r="N339" s="263"/>
      <c r="O339" s="263"/>
      <c r="P339" s="263"/>
      <c r="Q339" s="263"/>
      <c r="R339" s="263"/>
      <c r="S339" s="263"/>
      <c r="T339" s="263"/>
      <c r="U339" s="263"/>
      <c r="V339" s="586"/>
      <c r="W339" s="586"/>
      <c r="X339" s="586"/>
      <c r="Y339" s="586"/>
      <c r="Z339" s="586"/>
      <c r="AA339" s="586"/>
      <c r="AB339" s="586"/>
      <c r="AC339" s="586"/>
      <c r="AD339" s="586"/>
      <c r="AE339" s="586"/>
      <c r="AF339" s="586"/>
      <c r="AG339" s="586"/>
      <c r="AH339" s="586"/>
      <c r="AI339" s="586"/>
      <c r="AJ339" s="586"/>
      <c r="AK339" s="586"/>
      <c r="AL339" s="586"/>
      <c r="AM339" s="586"/>
      <c r="AN339" s="586"/>
      <c r="AO339" s="586"/>
      <c r="AP339" s="586"/>
      <c r="AQ339" s="586"/>
      <c r="AR339" s="586"/>
      <c r="AS339" s="586"/>
      <c r="AT339" s="586"/>
      <c r="AU339" s="586"/>
      <c r="AV339" s="586"/>
      <c r="AW339" s="586"/>
      <c r="AX339" s="586"/>
      <c r="AY339" s="586"/>
      <c r="AZ339" s="586"/>
      <c r="BA339" s="586"/>
      <c r="BB339" s="586"/>
      <c r="BC339" s="574"/>
    </row>
    <row r="340" spans="1:55" s="466" customFormat="1" hidden="1">
      <c r="G340" s="263"/>
      <c r="H340" s="263"/>
      <c r="I340" s="263"/>
      <c r="J340" s="263"/>
      <c r="K340" s="263"/>
      <c r="L340" s="263"/>
      <c r="M340" s="263"/>
      <c r="N340" s="263"/>
      <c r="O340" s="263"/>
      <c r="P340" s="263"/>
      <c r="Q340" s="263"/>
      <c r="R340" s="263"/>
      <c r="S340" s="263"/>
      <c r="T340" s="263"/>
      <c r="U340" s="263"/>
      <c r="V340" s="586"/>
      <c r="W340" s="586"/>
      <c r="X340" s="586"/>
      <c r="Y340" s="586"/>
      <c r="Z340" s="586"/>
      <c r="AA340" s="586"/>
      <c r="AB340" s="586"/>
      <c r="AC340" s="586"/>
      <c r="AD340" s="586"/>
      <c r="AE340" s="586"/>
      <c r="AF340" s="586"/>
      <c r="AG340" s="586"/>
      <c r="AH340" s="586"/>
      <c r="AI340" s="586"/>
      <c r="AJ340" s="586"/>
      <c r="AK340" s="586"/>
      <c r="AL340" s="586"/>
      <c r="AM340" s="586"/>
      <c r="AN340" s="586"/>
      <c r="AO340" s="586"/>
      <c r="AP340" s="586"/>
      <c r="AQ340" s="586"/>
      <c r="AR340" s="586"/>
      <c r="AS340" s="586"/>
      <c r="AT340" s="586"/>
      <c r="AU340" s="586"/>
      <c r="AV340" s="586"/>
      <c r="AW340" s="586"/>
      <c r="AX340" s="586"/>
      <c r="AY340" s="586"/>
      <c r="AZ340" s="586"/>
      <c r="BA340" s="586"/>
      <c r="BB340" s="586"/>
      <c r="BC340" s="574"/>
    </row>
    <row r="341" spans="1:55" s="466" customFormat="1" hidden="1">
      <c r="A341" s="300"/>
      <c r="B341" s="468"/>
      <c r="D341" s="470"/>
      <c r="E341" s="569"/>
      <c r="F341" s="570"/>
      <c r="G341" s="263"/>
      <c r="H341" s="263"/>
      <c r="I341" s="263"/>
      <c r="J341" s="263"/>
      <c r="K341" s="263"/>
      <c r="L341" s="263"/>
      <c r="M341" s="263"/>
      <c r="N341" s="263"/>
      <c r="O341" s="263"/>
      <c r="P341" s="263"/>
      <c r="Q341" s="263"/>
      <c r="R341" s="263"/>
      <c r="S341" s="263"/>
      <c r="T341" s="263"/>
      <c r="U341" s="263"/>
      <c r="V341" s="586"/>
      <c r="W341" s="586"/>
      <c r="X341" s="586"/>
      <c r="Y341" s="586"/>
      <c r="Z341" s="586"/>
      <c r="AA341" s="586"/>
      <c r="AB341" s="586"/>
      <c r="AC341" s="586"/>
      <c r="AD341" s="586"/>
      <c r="AE341" s="586"/>
      <c r="AF341" s="586"/>
      <c r="AG341" s="586"/>
      <c r="AH341" s="586"/>
      <c r="AI341" s="586"/>
      <c r="AJ341" s="586"/>
      <c r="AK341" s="586"/>
      <c r="AL341" s="586"/>
      <c r="AM341" s="586"/>
      <c r="AN341" s="586"/>
      <c r="AO341" s="586"/>
      <c r="AP341" s="586"/>
      <c r="AQ341" s="586"/>
      <c r="AR341" s="586"/>
      <c r="AS341" s="586"/>
      <c r="AT341" s="586"/>
      <c r="AU341" s="586"/>
      <c r="AV341" s="586"/>
      <c r="AW341" s="586"/>
      <c r="AX341" s="586"/>
      <c r="AY341" s="586"/>
      <c r="AZ341" s="586"/>
      <c r="BA341" s="586"/>
      <c r="BB341" s="586"/>
      <c r="BC341" s="574"/>
    </row>
    <row r="342" spans="1:55" s="466" customFormat="1" hidden="1">
      <c r="A342" s="300"/>
      <c r="B342" s="571"/>
      <c r="G342" s="263"/>
      <c r="H342" s="263"/>
      <c r="I342" s="263"/>
      <c r="J342" s="263"/>
      <c r="K342" s="263"/>
      <c r="L342" s="263"/>
      <c r="M342" s="263"/>
      <c r="N342" s="263"/>
      <c r="O342" s="263"/>
      <c r="P342" s="263"/>
      <c r="Q342" s="263"/>
      <c r="R342" s="263"/>
      <c r="S342" s="263"/>
      <c r="T342" s="263"/>
      <c r="U342" s="263"/>
      <c r="V342" s="586"/>
      <c r="W342" s="586"/>
      <c r="X342" s="586"/>
      <c r="Y342" s="586"/>
      <c r="Z342" s="586"/>
      <c r="AA342" s="586"/>
      <c r="AB342" s="586"/>
      <c r="AC342" s="586"/>
      <c r="AD342" s="586"/>
      <c r="AE342" s="586"/>
      <c r="AF342" s="586"/>
      <c r="AG342" s="586"/>
      <c r="AH342" s="586"/>
      <c r="AI342" s="586"/>
      <c r="AJ342" s="586"/>
      <c r="AK342" s="586"/>
      <c r="AL342" s="586"/>
      <c r="AM342" s="586"/>
      <c r="AN342" s="586"/>
      <c r="AO342" s="586"/>
      <c r="AP342" s="586"/>
      <c r="AQ342" s="586"/>
      <c r="AR342" s="586"/>
      <c r="AS342" s="586"/>
      <c r="AT342" s="586"/>
      <c r="AU342" s="586"/>
      <c r="AV342" s="586"/>
      <c r="AW342" s="586"/>
      <c r="AX342" s="586"/>
      <c r="AY342" s="586"/>
      <c r="AZ342" s="586"/>
      <c r="BA342" s="586"/>
      <c r="BB342" s="586"/>
      <c r="BC342" s="574"/>
    </row>
    <row r="343" spans="1:55" s="466" customFormat="1" hidden="1">
      <c r="G343" s="263"/>
      <c r="H343" s="263"/>
      <c r="I343" s="263"/>
      <c r="J343" s="263"/>
      <c r="K343" s="263"/>
      <c r="L343" s="263"/>
      <c r="M343" s="263"/>
      <c r="N343" s="263"/>
      <c r="O343" s="263"/>
      <c r="P343" s="263"/>
      <c r="Q343" s="263"/>
      <c r="R343" s="263"/>
      <c r="S343" s="263"/>
      <c r="T343" s="263"/>
      <c r="U343" s="263"/>
      <c r="V343" s="586"/>
      <c r="W343" s="586"/>
      <c r="X343" s="586"/>
      <c r="Y343" s="586"/>
      <c r="Z343" s="586"/>
      <c r="AA343" s="586"/>
      <c r="AB343" s="586"/>
      <c r="AC343" s="586"/>
      <c r="AD343" s="586"/>
      <c r="AE343" s="586"/>
      <c r="AF343" s="586"/>
      <c r="AG343" s="586"/>
      <c r="AH343" s="586"/>
      <c r="AI343" s="586"/>
      <c r="AJ343" s="586"/>
      <c r="AK343" s="586"/>
      <c r="AL343" s="586"/>
      <c r="AM343" s="586"/>
      <c r="AN343" s="586"/>
      <c r="AO343" s="586"/>
      <c r="AP343" s="586"/>
      <c r="AQ343" s="586"/>
      <c r="AR343" s="586"/>
      <c r="AS343" s="586"/>
      <c r="AT343" s="586"/>
      <c r="AU343" s="586"/>
      <c r="AV343" s="586"/>
      <c r="AW343" s="586"/>
      <c r="AX343" s="586"/>
      <c r="AY343" s="586"/>
      <c r="AZ343" s="586"/>
      <c r="BA343" s="586"/>
      <c r="BB343" s="586"/>
      <c r="BC343" s="574"/>
    </row>
    <row r="344" spans="1:55" s="466" customFormat="1" hidden="1">
      <c r="A344" s="300"/>
      <c r="B344" s="468"/>
      <c r="D344" s="470"/>
      <c r="E344" s="569"/>
      <c r="F344" s="570"/>
      <c r="G344" s="263"/>
      <c r="H344" s="263"/>
      <c r="I344" s="263"/>
      <c r="J344" s="263"/>
      <c r="K344" s="263"/>
      <c r="L344" s="263"/>
      <c r="M344" s="263"/>
      <c r="N344" s="263"/>
      <c r="O344" s="263"/>
      <c r="P344" s="263"/>
      <c r="Q344" s="263"/>
      <c r="R344" s="263"/>
      <c r="S344" s="263"/>
      <c r="T344" s="263"/>
      <c r="U344" s="263"/>
      <c r="V344" s="586"/>
      <c r="W344" s="586"/>
      <c r="X344" s="586"/>
      <c r="Y344" s="586"/>
      <c r="Z344" s="586"/>
      <c r="AA344" s="586"/>
      <c r="AB344" s="586"/>
      <c r="AC344" s="586"/>
      <c r="AD344" s="586"/>
      <c r="AE344" s="586"/>
      <c r="AF344" s="586"/>
      <c r="AG344" s="586"/>
      <c r="AH344" s="586"/>
      <c r="AI344" s="586"/>
      <c r="AJ344" s="586"/>
      <c r="AK344" s="586"/>
      <c r="AL344" s="586"/>
      <c r="AM344" s="586"/>
      <c r="AN344" s="586"/>
      <c r="AO344" s="586"/>
      <c r="AP344" s="586"/>
      <c r="AQ344" s="586"/>
      <c r="AR344" s="586"/>
      <c r="AS344" s="586"/>
      <c r="AT344" s="586"/>
      <c r="AU344" s="586"/>
      <c r="AV344" s="586"/>
      <c r="AW344" s="586"/>
      <c r="AX344" s="586"/>
      <c r="AY344" s="586"/>
      <c r="AZ344" s="586"/>
      <c r="BA344" s="586"/>
      <c r="BB344" s="586"/>
      <c r="BC344" s="574"/>
    </row>
    <row r="345" spans="1:55" s="466" customFormat="1" hidden="1">
      <c r="A345" s="300"/>
      <c r="B345" s="571"/>
      <c r="G345" s="263"/>
      <c r="H345" s="263"/>
      <c r="I345" s="263"/>
      <c r="J345" s="263"/>
      <c r="K345" s="263"/>
      <c r="L345" s="263"/>
      <c r="M345" s="263"/>
      <c r="N345" s="263"/>
      <c r="O345" s="263"/>
      <c r="P345" s="263"/>
      <c r="Q345" s="263"/>
      <c r="R345" s="263"/>
      <c r="S345" s="263"/>
      <c r="T345" s="263"/>
      <c r="U345" s="263"/>
      <c r="V345" s="586"/>
      <c r="W345" s="586"/>
      <c r="X345" s="586"/>
      <c r="Y345" s="586"/>
      <c r="Z345" s="586"/>
      <c r="AA345" s="586"/>
      <c r="AB345" s="586"/>
      <c r="AC345" s="586"/>
      <c r="AD345" s="586"/>
      <c r="AE345" s="586"/>
      <c r="AF345" s="586"/>
      <c r="AG345" s="586"/>
      <c r="AH345" s="586"/>
      <c r="AI345" s="586"/>
      <c r="AJ345" s="586"/>
      <c r="AK345" s="586"/>
      <c r="AL345" s="586"/>
      <c r="AM345" s="586"/>
      <c r="AN345" s="586"/>
      <c r="AO345" s="586"/>
      <c r="AP345" s="586"/>
      <c r="AQ345" s="586"/>
      <c r="AR345" s="586"/>
      <c r="AS345" s="586"/>
      <c r="AT345" s="586"/>
      <c r="AU345" s="586"/>
      <c r="AV345" s="586"/>
      <c r="AW345" s="586"/>
      <c r="AX345" s="586"/>
      <c r="AY345" s="586"/>
      <c r="AZ345" s="586"/>
      <c r="BA345" s="586"/>
      <c r="BB345" s="586"/>
      <c r="BC345" s="574"/>
    </row>
    <row r="346" spans="1:55" s="466" customFormat="1" hidden="1">
      <c r="G346" s="263"/>
      <c r="H346" s="263"/>
      <c r="I346" s="263"/>
      <c r="J346" s="263"/>
      <c r="K346" s="263"/>
      <c r="L346" s="263"/>
      <c r="M346" s="263"/>
      <c r="N346" s="263"/>
      <c r="O346" s="263"/>
      <c r="P346" s="263"/>
      <c r="Q346" s="263"/>
      <c r="R346" s="263"/>
      <c r="S346" s="263"/>
      <c r="T346" s="263"/>
      <c r="U346" s="263"/>
      <c r="V346" s="586"/>
      <c r="W346" s="586"/>
      <c r="X346" s="586"/>
      <c r="Y346" s="586"/>
      <c r="Z346" s="586"/>
      <c r="AA346" s="586"/>
      <c r="AB346" s="586"/>
      <c r="AC346" s="586"/>
      <c r="AD346" s="586"/>
      <c r="AE346" s="586"/>
      <c r="AF346" s="586"/>
      <c r="AG346" s="586"/>
      <c r="AH346" s="586"/>
      <c r="AI346" s="586"/>
      <c r="AJ346" s="586"/>
      <c r="AK346" s="586"/>
      <c r="AL346" s="586"/>
      <c r="AM346" s="586"/>
      <c r="AN346" s="586"/>
      <c r="AO346" s="586"/>
      <c r="AP346" s="586"/>
      <c r="AQ346" s="586"/>
      <c r="AR346" s="586"/>
      <c r="AS346" s="586"/>
      <c r="AT346" s="586"/>
      <c r="AU346" s="586"/>
      <c r="AV346" s="586"/>
      <c r="AW346" s="586"/>
      <c r="AX346" s="586"/>
      <c r="AY346" s="586"/>
      <c r="AZ346" s="586"/>
      <c r="BA346" s="586"/>
      <c r="BB346" s="586"/>
      <c r="BC346" s="574"/>
    </row>
    <row r="347" spans="1:55" s="466" customFormat="1" hidden="1">
      <c r="A347" s="300"/>
      <c r="B347" s="468"/>
      <c r="D347" s="470"/>
      <c r="E347" s="569"/>
      <c r="F347" s="570"/>
      <c r="G347" s="263"/>
      <c r="H347" s="263"/>
      <c r="I347" s="263"/>
      <c r="J347" s="263"/>
      <c r="K347" s="263"/>
      <c r="L347" s="263"/>
      <c r="M347" s="263"/>
      <c r="N347" s="263"/>
      <c r="O347" s="263"/>
      <c r="P347" s="263"/>
      <c r="Q347" s="263"/>
      <c r="R347" s="263"/>
      <c r="S347" s="263"/>
      <c r="T347" s="263"/>
      <c r="U347" s="263"/>
      <c r="V347" s="586"/>
      <c r="W347" s="586"/>
      <c r="X347" s="586"/>
      <c r="Y347" s="586"/>
      <c r="Z347" s="586"/>
      <c r="AA347" s="586"/>
      <c r="AB347" s="586"/>
      <c r="AC347" s="586"/>
      <c r="AD347" s="586"/>
      <c r="AE347" s="586"/>
      <c r="AF347" s="586"/>
      <c r="AG347" s="586"/>
      <c r="AH347" s="586"/>
      <c r="AI347" s="586"/>
      <c r="AJ347" s="586"/>
      <c r="AK347" s="586"/>
      <c r="AL347" s="586"/>
      <c r="AM347" s="586"/>
      <c r="AN347" s="586"/>
      <c r="AO347" s="586"/>
      <c r="AP347" s="586"/>
      <c r="AQ347" s="586"/>
      <c r="AR347" s="586"/>
      <c r="AS347" s="586"/>
      <c r="AT347" s="586"/>
      <c r="AU347" s="586"/>
      <c r="AV347" s="586"/>
      <c r="AW347" s="586"/>
      <c r="AX347" s="586"/>
      <c r="AY347" s="586"/>
      <c r="AZ347" s="586"/>
      <c r="BA347" s="586"/>
      <c r="BB347" s="586"/>
      <c r="BC347" s="574"/>
    </row>
    <row r="348" spans="1:55" s="466" customFormat="1" hidden="1">
      <c r="A348" s="300"/>
      <c r="B348" s="571"/>
      <c r="G348" s="263"/>
      <c r="H348" s="263"/>
      <c r="I348" s="263"/>
      <c r="J348" s="263"/>
      <c r="K348" s="263"/>
      <c r="L348" s="263"/>
      <c r="M348" s="263"/>
      <c r="N348" s="263"/>
      <c r="O348" s="263"/>
      <c r="P348" s="263"/>
      <c r="Q348" s="263"/>
      <c r="R348" s="263"/>
      <c r="S348" s="263"/>
      <c r="T348" s="263"/>
      <c r="U348" s="263"/>
      <c r="V348" s="586"/>
      <c r="W348" s="586"/>
      <c r="X348" s="586"/>
      <c r="Y348" s="586"/>
      <c r="Z348" s="586"/>
      <c r="AA348" s="586"/>
      <c r="AB348" s="586"/>
      <c r="AC348" s="586"/>
      <c r="AD348" s="586"/>
      <c r="AE348" s="586"/>
      <c r="AF348" s="586"/>
      <c r="AG348" s="586"/>
      <c r="AH348" s="586"/>
      <c r="AI348" s="586"/>
      <c r="AJ348" s="586"/>
      <c r="AK348" s="586"/>
      <c r="AL348" s="586"/>
      <c r="AM348" s="586"/>
      <c r="AN348" s="586"/>
      <c r="AO348" s="586"/>
      <c r="AP348" s="586"/>
      <c r="AQ348" s="586"/>
      <c r="AR348" s="586"/>
      <c r="AS348" s="586"/>
      <c r="AT348" s="586"/>
      <c r="AU348" s="586"/>
      <c r="AV348" s="586"/>
      <c r="AW348" s="586"/>
      <c r="AX348" s="586"/>
      <c r="AY348" s="586"/>
      <c r="AZ348" s="586"/>
      <c r="BA348" s="586"/>
      <c r="BB348" s="586"/>
      <c r="BC348" s="574"/>
    </row>
    <row r="349" spans="1:55" s="466" customFormat="1" hidden="1">
      <c r="G349" s="263"/>
      <c r="H349" s="263"/>
      <c r="I349" s="263"/>
      <c r="J349" s="263"/>
      <c r="K349" s="263"/>
      <c r="L349" s="263"/>
      <c r="M349" s="263"/>
      <c r="N349" s="263"/>
      <c r="O349" s="263"/>
      <c r="P349" s="263"/>
      <c r="Q349" s="263"/>
      <c r="R349" s="263"/>
      <c r="S349" s="263"/>
      <c r="T349" s="263"/>
      <c r="U349" s="263"/>
      <c r="V349" s="586"/>
      <c r="W349" s="586"/>
      <c r="X349" s="586"/>
      <c r="Y349" s="586"/>
      <c r="Z349" s="586"/>
      <c r="AA349" s="586"/>
      <c r="AB349" s="586"/>
      <c r="AC349" s="586"/>
      <c r="AD349" s="586"/>
      <c r="AE349" s="586"/>
      <c r="AF349" s="586"/>
      <c r="AG349" s="586"/>
      <c r="AH349" s="586"/>
      <c r="AI349" s="586"/>
      <c r="AJ349" s="586"/>
      <c r="AK349" s="586"/>
      <c r="AL349" s="586"/>
      <c r="AM349" s="586"/>
      <c r="AN349" s="586"/>
      <c r="AO349" s="586"/>
      <c r="AP349" s="586"/>
      <c r="AQ349" s="586"/>
      <c r="AR349" s="586"/>
      <c r="AS349" s="586"/>
      <c r="AT349" s="586"/>
      <c r="AU349" s="586"/>
      <c r="AV349" s="586"/>
      <c r="AW349" s="586"/>
      <c r="AX349" s="586"/>
      <c r="AY349" s="586"/>
      <c r="AZ349" s="586"/>
      <c r="BA349" s="586"/>
      <c r="BB349" s="586"/>
      <c r="BC349" s="574"/>
    </row>
    <row r="350" spans="1:55" s="466" customFormat="1" hidden="1">
      <c r="A350" s="300"/>
      <c r="B350" s="468"/>
      <c r="D350" s="470"/>
      <c r="E350" s="569"/>
      <c r="F350" s="570"/>
      <c r="G350" s="263"/>
      <c r="H350" s="263"/>
      <c r="I350" s="263"/>
      <c r="J350" s="263"/>
      <c r="K350" s="263"/>
      <c r="L350" s="263"/>
      <c r="M350" s="263"/>
      <c r="N350" s="263"/>
      <c r="O350" s="263"/>
      <c r="P350" s="263"/>
      <c r="Q350" s="263"/>
      <c r="R350" s="263"/>
      <c r="S350" s="263"/>
      <c r="T350" s="263"/>
      <c r="U350" s="263"/>
      <c r="V350" s="586"/>
      <c r="W350" s="586"/>
      <c r="X350" s="586"/>
      <c r="Y350" s="586"/>
      <c r="Z350" s="586"/>
      <c r="AA350" s="586"/>
      <c r="AB350" s="586"/>
      <c r="AC350" s="586"/>
      <c r="AD350" s="586"/>
      <c r="AE350" s="586"/>
      <c r="AF350" s="586"/>
      <c r="AG350" s="586"/>
      <c r="AH350" s="586"/>
      <c r="AI350" s="586"/>
      <c r="AJ350" s="586"/>
      <c r="AK350" s="586"/>
      <c r="AL350" s="586"/>
      <c r="AM350" s="586"/>
      <c r="AN350" s="586"/>
      <c r="AO350" s="586"/>
      <c r="AP350" s="586"/>
      <c r="AQ350" s="586"/>
      <c r="AR350" s="586"/>
      <c r="AS350" s="586"/>
      <c r="AT350" s="586"/>
      <c r="AU350" s="586"/>
      <c r="AV350" s="586"/>
      <c r="AW350" s="586"/>
      <c r="AX350" s="586"/>
      <c r="AY350" s="586"/>
      <c r="AZ350" s="586"/>
      <c r="BA350" s="586"/>
      <c r="BB350" s="586"/>
      <c r="BC350" s="574"/>
    </row>
    <row r="351" spans="1:55" s="466" customFormat="1" hidden="1">
      <c r="A351" s="300"/>
      <c r="B351" s="571"/>
      <c r="G351" s="263"/>
      <c r="H351" s="263"/>
      <c r="I351" s="263"/>
      <c r="J351" s="263"/>
      <c r="K351" s="263"/>
      <c r="L351" s="263"/>
      <c r="M351" s="263"/>
      <c r="N351" s="263"/>
      <c r="O351" s="263"/>
      <c r="P351" s="263"/>
      <c r="Q351" s="263"/>
      <c r="R351" s="263"/>
      <c r="S351" s="263"/>
      <c r="T351" s="263"/>
      <c r="U351" s="263"/>
      <c r="V351" s="586"/>
      <c r="W351" s="586"/>
      <c r="X351" s="586"/>
      <c r="Y351" s="586"/>
      <c r="Z351" s="586"/>
      <c r="AA351" s="586"/>
      <c r="AB351" s="586"/>
      <c r="AC351" s="586"/>
      <c r="AD351" s="586"/>
      <c r="AE351" s="586"/>
      <c r="AF351" s="586"/>
      <c r="AG351" s="586"/>
      <c r="AH351" s="586"/>
      <c r="AI351" s="586"/>
      <c r="AJ351" s="586"/>
      <c r="AK351" s="586"/>
      <c r="AL351" s="586"/>
      <c r="AM351" s="586"/>
      <c r="AN351" s="586"/>
      <c r="AO351" s="586"/>
      <c r="AP351" s="586"/>
      <c r="AQ351" s="586"/>
      <c r="AR351" s="586"/>
      <c r="AS351" s="586"/>
      <c r="AT351" s="586"/>
      <c r="AU351" s="586"/>
      <c r="AV351" s="586"/>
      <c r="AW351" s="586"/>
      <c r="AX351" s="586"/>
      <c r="AY351" s="586"/>
      <c r="AZ351" s="586"/>
      <c r="BA351" s="586"/>
      <c r="BB351" s="586"/>
      <c r="BC351" s="574"/>
    </row>
    <row r="352" spans="1:55" s="466" customFormat="1" hidden="1">
      <c r="G352" s="263"/>
      <c r="H352" s="263"/>
      <c r="I352" s="263"/>
      <c r="J352" s="263"/>
      <c r="K352" s="263"/>
      <c r="L352" s="263"/>
      <c r="M352" s="263"/>
      <c r="N352" s="263"/>
      <c r="O352" s="263"/>
      <c r="P352" s="263"/>
      <c r="Q352" s="263"/>
      <c r="R352" s="263"/>
      <c r="S352" s="263"/>
      <c r="T352" s="263"/>
      <c r="U352" s="263"/>
      <c r="V352" s="586"/>
      <c r="W352" s="586"/>
      <c r="X352" s="586"/>
      <c r="Y352" s="586"/>
      <c r="Z352" s="586"/>
      <c r="AA352" s="586"/>
      <c r="AB352" s="586"/>
      <c r="AC352" s="586"/>
      <c r="AD352" s="586"/>
      <c r="AE352" s="586"/>
      <c r="AF352" s="586"/>
      <c r="AG352" s="586"/>
      <c r="AH352" s="586"/>
      <c r="AI352" s="586"/>
      <c r="AJ352" s="586"/>
      <c r="AK352" s="586"/>
      <c r="AL352" s="586"/>
      <c r="AM352" s="586"/>
      <c r="AN352" s="586"/>
      <c r="AO352" s="586"/>
      <c r="AP352" s="586"/>
      <c r="AQ352" s="586"/>
      <c r="AR352" s="586"/>
      <c r="AS352" s="586"/>
      <c r="AT352" s="586"/>
      <c r="AU352" s="586"/>
      <c r="AV352" s="586"/>
      <c r="AW352" s="586"/>
      <c r="AX352" s="586"/>
      <c r="AY352" s="586"/>
      <c r="AZ352" s="586"/>
      <c r="BA352" s="586"/>
      <c r="BB352" s="586"/>
      <c r="BC352" s="574"/>
    </row>
    <row r="353" spans="1:55" s="466" customFormat="1" hidden="1">
      <c r="A353" s="300"/>
      <c r="B353" s="468"/>
      <c r="D353" s="470"/>
      <c r="E353" s="569"/>
      <c r="F353" s="570"/>
      <c r="G353" s="263"/>
      <c r="H353" s="263"/>
      <c r="I353" s="263"/>
      <c r="J353" s="263"/>
      <c r="K353" s="263"/>
      <c r="L353" s="263"/>
      <c r="M353" s="263"/>
      <c r="N353" s="263"/>
      <c r="O353" s="263"/>
      <c r="P353" s="263"/>
      <c r="Q353" s="263"/>
      <c r="R353" s="263"/>
      <c r="S353" s="263"/>
      <c r="T353" s="263"/>
      <c r="U353" s="263"/>
      <c r="V353" s="586"/>
      <c r="W353" s="586"/>
      <c r="X353" s="586"/>
      <c r="Y353" s="586"/>
      <c r="Z353" s="586"/>
      <c r="AA353" s="586"/>
      <c r="AB353" s="586"/>
      <c r="AC353" s="586"/>
      <c r="AD353" s="586"/>
      <c r="AE353" s="586"/>
      <c r="AF353" s="586"/>
      <c r="AG353" s="586"/>
      <c r="AH353" s="586"/>
      <c r="AI353" s="586"/>
      <c r="AJ353" s="586"/>
      <c r="AK353" s="586"/>
      <c r="AL353" s="586"/>
      <c r="AM353" s="586"/>
      <c r="AN353" s="586"/>
      <c r="AO353" s="586"/>
      <c r="AP353" s="586"/>
      <c r="AQ353" s="586"/>
      <c r="AR353" s="586"/>
      <c r="AS353" s="586"/>
      <c r="AT353" s="586"/>
      <c r="AU353" s="586"/>
      <c r="AV353" s="586"/>
      <c r="AW353" s="586"/>
      <c r="AX353" s="586"/>
      <c r="AY353" s="586"/>
      <c r="AZ353" s="586"/>
      <c r="BA353" s="586"/>
      <c r="BB353" s="586"/>
      <c r="BC353" s="574"/>
    </row>
    <row r="354" spans="1:55" s="466" customFormat="1" hidden="1">
      <c r="A354" s="300"/>
      <c r="B354" s="571"/>
      <c r="G354" s="263"/>
      <c r="H354" s="263"/>
      <c r="I354" s="263"/>
      <c r="J354" s="263"/>
      <c r="K354" s="263"/>
      <c r="L354" s="263"/>
      <c r="M354" s="263"/>
      <c r="N354" s="263"/>
      <c r="O354" s="263"/>
      <c r="P354" s="263"/>
      <c r="Q354" s="263"/>
      <c r="R354" s="263"/>
      <c r="S354" s="263"/>
      <c r="T354" s="263"/>
      <c r="U354" s="263"/>
      <c r="V354" s="586"/>
      <c r="W354" s="586"/>
      <c r="X354" s="586"/>
      <c r="Y354" s="586"/>
      <c r="Z354" s="586"/>
      <c r="AA354" s="586"/>
      <c r="AB354" s="586"/>
      <c r="AC354" s="586"/>
      <c r="AD354" s="586"/>
      <c r="AE354" s="586"/>
      <c r="AF354" s="586"/>
      <c r="AG354" s="586"/>
      <c r="AH354" s="586"/>
      <c r="AI354" s="586"/>
      <c r="AJ354" s="586"/>
      <c r="AK354" s="586"/>
      <c r="AL354" s="586"/>
      <c r="AM354" s="586"/>
      <c r="AN354" s="586"/>
      <c r="AO354" s="586"/>
      <c r="AP354" s="586"/>
      <c r="AQ354" s="586"/>
      <c r="AR354" s="586"/>
      <c r="AS354" s="586"/>
      <c r="AT354" s="586"/>
      <c r="AU354" s="586"/>
      <c r="AV354" s="586"/>
      <c r="AW354" s="586"/>
      <c r="AX354" s="586"/>
      <c r="AY354" s="586"/>
      <c r="AZ354" s="586"/>
      <c r="BA354" s="586"/>
      <c r="BB354" s="586"/>
      <c r="BC354" s="574"/>
    </row>
    <row r="355" spans="1:55" s="466" customFormat="1" hidden="1">
      <c r="G355" s="263"/>
      <c r="H355" s="263"/>
      <c r="I355" s="263"/>
      <c r="J355" s="263"/>
      <c r="K355" s="263"/>
      <c r="L355" s="263"/>
      <c r="M355" s="263"/>
      <c r="N355" s="263"/>
      <c r="O355" s="263"/>
      <c r="P355" s="263"/>
      <c r="Q355" s="263"/>
      <c r="R355" s="263"/>
      <c r="S355" s="263"/>
      <c r="T355" s="263"/>
      <c r="U355" s="263"/>
      <c r="V355" s="586"/>
      <c r="W355" s="586"/>
      <c r="X355" s="586"/>
      <c r="Y355" s="586"/>
      <c r="Z355" s="586"/>
      <c r="AA355" s="586"/>
      <c r="AB355" s="586"/>
      <c r="AC355" s="586"/>
      <c r="AD355" s="586"/>
      <c r="AE355" s="586"/>
      <c r="AF355" s="586"/>
      <c r="AG355" s="586"/>
      <c r="AH355" s="586"/>
      <c r="AI355" s="586"/>
      <c r="AJ355" s="586"/>
      <c r="AK355" s="586"/>
      <c r="AL355" s="586"/>
      <c r="AM355" s="586"/>
      <c r="AN355" s="586"/>
      <c r="AO355" s="586"/>
      <c r="AP355" s="586"/>
      <c r="AQ355" s="586"/>
      <c r="AR355" s="586"/>
      <c r="AS355" s="586"/>
      <c r="AT355" s="586"/>
      <c r="AU355" s="586"/>
      <c r="AV355" s="586"/>
      <c r="AW355" s="586"/>
      <c r="AX355" s="586"/>
      <c r="AY355" s="586"/>
      <c r="AZ355" s="586"/>
      <c r="BA355" s="586"/>
      <c r="BB355" s="586"/>
      <c r="BC355" s="574"/>
    </row>
    <row r="356" spans="1:55" s="466" customFormat="1" hidden="1">
      <c r="A356" s="300"/>
      <c r="B356" s="468"/>
      <c r="D356" s="470"/>
      <c r="E356" s="569"/>
      <c r="F356" s="570"/>
      <c r="G356" s="263"/>
      <c r="H356" s="263"/>
      <c r="I356" s="263"/>
      <c r="J356" s="263"/>
      <c r="K356" s="263"/>
      <c r="L356" s="263"/>
      <c r="M356" s="263"/>
      <c r="N356" s="263"/>
      <c r="O356" s="263"/>
      <c r="P356" s="263"/>
      <c r="Q356" s="263"/>
      <c r="R356" s="263"/>
      <c r="S356" s="263"/>
      <c r="T356" s="263"/>
      <c r="U356" s="263"/>
      <c r="V356" s="586"/>
      <c r="W356" s="586"/>
      <c r="X356" s="586"/>
      <c r="Y356" s="586"/>
      <c r="Z356" s="586"/>
      <c r="AA356" s="586"/>
      <c r="AB356" s="586"/>
      <c r="AC356" s="586"/>
      <c r="AD356" s="586"/>
      <c r="AE356" s="586"/>
      <c r="AF356" s="586"/>
      <c r="AG356" s="586"/>
      <c r="AH356" s="586"/>
      <c r="AI356" s="586"/>
      <c r="AJ356" s="586"/>
      <c r="AK356" s="586"/>
      <c r="AL356" s="586"/>
      <c r="AM356" s="586"/>
      <c r="AN356" s="586"/>
      <c r="AO356" s="586"/>
      <c r="AP356" s="586"/>
      <c r="AQ356" s="586"/>
      <c r="AR356" s="586"/>
      <c r="AS356" s="586"/>
      <c r="AT356" s="586"/>
      <c r="AU356" s="586"/>
      <c r="AV356" s="586"/>
      <c r="AW356" s="586"/>
      <c r="AX356" s="586"/>
      <c r="AY356" s="586"/>
      <c r="AZ356" s="586"/>
      <c r="BA356" s="586"/>
      <c r="BB356" s="586"/>
      <c r="BC356" s="574"/>
    </row>
    <row r="357" spans="1:55" s="466" customFormat="1" hidden="1">
      <c r="A357" s="300"/>
      <c r="B357" s="571"/>
      <c r="G357" s="263"/>
      <c r="H357" s="263"/>
      <c r="I357" s="263"/>
      <c r="J357" s="263"/>
      <c r="K357" s="263"/>
      <c r="L357" s="263"/>
      <c r="M357" s="263"/>
      <c r="N357" s="263"/>
      <c r="O357" s="263"/>
      <c r="P357" s="263"/>
      <c r="Q357" s="263"/>
      <c r="R357" s="263"/>
      <c r="S357" s="263"/>
      <c r="T357" s="263"/>
      <c r="U357" s="263"/>
      <c r="V357" s="586"/>
      <c r="W357" s="586"/>
      <c r="X357" s="586"/>
      <c r="Y357" s="586"/>
      <c r="Z357" s="586"/>
      <c r="AA357" s="586"/>
      <c r="AB357" s="586"/>
      <c r="AC357" s="586"/>
      <c r="AD357" s="586"/>
      <c r="AE357" s="586"/>
      <c r="AF357" s="586"/>
      <c r="AG357" s="586"/>
      <c r="AH357" s="586"/>
      <c r="AI357" s="586"/>
      <c r="AJ357" s="586"/>
      <c r="AK357" s="586"/>
      <c r="AL357" s="586"/>
      <c r="AM357" s="586"/>
      <c r="AN357" s="586"/>
      <c r="AO357" s="586"/>
      <c r="AP357" s="586"/>
      <c r="AQ357" s="586"/>
      <c r="AR357" s="586"/>
      <c r="AS357" s="586"/>
      <c r="AT357" s="586"/>
      <c r="AU357" s="586"/>
      <c r="AV357" s="586"/>
      <c r="AW357" s="586"/>
      <c r="AX357" s="586"/>
      <c r="AY357" s="586"/>
      <c r="AZ357" s="586"/>
      <c r="BA357" s="586"/>
      <c r="BB357" s="586"/>
      <c r="BC357" s="574"/>
    </row>
    <row r="358" spans="1:55" s="466" customFormat="1" hidden="1">
      <c r="G358" s="263"/>
      <c r="H358" s="263"/>
      <c r="I358" s="263"/>
      <c r="J358" s="263"/>
      <c r="K358" s="263"/>
      <c r="L358" s="263"/>
      <c r="M358" s="263"/>
      <c r="N358" s="263"/>
      <c r="O358" s="263"/>
      <c r="P358" s="263"/>
      <c r="Q358" s="263"/>
      <c r="R358" s="263"/>
      <c r="S358" s="263"/>
      <c r="T358" s="263"/>
      <c r="U358" s="263"/>
      <c r="V358" s="586"/>
      <c r="W358" s="586"/>
      <c r="X358" s="586"/>
      <c r="Y358" s="586"/>
      <c r="Z358" s="586"/>
      <c r="AA358" s="586"/>
      <c r="AB358" s="586"/>
      <c r="AC358" s="586"/>
      <c r="AD358" s="586"/>
      <c r="AE358" s="586"/>
      <c r="AF358" s="586"/>
      <c r="AG358" s="586"/>
      <c r="AH358" s="586"/>
      <c r="AI358" s="586"/>
      <c r="AJ358" s="586"/>
      <c r="AK358" s="586"/>
      <c r="AL358" s="586"/>
      <c r="AM358" s="586"/>
      <c r="AN358" s="586"/>
      <c r="AO358" s="586"/>
      <c r="AP358" s="586"/>
      <c r="AQ358" s="586"/>
      <c r="AR358" s="586"/>
      <c r="AS358" s="586"/>
      <c r="AT358" s="586"/>
      <c r="AU358" s="586"/>
      <c r="AV358" s="586"/>
      <c r="AW358" s="586"/>
      <c r="AX358" s="586"/>
      <c r="AY358" s="586"/>
      <c r="AZ358" s="586"/>
      <c r="BA358" s="586"/>
      <c r="BB358" s="586"/>
      <c r="BC358" s="574"/>
    </row>
    <row r="359" spans="1:55" s="466" customFormat="1" hidden="1">
      <c r="A359" s="300"/>
      <c r="B359" s="468"/>
      <c r="D359" s="470"/>
      <c r="E359" s="569"/>
      <c r="F359" s="570"/>
      <c r="G359" s="263"/>
      <c r="H359" s="263"/>
      <c r="I359" s="263"/>
      <c r="J359" s="263"/>
      <c r="K359" s="263"/>
      <c r="L359" s="263"/>
      <c r="M359" s="263"/>
      <c r="N359" s="263"/>
      <c r="O359" s="263"/>
      <c r="P359" s="263"/>
      <c r="Q359" s="263"/>
      <c r="R359" s="263"/>
      <c r="S359" s="263"/>
      <c r="T359" s="263"/>
      <c r="U359" s="263"/>
      <c r="V359" s="586"/>
      <c r="W359" s="586"/>
      <c r="X359" s="586"/>
      <c r="Y359" s="586"/>
      <c r="Z359" s="586"/>
      <c r="AA359" s="586"/>
      <c r="AB359" s="586"/>
      <c r="AC359" s="586"/>
      <c r="AD359" s="586"/>
      <c r="AE359" s="586"/>
      <c r="AF359" s="586"/>
      <c r="AG359" s="586"/>
      <c r="AH359" s="586"/>
      <c r="AI359" s="586"/>
      <c r="AJ359" s="586"/>
      <c r="AK359" s="586"/>
      <c r="AL359" s="586"/>
      <c r="AM359" s="586"/>
      <c r="AN359" s="586"/>
      <c r="AO359" s="586"/>
      <c r="AP359" s="586"/>
      <c r="AQ359" s="586"/>
      <c r="AR359" s="586"/>
      <c r="AS359" s="586"/>
      <c r="AT359" s="586"/>
      <c r="AU359" s="586"/>
      <c r="AV359" s="586"/>
      <c r="AW359" s="586"/>
      <c r="AX359" s="586"/>
      <c r="AY359" s="586"/>
      <c r="AZ359" s="586"/>
      <c r="BA359" s="586"/>
      <c r="BB359" s="586"/>
      <c r="BC359" s="574"/>
    </row>
    <row r="360" spans="1:55" s="466" customFormat="1" hidden="1">
      <c r="A360" s="300"/>
      <c r="B360" s="571"/>
      <c r="G360" s="263"/>
      <c r="H360" s="263"/>
      <c r="I360" s="263"/>
      <c r="J360" s="263"/>
      <c r="K360" s="263"/>
      <c r="L360" s="263"/>
      <c r="M360" s="263"/>
      <c r="N360" s="263"/>
      <c r="O360" s="263"/>
      <c r="P360" s="263"/>
      <c r="Q360" s="263"/>
      <c r="R360" s="263"/>
      <c r="S360" s="263"/>
      <c r="T360" s="263"/>
      <c r="U360" s="263"/>
      <c r="V360" s="586"/>
      <c r="W360" s="586"/>
      <c r="X360" s="586"/>
      <c r="Y360" s="586"/>
      <c r="Z360" s="586"/>
      <c r="AA360" s="586"/>
      <c r="AB360" s="586"/>
      <c r="AC360" s="586"/>
      <c r="AD360" s="586"/>
      <c r="AE360" s="586"/>
      <c r="AF360" s="586"/>
      <c r="AG360" s="586"/>
      <c r="AH360" s="586"/>
      <c r="AI360" s="586"/>
      <c r="AJ360" s="586"/>
      <c r="AK360" s="586"/>
      <c r="AL360" s="586"/>
      <c r="AM360" s="586"/>
      <c r="AN360" s="586"/>
      <c r="AO360" s="586"/>
      <c r="AP360" s="586"/>
      <c r="AQ360" s="586"/>
      <c r="AR360" s="586"/>
      <c r="AS360" s="586"/>
      <c r="AT360" s="586"/>
      <c r="AU360" s="586"/>
      <c r="AV360" s="586"/>
      <c r="AW360" s="586"/>
      <c r="AX360" s="586"/>
      <c r="AY360" s="586"/>
      <c r="AZ360" s="586"/>
      <c r="BA360" s="586"/>
      <c r="BB360" s="586"/>
      <c r="BC360" s="574"/>
    </row>
    <row r="361" spans="1:55" s="466" customFormat="1" hidden="1">
      <c r="G361" s="263"/>
      <c r="H361" s="263"/>
      <c r="I361" s="263"/>
      <c r="J361" s="263"/>
      <c r="K361" s="263"/>
      <c r="L361" s="263"/>
      <c r="M361" s="263"/>
      <c r="N361" s="263"/>
      <c r="O361" s="263"/>
      <c r="P361" s="263"/>
      <c r="Q361" s="263"/>
      <c r="R361" s="263"/>
      <c r="S361" s="263"/>
      <c r="T361" s="263"/>
      <c r="U361" s="263"/>
      <c r="V361" s="586"/>
      <c r="W361" s="586"/>
      <c r="X361" s="586"/>
      <c r="Y361" s="586"/>
      <c r="Z361" s="586"/>
      <c r="AA361" s="586"/>
      <c r="AB361" s="586"/>
      <c r="AC361" s="586"/>
      <c r="AD361" s="586"/>
      <c r="AE361" s="586"/>
      <c r="AF361" s="586"/>
      <c r="AG361" s="586"/>
      <c r="AH361" s="586"/>
      <c r="AI361" s="586"/>
      <c r="AJ361" s="586"/>
      <c r="AK361" s="586"/>
      <c r="AL361" s="586"/>
      <c r="AM361" s="586"/>
      <c r="AN361" s="586"/>
      <c r="AO361" s="586"/>
      <c r="AP361" s="586"/>
      <c r="AQ361" s="586"/>
      <c r="AR361" s="586"/>
      <c r="AS361" s="586"/>
      <c r="AT361" s="586"/>
      <c r="AU361" s="586"/>
      <c r="AV361" s="586"/>
      <c r="AW361" s="586"/>
      <c r="AX361" s="586"/>
      <c r="AY361" s="586"/>
      <c r="AZ361" s="586"/>
      <c r="BA361" s="586"/>
      <c r="BB361" s="586"/>
      <c r="BC361" s="574"/>
    </row>
    <row r="362" spans="1:55" s="466" customFormat="1" hidden="1">
      <c r="A362" s="300"/>
      <c r="B362" s="468"/>
      <c r="D362" s="470"/>
      <c r="E362" s="569"/>
      <c r="F362" s="570"/>
      <c r="G362" s="263"/>
      <c r="H362" s="263"/>
      <c r="I362" s="263"/>
      <c r="J362" s="263"/>
      <c r="K362" s="263"/>
      <c r="L362" s="263"/>
      <c r="M362" s="263"/>
      <c r="N362" s="263"/>
      <c r="O362" s="263"/>
      <c r="P362" s="263"/>
      <c r="Q362" s="263"/>
      <c r="R362" s="263"/>
      <c r="S362" s="263"/>
      <c r="T362" s="263"/>
      <c r="U362" s="263"/>
      <c r="V362" s="586"/>
      <c r="W362" s="586"/>
      <c r="X362" s="586"/>
      <c r="Y362" s="586"/>
      <c r="Z362" s="586"/>
      <c r="AA362" s="586"/>
      <c r="AB362" s="586"/>
      <c r="AC362" s="586"/>
      <c r="AD362" s="586"/>
      <c r="AE362" s="586"/>
      <c r="AF362" s="586"/>
      <c r="AG362" s="586"/>
      <c r="AH362" s="586"/>
      <c r="AI362" s="586"/>
      <c r="AJ362" s="586"/>
      <c r="AK362" s="586"/>
      <c r="AL362" s="586"/>
      <c r="AM362" s="586"/>
      <c r="AN362" s="586"/>
      <c r="AO362" s="586"/>
      <c r="AP362" s="586"/>
      <c r="AQ362" s="586"/>
      <c r="AR362" s="586"/>
      <c r="AS362" s="586"/>
      <c r="AT362" s="586"/>
      <c r="AU362" s="586"/>
      <c r="AV362" s="586"/>
      <c r="AW362" s="586"/>
      <c r="AX362" s="586"/>
      <c r="AY362" s="586"/>
      <c r="AZ362" s="586"/>
      <c r="BA362" s="586"/>
      <c r="BB362" s="586"/>
      <c r="BC362" s="574"/>
    </row>
    <row r="363" spans="1:55" s="466" customFormat="1" hidden="1">
      <c r="A363" s="300"/>
      <c r="B363" s="571"/>
      <c r="G363" s="263"/>
      <c r="H363" s="263"/>
      <c r="I363" s="263"/>
      <c r="J363" s="263"/>
      <c r="K363" s="263"/>
      <c r="L363" s="263"/>
      <c r="M363" s="263"/>
      <c r="N363" s="263"/>
      <c r="O363" s="263"/>
      <c r="P363" s="263"/>
      <c r="Q363" s="263"/>
      <c r="R363" s="263"/>
      <c r="S363" s="263"/>
      <c r="T363" s="263"/>
      <c r="U363" s="263"/>
      <c r="V363" s="586"/>
      <c r="W363" s="586"/>
      <c r="X363" s="586"/>
      <c r="Y363" s="586"/>
      <c r="Z363" s="586"/>
      <c r="AA363" s="586"/>
      <c r="AB363" s="586"/>
      <c r="AC363" s="586"/>
      <c r="AD363" s="586"/>
      <c r="AE363" s="586"/>
      <c r="AF363" s="586"/>
      <c r="AG363" s="586"/>
      <c r="AH363" s="586"/>
      <c r="AI363" s="586"/>
      <c r="AJ363" s="586"/>
      <c r="AK363" s="586"/>
      <c r="AL363" s="586"/>
      <c r="AM363" s="586"/>
      <c r="AN363" s="586"/>
      <c r="AO363" s="586"/>
      <c r="AP363" s="586"/>
      <c r="AQ363" s="586"/>
      <c r="AR363" s="586"/>
      <c r="AS363" s="586"/>
      <c r="AT363" s="586"/>
      <c r="AU363" s="586"/>
      <c r="AV363" s="586"/>
      <c r="AW363" s="586"/>
      <c r="AX363" s="586"/>
      <c r="AY363" s="586"/>
      <c r="AZ363" s="586"/>
      <c r="BA363" s="586"/>
      <c r="BB363" s="586"/>
      <c r="BC363" s="574"/>
    </row>
    <row r="364" spans="1:55" s="466" customFormat="1" hidden="1">
      <c r="G364" s="263"/>
      <c r="H364" s="263"/>
      <c r="I364" s="263"/>
      <c r="J364" s="263"/>
      <c r="K364" s="263"/>
      <c r="L364" s="263"/>
      <c r="M364" s="263"/>
      <c r="N364" s="263"/>
      <c r="O364" s="263"/>
      <c r="P364" s="263"/>
      <c r="Q364" s="263"/>
      <c r="R364" s="263"/>
      <c r="S364" s="263"/>
      <c r="T364" s="263"/>
      <c r="U364" s="263"/>
      <c r="V364" s="586"/>
      <c r="W364" s="586"/>
      <c r="X364" s="586"/>
      <c r="Y364" s="586"/>
      <c r="Z364" s="586"/>
      <c r="AA364" s="586"/>
      <c r="AB364" s="586"/>
      <c r="AC364" s="586"/>
      <c r="AD364" s="586"/>
      <c r="AE364" s="586"/>
      <c r="AF364" s="586"/>
      <c r="AG364" s="586"/>
      <c r="AH364" s="586"/>
      <c r="AI364" s="586"/>
      <c r="AJ364" s="586"/>
      <c r="AK364" s="586"/>
      <c r="AL364" s="586"/>
      <c r="AM364" s="586"/>
      <c r="AN364" s="586"/>
      <c r="AO364" s="586"/>
      <c r="AP364" s="586"/>
      <c r="AQ364" s="586"/>
      <c r="AR364" s="586"/>
      <c r="AS364" s="586"/>
      <c r="AT364" s="586"/>
      <c r="AU364" s="586"/>
      <c r="AV364" s="586"/>
      <c r="AW364" s="586"/>
      <c r="AX364" s="586"/>
      <c r="AY364" s="586"/>
      <c r="AZ364" s="586"/>
      <c r="BA364" s="586"/>
      <c r="BB364" s="586"/>
      <c r="BC364" s="574"/>
    </row>
    <row r="365" spans="1:55" s="466" customFormat="1" hidden="1">
      <c r="A365" s="300"/>
      <c r="B365" s="468"/>
      <c r="D365" s="470"/>
      <c r="E365" s="569"/>
      <c r="F365" s="570"/>
      <c r="G365" s="263"/>
      <c r="H365" s="263"/>
      <c r="I365" s="263"/>
      <c r="J365" s="263"/>
      <c r="K365" s="263"/>
      <c r="L365" s="263"/>
      <c r="M365" s="263"/>
      <c r="N365" s="263"/>
      <c r="O365" s="263"/>
      <c r="P365" s="263"/>
      <c r="Q365" s="263"/>
      <c r="R365" s="263"/>
      <c r="S365" s="263"/>
      <c r="T365" s="263"/>
      <c r="U365" s="263"/>
      <c r="V365" s="586"/>
      <c r="W365" s="586"/>
      <c r="X365" s="586"/>
      <c r="Y365" s="586"/>
      <c r="Z365" s="586"/>
      <c r="AA365" s="586"/>
      <c r="AB365" s="586"/>
      <c r="AC365" s="586"/>
      <c r="AD365" s="586"/>
      <c r="AE365" s="586"/>
      <c r="AF365" s="586"/>
      <c r="AG365" s="586"/>
      <c r="AH365" s="586"/>
      <c r="AI365" s="586"/>
      <c r="AJ365" s="586"/>
      <c r="AK365" s="586"/>
      <c r="AL365" s="586"/>
      <c r="AM365" s="586"/>
      <c r="AN365" s="586"/>
      <c r="AO365" s="586"/>
      <c r="AP365" s="586"/>
      <c r="AQ365" s="586"/>
      <c r="AR365" s="586"/>
      <c r="AS365" s="586"/>
      <c r="AT365" s="586"/>
      <c r="AU365" s="586"/>
      <c r="AV365" s="586"/>
      <c r="AW365" s="586"/>
      <c r="AX365" s="586"/>
      <c r="AY365" s="586"/>
      <c r="AZ365" s="586"/>
      <c r="BA365" s="586"/>
      <c r="BB365" s="586"/>
      <c r="BC365" s="574"/>
    </row>
    <row r="366" spans="1:55" s="466" customFormat="1" hidden="1">
      <c r="A366" s="300"/>
      <c r="B366" s="571"/>
      <c r="G366" s="263"/>
      <c r="H366" s="263"/>
      <c r="I366" s="263"/>
      <c r="J366" s="263"/>
      <c r="K366" s="263"/>
      <c r="L366" s="263"/>
      <c r="M366" s="263"/>
      <c r="N366" s="263"/>
      <c r="O366" s="263"/>
      <c r="P366" s="263"/>
      <c r="Q366" s="263"/>
      <c r="R366" s="263"/>
      <c r="S366" s="263"/>
      <c r="T366" s="263"/>
      <c r="U366" s="263"/>
      <c r="V366" s="586"/>
      <c r="W366" s="586"/>
      <c r="X366" s="586"/>
      <c r="Y366" s="586"/>
      <c r="Z366" s="586"/>
      <c r="AA366" s="586"/>
      <c r="AB366" s="586"/>
      <c r="AC366" s="586"/>
      <c r="AD366" s="586"/>
      <c r="AE366" s="586"/>
      <c r="AF366" s="586"/>
      <c r="AG366" s="586"/>
      <c r="AH366" s="586"/>
      <c r="AI366" s="586"/>
      <c r="AJ366" s="586"/>
      <c r="AK366" s="586"/>
      <c r="AL366" s="586"/>
      <c r="AM366" s="586"/>
      <c r="AN366" s="586"/>
      <c r="AO366" s="586"/>
      <c r="AP366" s="586"/>
      <c r="AQ366" s="586"/>
      <c r="AR366" s="586"/>
      <c r="AS366" s="586"/>
      <c r="AT366" s="586"/>
      <c r="AU366" s="586"/>
      <c r="AV366" s="586"/>
      <c r="AW366" s="586"/>
      <c r="AX366" s="586"/>
      <c r="AY366" s="586"/>
      <c r="AZ366" s="586"/>
      <c r="BA366" s="586"/>
      <c r="BB366" s="586"/>
      <c r="BC366" s="574"/>
    </row>
    <row r="367" spans="1:55" s="466" customFormat="1" hidden="1">
      <c r="G367" s="263"/>
      <c r="H367" s="263"/>
      <c r="I367" s="263"/>
      <c r="J367" s="263"/>
      <c r="K367" s="263"/>
      <c r="L367" s="263"/>
      <c r="M367" s="263"/>
      <c r="N367" s="263"/>
      <c r="O367" s="263"/>
      <c r="P367" s="263"/>
      <c r="Q367" s="263"/>
      <c r="R367" s="263"/>
      <c r="S367" s="263"/>
      <c r="T367" s="263"/>
      <c r="U367" s="263"/>
      <c r="V367" s="586"/>
      <c r="W367" s="586"/>
      <c r="X367" s="586"/>
      <c r="Y367" s="586"/>
      <c r="Z367" s="586"/>
      <c r="AA367" s="586"/>
      <c r="AB367" s="586"/>
      <c r="AC367" s="586"/>
      <c r="AD367" s="586"/>
      <c r="AE367" s="586"/>
      <c r="AF367" s="586"/>
      <c r="AG367" s="586"/>
      <c r="AH367" s="586"/>
      <c r="AI367" s="586"/>
      <c r="AJ367" s="586"/>
      <c r="AK367" s="586"/>
      <c r="AL367" s="586"/>
      <c r="AM367" s="586"/>
      <c r="AN367" s="586"/>
      <c r="AO367" s="586"/>
      <c r="AP367" s="586"/>
      <c r="AQ367" s="586"/>
      <c r="AR367" s="586"/>
      <c r="AS367" s="586"/>
      <c r="AT367" s="586"/>
      <c r="AU367" s="586"/>
      <c r="AV367" s="586"/>
      <c r="AW367" s="586"/>
      <c r="AX367" s="586"/>
      <c r="AY367" s="586"/>
      <c r="AZ367" s="586"/>
      <c r="BA367" s="586"/>
      <c r="BB367" s="586"/>
      <c r="BC367" s="574"/>
    </row>
    <row r="368" spans="1:55" s="466" customFormat="1" hidden="1">
      <c r="A368" s="300"/>
      <c r="B368" s="468"/>
      <c r="D368" s="470"/>
      <c r="E368" s="569"/>
      <c r="F368" s="570"/>
      <c r="G368" s="263"/>
      <c r="H368" s="263"/>
      <c r="I368" s="263"/>
      <c r="J368" s="263"/>
      <c r="K368" s="263"/>
      <c r="L368" s="263"/>
      <c r="M368" s="263"/>
      <c r="N368" s="263"/>
      <c r="O368" s="263"/>
      <c r="P368" s="263"/>
      <c r="Q368" s="263"/>
      <c r="R368" s="263"/>
      <c r="S368" s="263"/>
      <c r="T368" s="263"/>
      <c r="U368" s="263"/>
      <c r="V368" s="586"/>
      <c r="W368" s="586"/>
      <c r="X368" s="586"/>
      <c r="Y368" s="586"/>
      <c r="Z368" s="586"/>
      <c r="AA368" s="586"/>
      <c r="AB368" s="586"/>
      <c r="AC368" s="586"/>
      <c r="AD368" s="586"/>
      <c r="AE368" s="586"/>
      <c r="AF368" s="586"/>
      <c r="AG368" s="586"/>
      <c r="AH368" s="586"/>
      <c r="AI368" s="586"/>
      <c r="AJ368" s="586"/>
      <c r="AK368" s="586"/>
      <c r="AL368" s="586"/>
      <c r="AM368" s="586"/>
      <c r="AN368" s="586"/>
      <c r="AO368" s="586"/>
      <c r="AP368" s="586"/>
      <c r="AQ368" s="586"/>
      <c r="AR368" s="586"/>
      <c r="AS368" s="586"/>
      <c r="AT368" s="586"/>
      <c r="AU368" s="586"/>
      <c r="AV368" s="586"/>
      <c r="AW368" s="586"/>
      <c r="AX368" s="586"/>
      <c r="AY368" s="586"/>
      <c r="AZ368" s="586"/>
      <c r="BA368" s="586"/>
      <c r="BB368" s="586"/>
      <c r="BC368" s="574"/>
    </row>
    <row r="369" spans="1:55" s="466" customFormat="1" hidden="1">
      <c r="A369" s="300"/>
      <c r="B369" s="571"/>
      <c r="G369" s="263"/>
      <c r="H369" s="263"/>
      <c r="I369" s="263"/>
      <c r="J369" s="263"/>
      <c r="K369" s="263"/>
      <c r="L369" s="263"/>
      <c r="M369" s="263"/>
      <c r="N369" s="263"/>
      <c r="O369" s="263"/>
      <c r="P369" s="263"/>
      <c r="Q369" s="263"/>
      <c r="R369" s="263"/>
      <c r="S369" s="263"/>
      <c r="T369" s="263"/>
      <c r="U369" s="263"/>
      <c r="V369" s="586"/>
      <c r="W369" s="586"/>
      <c r="X369" s="586"/>
      <c r="Y369" s="586"/>
      <c r="Z369" s="586"/>
      <c r="AA369" s="586"/>
      <c r="AB369" s="586"/>
      <c r="AC369" s="586"/>
      <c r="AD369" s="586"/>
      <c r="AE369" s="586"/>
      <c r="AF369" s="586"/>
      <c r="AG369" s="586"/>
      <c r="AH369" s="586"/>
      <c r="AI369" s="586"/>
      <c r="AJ369" s="586"/>
      <c r="AK369" s="586"/>
      <c r="AL369" s="586"/>
      <c r="AM369" s="586"/>
      <c r="AN369" s="586"/>
      <c r="AO369" s="586"/>
      <c r="AP369" s="586"/>
      <c r="AQ369" s="586"/>
      <c r="AR369" s="586"/>
      <c r="AS369" s="586"/>
      <c r="AT369" s="586"/>
      <c r="AU369" s="586"/>
      <c r="AV369" s="586"/>
      <c r="AW369" s="586"/>
      <c r="AX369" s="586"/>
      <c r="AY369" s="586"/>
      <c r="AZ369" s="586"/>
      <c r="BA369" s="586"/>
      <c r="BB369" s="586"/>
      <c r="BC369" s="574"/>
    </row>
    <row r="370" spans="1:55" s="466" customFormat="1" hidden="1">
      <c r="A370" s="300"/>
      <c r="B370" s="571"/>
      <c r="G370" s="263"/>
      <c r="H370" s="263"/>
      <c r="I370" s="263"/>
      <c r="J370" s="263"/>
      <c r="K370" s="263"/>
      <c r="L370" s="263"/>
      <c r="M370" s="263"/>
      <c r="N370" s="263"/>
      <c r="O370" s="263"/>
      <c r="P370" s="263"/>
      <c r="Q370" s="263"/>
      <c r="R370" s="263"/>
      <c r="S370" s="263"/>
      <c r="T370" s="263"/>
      <c r="U370" s="263"/>
      <c r="V370" s="586"/>
      <c r="W370" s="586"/>
      <c r="X370" s="586"/>
      <c r="Y370" s="586"/>
      <c r="Z370" s="586"/>
      <c r="AA370" s="586"/>
      <c r="AB370" s="586"/>
      <c r="AC370" s="586"/>
      <c r="AD370" s="586"/>
      <c r="AE370" s="586"/>
      <c r="AF370" s="586"/>
      <c r="AG370" s="586"/>
      <c r="AH370" s="586"/>
      <c r="AI370" s="586"/>
      <c r="AJ370" s="586"/>
      <c r="AK370" s="586"/>
      <c r="AL370" s="586"/>
      <c r="AM370" s="586"/>
      <c r="AN370" s="586"/>
      <c r="AO370" s="586"/>
      <c r="AP370" s="586"/>
      <c r="AQ370" s="586"/>
      <c r="AR370" s="586"/>
      <c r="AS370" s="586"/>
      <c r="AT370" s="586"/>
      <c r="AU370" s="586"/>
      <c r="AV370" s="586"/>
      <c r="AW370" s="586"/>
      <c r="AX370" s="586"/>
      <c r="AY370" s="586"/>
      <c r="AZ370" s="586"/>
      <c r="BA370" s="586"/>
      <c r="BB370" s="586"/>
      <c r="BC370" s="574"/>
    </row>
    <row r="371" spans="1:55" s="466" customFormat="1" hidden="1">
      <c r="A371" s="300"/>
      <c r="B371" s="571"/>
      <c r="G371" s="263"/>
      <c r="H371" s="263"/>
      <c r="I371" s="263"/>
      <c r="J371" s="263"/>
      <c r="K371" s="263"/>
      <c r="L371" s="263"/>
      <c r="M371" s="263"/>
      <c r="N371" s="263"/>
      <c r="O371" s="263"/>
      <c r="P371" s="263"/>
      <c r="Q371" s="263"/>
      <c r="R371" s="263"/>
      <c r="S371" s="263"/>
      <c r="T371" s="263"/>
      <c r="U371" s="263"/>
      <c r="V371" s="586"/>
      <c r="W371" s="586"/>
      <c r="X371" s="586"/>
      <c r="Y371" s="586"/>
      <c r="Z371" s="586"/>
      <c r="AA371" s="586"/>
      <c r="AB371" s="586"/>
      <c r="AC371" s="586"/>
      <c r="AD371" s="586"/>
      <c r="AE371" s="586"/>
      <c r="AF371" s="586"/>
      <c r="AG371" s="586"/>
      <c r="AH371" s="586"/>
      <c r="AI371" s="586"/>
      <c r="AJ371" s="586"/>
      <c r="AK371" s="586"/>
      <c r="AL371" s="586"/>
      <c r="AM371" s="586"/>
      <c r="AN371" s="586"/>
      <c r="AO371" s="586"/>
      <c r="AP371" s="586"/>
      <c r="AQ371" s="586"/>
      <c r="AR371" s="586"/>
      <c r="AS371" s="586"/>
      <c r="AT371" s="586"/>
      <c r="AU371" s="586"/>
      <c r="AV371" s="586"/>
      <c r="AW371" s="586"/>
      <c r="AX371" s="586"/>
      <c r="AY371" s="586"/>
      <c r="AZ371" s="586"/>
      <c r="BA371" s="586"/>
      <c r="BB371" s="586"/>
      <c r="BC371" s="574"/>
    </row>
    <row r="372" spans="1:55" s="466" customFormat="1" hidden="1">
      <c r="A372" s="300"/>
      <c r="B372" s="571"/>
      <c r="G372" s="263"/>
      <c r="H372" s="263"/>
      <c r="I372" s="263"/>
      <c r="J372" s="263"/>
      <c r="K372" s="263"/>
      <c r="L372" s="263"/>
      <c r="M372" s="263"/>
      <c r="N372" s="263"/>
      <c r="O372" s="263"/>
      <c r="P372" s="263"/>
      <c r="Q372" s="263"/>
      <c r="R372" s="263"/>
      <c r="S372" s="263"/>
      <c r="T372" s="263"/>
      <c r="U372" s="263"/>
      <c r="V372" s="586"/>
      <c r="W372" s="586"/>
      <c r="X372" s="586"/>
      <c r="Y372" s="586"/>
      <c r="Z372" s="586"/>
      <c r="AA372" s="586"/>
      <c r="AB372" s="586"/>
      <c r="AC372" s="586"/>
      <c r="AD372" s="586"/>
      <c r="AE372" s="586"/>
      <c r="AF372" s="586"/>
      <c r="AG372" s="586"/>
      <c r="AH372" s="586"/>
      <c r="AI372" s="586"/>
      <c r="AJ372" s="586"/>
      <c r="AK372" s="586"/>
      <c r="AL372" s="586"/>
      <c r="AM372" s="586"/>
      <c r="AN372" s="586"/>
      <c r="AO372" s="586"/>
      <c r="AP372" s="586"/>
      <c r="AQ372" s="586"/>
      <c r="AR372" s="586"/>
      <c r="AS372" s="586"/>
      <c r="AT372" s="586"/>
      <c r="AU372" s="586"/>
      <c r="AV372" s="586"/>
      <c r="AW372" s="586"/>
      <c r="AX372" s="586"/>
      <c r="AY372" s="586"/>
      <c r="AZ372" s="586"/>
      <c r="BA372" s="586"/>
      <c r="BB372" s="586"/>
      <c r="BC372" s="574"/>
    </row>
    <row r="373" spans="1:55" s="466" customFormat="1" hidden="1">
      <c r="G373" s="263"/>
      <c r="H373" s="263"/>
      <c r="I373" s="263"/>
      <c r="J373" s="263"/>
      <c r="K373" s="263"/>
      <c r="L373" s="263"/>
      <c r="M373" s="263"/>
      <c r="N373" s="263"/>
      <c r="O373" s="263"/>
      <c r="P373" s="263"/>
      <c r="Q373" s="263"/>
      <c r="R373" s="263"/>
      <c r="S373" s="263"/>
      <c r="T373" s="263"/>
      <c r="U373" s="263"/>
      <c r="V373" s="586"/>
      <c r="W373" s="586"/>
      <c r="X373" s="586"/>
      <c r="Y373" s="586"/>
      <c r="Z373" s="586"/>
      <c r="AA373" s="586"/>
      <c r="AB373" s="586"/>
      <c r="AC373" s="586"/>
      <c r="AD373" s="586"/>
      <c r="AE373" s="586"/>
      <c r="AF373" s="586"/>
      <c r="AG373" s="586"/>
      <c r="AH373" s="586"/>
      <c r="AI373" s="586"/>
      <c r="AJ373" s="586"/>
      <c r="AK373" s="586"/>
      <c r="AL373" s="586"/>
      <c r="AM373" s="586"/>
      <c r="AN373" s="586"/>
      <c r="AO373" s="586"/>
      <c r="AP373" s="586"/>
      <c r="AQ373" s="586"/>
      <c r="AR373" s="586"/>
      <c r="AS373" s="586"/>
      <c r="AT373" s="586"/>
      <c r="AU373" s="586"/>
      <c r="AV373" s="586"/>
      <c r="AW373" s="586"/>
      <c r="AX373" s="586"/>
      <c r="AY373" s="586"/>
      <c r="AZ373" s="586"/>
      <c r="BA373" s="586"/>
      <c r="BB373" s="586"/>
      <c r="BC373" s="574"/>
    </row>
    <row r="374" spans="1:55" s="466" customFormat="1" hidden="1">
      <c r="A374" s="300"/>
      <c r="B374" s="468"/>
      <c r="D374" s="470"/>
      <c r="E374" s="569"/>
      <c r="F374" s="570"/>
      <c r="G374" s="263"/>
      <c r="H374" s="263"/>
      <c r="I374" s="263"/>
      <c r="J374" s="263"/>
      <c r="K374" s="263"/>
      <c r="L374" s="263"/>
      <c r="M374" s="263"/>
      <c r="N374" s="263"/>
      <c r="O374" s="263"/>
      <c r="P374" s="263"/>
      <c r="Q374" s="263"/>
      <c r="R374" s="263"/>
      <c r="S374" s="263"/>
      <c r="T374" s="263"/>
      <c r="U374" s="263"/>
      <c r="V374" s="586"/>
      <c r="W374" s="586"/>
      <c r="X374" s="586"/>
      <c r="Y374" s="586"/>
      <c r="Z374" s="586"/>
      <c r="AA374" s="586"/>
      <c r="AB374" s="586"/>
      <c r="AC374" s="586"/>
      <c r="AD374" s="586"/>
      <c r="AE374" s="586"/>
      <c r="AF374" s="586"/>
      <c r="AG374" s="586"/>
      <c r="AH374" s="586"/>
      <c r="AI374" s="586"/>
      <c r="AJ374" s="586"/>
      <c r="AK374" s="586"/>
      <c r="AL374" s="586"/>
      <c r="AM374" s="586"/>
      <c r="AN374" s="586"/>
      <c r="AO374" s="586"/>
      <c r="AP374" s="586"/>
      <c r="AQ374" s="586"/>
      <c r="AR374" s="586"/>
      <c r="AS374" s="586"/>
      <c r="AT374" s="586"/>
      <c r="AU374" s="586"/>
      <c r="AV374" s="586"/>
      <c r="AW374" s="586"/>
      <c r="AX374" s="586"/>
      <c r="AY374" s="586"/>
      <c r="AZ374" s="586"/>
      <c r="BA374" s="586"/>
      <c r="BB374" s="586"/>
      <c r="BC374" s="574"/>
    </row>
    <row r="375" spans="1:55" s="466" customFormat="1" hidden="1">
      <c r="A375" s="300"/>
      <c r="B375" s="571"/>
      <c r="G375" s="263"/>
      <c r="H375" s="263"/>
      <c r="I375" s="263"/>
      <c r="J375" s="263"/>
      <c r="K375" s="263"/>
      <c r="L375" s="263"/>
      <c r="M375" s="263"/>
      <c r="N375" s="263"/>
      <c r="O375" s="263"/>
      <c r="P375" s="263"/>
      <c r="Q375" s="263"/>
      <c r="R375" s="263"/>
      <c r="S375" s="263"/>
      <c r="T375" s="263"/>
      <c r="U375" s="263"/>
      <c r="V375" s="586"/>
      <c r="W375" s="586"/>
      <c r="X375" s="586"/>
      <c r="Y375" s="586"/>
      <c r="Z375" s="586"/>
      <c r="AA375" s="586"/>
      <c r="AB375" s="586"/>
      <c r="AC375" s="586"/>
      <c r="AD375" s="586"/>
      <c r="AE375" s="586"/>
      <c r="AF375" s="586"/>
      <c r="AG375" s="586"/>
      <c r="AH375" s="586"/>
      <c r="AI375" s="586"/>
      <c r="AJ375" s="586"/>
      <c r="AK375" s="586"/>
      <c r="AL375" s="586"/>
      <c r="AM375" s="586"/>
      <c r="AN375" s="586"/>
      <c r="AO375" s="586"/>
      <c r="AP375" s="586"/>
      <c r="AQ375" s="586"/>
      <c r="AR375" s="586"/>
      <c r="AS375" s="586"/>
      <c r="AT375" s="586"/>
      <c r="AU375" s="586"/>
      <c r="AV375" s="586"/>
      <c r="AW375" s="586"/>
      <c r="AX375" s="586"/>
      <c r="AY375" s="586"/>
      <c r="AZ375" s="586"/>
      <c r="BA375" s="586"/>
      <c r="BB375" s="586"/>
      <c r="BC375" s="574"/>
    </row>
    <row r="376" spans="1:55" s="466" customFormat="1" hidden="1">
      <c r="G376" s="263"/>
      <c r="H376" s="263"/>
      <c r="I376" s="263"/>
      <c r="J376" s="263"/>
      <c r="K376" s="263"/>
      <c r="L376" s="263"/>
      <c r="M376" s="263"/>
      <c r="N376" s="263"/>
      <c r="O376" s="263"/>
      <c r="P376" s="263"/>
      <c r="Q376" s="263"/>
      <c r="R376" s="263"/>
      <c r="S376" s="263"/>
      <c r="T376" s="263"/>
      <c r="U376" s="263"/>
      <c r="V376" s="586"/>
      <c r="W376" s="586"/>
      <c r="X376" s="586"/>
      <c r="Y376" s="586"/>
      <c r="Z376" s="586"/>
      <c r="AA376" s="586"/>
      <c r="AB376" s="586"/>
      <c r="AC376" s="586"/>
      <c r="AD376" s="586"/>
      <c r="AE376" s="586"/>
      <c r="AF376" s="586"/>
      <c r="AG376" s="586"/>
      <c r="AH376" s="586"/>
      <c r="AI376" s="586"/>
      <c r="AJ376" s="586"/>
      <c r="AK376" s="586"/>
      <c r="AL376" s="586"/>
      <c r="AM376" s="586"/>
      <c r="AN376" s="586"/>
      <c r="AO376" s="586"/>
      <c r="AP376" s="586"/>
      <c r="AQ376" s="586"/>
      <c r="AR376" s="586"/>
      <c r="AS376" s="586"/>
      <c r="AT376" s="586"/>
      <c r="AU376" s="586"/>
      <c r="AV376" s="586"/>
      <c r="AW376" s="586"/>
      <c r="AX376" s="586"/>
      <c r="AY376" s="586"/>
      <c r="AZ376" s="586"/>
      <c r="BA376" s="586"/>
      <c r="BB376" s="586"/>
      <c r="BC376" s="574"/>
    </row>
    <row r="377" spans="1:55" s="466" customFormat="1" hidden="1">
      <c r="A377" s="300"/>
      <c r="B377" s="468"/>
      <c r="D377" s="470"/>
      <c r="E377" s="569"/>
      <c r="F377" s="570"/>
      <c r="G377" s="263"/>
      <c r="H377" s="263"/>
      <c r="I377" s="263"/>
      <c r="J377" s="263"/>
      <c r="K377" s="263"/>
      <c r="L377" s="263"/>
      <c r="M377" s="263"/>
      <c r="N377" s="263"/>
      <c r="O377" s="263"/>
      <c r="P377" s="263"/>
      <c r="Q377" s="263"/>
      <c r="R377" s="263"/>
      <c r="S377" s="263"/>
      <c r="T377" s="263"/>
      <c r="U377" s="263"/>
      <c r="V377" s="586"/>
      <c r="W377" s="586"/>
      <c r="X377" s="586"/>
      <c r="Y377" s="586"/>
      <c r="Z377" s="586"/>
      <c r="AA377" s="586"/>
      <c r="AB377" s="586"/>
      <c r="AC377" s="586"/>
      <c r="AD377" s="586"/>
      <c r="AE377" s="586"/>
      <c r="AF377" s="586"/>
      <c r="AG377" s="586"/>
      <c r="AH377" s="586"/>
      <c r="AI377" s="586"/>
      <c r="AJ377" s="586"/>
      <c r="AK377" s="586"/>
      <c r="AL377" s="586"/>
      <c r="AM377" s="586"/>
      <c r="AN377" s="586"/>
      <c r="AO377" s="586"/>
      <c r="AP377" s="586"/>
      <c r="AQ377" s="586"/>
      <c r="AR377" s="586"/>
      <c r="AS377" s="586"/>
      <c r="AT377" s="586"/>
      <c r="AU377" s="586"/>
      <c r="AV377" s="586"/>
      <c r="AW377" s="586"/>
      <c r="AX377" s="586"/>
      <c r="AY377" s="586"/>
      <c r="AZ377" s="586"/>
      <c r="BA377" s="586"/>
      <c r="BB377" s="586"/>
      <c r="BC377" s="574"/>
    </row>
    <row r="378" spans="1:55" s="466" customFormat="1" hidden="1">
      <c r="A378" s="300"/>
      <c r="B378" s="571"/>
      <c r="G378" s="263"/>
      <c r="H378" s="263"/>
      <c r="I378" s="263"/>
      <c r="J378" s="263"/>
      <c r="K378" s="263"/>
      <c r="L378" s="263"/>
      <c r="M378" s="263"/>
      <c r="N378" s="263"/>
      <c r="O378" s="263"/>
      <c r="P378" s="263"/>
      <c r="Q378" s="263"/>
      <c r="R378" s="263"/>
      <c r="S378" s="263"/>
      <c r="T378" s="263"/>
      <c r="U378" s="263"/>
      <c r="V378" s="586"/>
      <c r="W378" s="586"/>
      <c r="X378" s="586"/>
      <c r="Y378" s="586"/>
      <c r="Z378" s="586"/>
      <c r="AA378" s="586"/>
      <c r="AB378" s="586"/>
      <c r="AC378" s="586"/>
      <c r="AD378" s="586"/>
      <c r="AE378" s="586"/>
      <c r="AF378" s="586"/>
      <c r="AG378" s="586"/>
      <c r="AH378" s="586"/>
      <c r="AI378" s="586"/>
      <c r="AJ378" s="586"/>
      <c r="AK378" s="586"/>
      <c r="AL378" s="586"/>
      <c r="AM378" s="586"/>
      <c r="AN378" s="586"/>
      <c r="AO378" s="586"/>
      <c r="AP378" s="586"/>
      <c r="AQ378" s="586"/>
      <c r="AR378" s="586"/>
      <c r="AS378" s="586"/>
      <c r="AT378" s="586"/>
      <c r="AU378" s="586"/>
      <c r="AV378" s="586"/>
      <c r="AW378" s="586"/>
      <c r="AX378" s="586"/>
      <c r="AY378" s="586"/>
      <c r="AZ378" s="586"/>
      <c r="BA378" s="586"/>
      <c r="BB378" s="586"/>
      <c r="BC378" s="574"/>
    </row>
    <row r="379" spans="1:55" s="466" customFormat="1" hidden="1">
      <c r="G379" s="263"/>
      <c r="H379" s="263"/>
      <c r="I379" s="263"/>
      <c r="J379" s="263"/>
      <c r="K379" s="263"/>
      <c r="L379" s="263"/>
      <c r="M379" s="263"/>
      <c r="N379" s="263"/>
      <c r="O379" s="263"/>
      <c r="P379" s="263"/>
      <c r="Q379" s="263"/>
      <c r="R379" s="263"/>
      <c r="S379" s="263"/>
      <c r="T379" s="263"/>
      <c r="U379" s="263"/>
      <c r="V379" s="586"/>
      <c r="W379" s="586"/>
      <c r="X379" s="586"/>
      <c r="Y379" s="586"/>
      <c r="Z379" s="586"/>
      <c r="AA379" s="586"/>
      <c r="AB379" s="586"/>
      <c r="AC379" s="586"/>
      <c r="AD379" s="586"/>
      <c r="AE379" s="586"/>
      <c r="AF379" s="586"/>
      <c r="AG379" s="586"/>
      <c r="AH379" s="586"/>
      <c r="AI379" s="586"/>
      <c r="AJ379" s="586"/>
      <c r="AK379" s="586"/>
      <c r="AL379" s="586"/>
      <c r="AM379" s="586"/>
      <c r="AN379" s="586"/>
      <c r="AO379" s="586"/>
      <c r="AP379" s="586"/>
      <c r="AQ379" s="586"/>
      <c r="AR379" s="586"/>
      <c r="AS379" s="586"/>
      <c r="AT379" s="586"/>
      <c r="AU379" s="586"/>
      <c r="AV379" s="586"/>
      <c r="AW379" s="586"/>
      <c r="AX379" s="586"/>
      <c r="AY379" s="586"/>
      <c r="AZ379" s="586"/>
      <c r="BA379" s="586"/>
      <c r="BB379" s="586"/>
      <c r="BC379" s="574"/>
    </row>
    <row r="380" spans="1:55" s="466" customFormat="1" hidden="1">
      <c r="A380" s="300"/>
      <c r="B380" s="468"/>
      <c r="D380" s="470"/>
      <c r="E380" s="569"/>
      <c r="F380" s="570"/>
      <c r="G380" s="263"/>
      <c r="H380" s="263"/>
      <c r="I380" s="263"/>
      <c r="J380" s="263"/>
      <c r="K380" s="263"/>
      <c r="L380" s="263"/>
      <c r="M380" s="263"/>
      <c r="N380" s="263"/>
      <c r="O380" s="263"/>
      <c r="P380" s="263"/>
      <c r="Q380" s="263"/>
      <c r="R380" s="263"/>
      <c r="S380" s="263"/>
      <c r="T380" s="263"/>
      <c r="U380" s="263"/>
      <c r="V380" s="586"/>
      <c r="W380" s="586"/>
      <c r="X380" s="586"/>
      <c r="Y380" s="586"/>
      <c r="Z380" s="586"/>
      <c r="AA380" s="586"/>
      <c r="AB380" s="586"/>
      <c r="AC380" s="586"/>
      <c r="AD380" s="586"/>
      <c r="AE380" s="586"/>
      <c r="AF380" s="586"/>
      <c r="AG380" s="586"/>
      <c r="AH380" s="586"/>
      <c r="AI380" s="586"/>
      <c r="AJ380" s="586"/>
      <c r="AK380" s="586"/>
      <c r="AL380" s="586"/>
      <c r="AM380" s="586"/>
      <c r="AN380" s="586"/>
      <c r="AO380" s="586"/>
      <c r="AP380" s="586"/>
      <c r="AQ380" s="586"/>
      <c r="AR380" s="586"/>
      <c r="AS380" s="586"/>
      <c r="AT380" s="586"/>
      <c r="AU380" s="586"/>
      <c r="AV380" s="586"/>
      <c r="AW380" s="586"/>
      <c r="AX380" s="586"/>
      <c r="AY380" s="586"/>
      <c r="AZ380" s="586"/>
      <c r="BA380" s="586"/>
      <c r="BB380" s="586"/>
      <c r="BC380" s="574"/>
    </row>
    <row r="381" spans="1:55" s="466" customFormat="1" hidden="1">
      <c r="A381" s="300"/>
      <c r="B381" s="571"/>
      <c r="G381" s="263"/>
      <c r="H381" s="263"/>
      <c r="I381" s="263"/>
      <c r="J381" s="263"/>
      <c r="K381" s="263"/>
      <c r="L381" s="263"/>
      <c r="M381" s="263"/>
      <c r="N381" s="263"/>
      <c r="O381" s="263"/>
      <c r="P381" s="263"/>
      <c r="Q381" s="263"/>
      <c r="R381" s="263"/>
      <c r="S381" s="263"/>
      <c r="T381" s="263"/>
      <c r="U381" s="263"/>
      <c r="V381" s="586"/>
      <c r="W381" s="586"/>
      <c r="X381" s="586"/>
      <c r="Y381" s="586"/>
      <c r="Z381" s="586"/>
      <c r="AA381" s="586"/>
      <c r="AB381" s="586"/>
      <c r="AC381" s="586"/>
      <c r="AD381" s="586"/>
      <c r="AE381" s="586"/>
      <c r="AF381" s="586"/>
      <c r="AG381" s="586"/>
      <c r="AH381" s="586"/>
      <c r="AI381" s="586"/>
      <c r="AJ381" s="586"/>
      <c r="AK381" s="586"/>
      <c r="AL381" s="586"/>
      <c r="AM381" s="586"/>
      <c r="AN381" s="586"/>
      <c r="AO381" s="586"/>
      <c r="AP381" s="586"/>
      <c r="AQ381" s="586"/>
      <c r="AR381" s="586"/>
      <c r="AS381" s="586"/>
      <c r="AT381" s="586"/>
      <c r="AU381" s="586"/>
      <c r="AV381" s="586"/>
      <c r="AW381" s="586"/>
      <c r="AX381" s="586"/>
      <c r="AY381" s="586"/>
      <c r="AZ381" s="586"/>
      <c r="BA381" s="586"/>
      <c r="BB381" s="586"/>
      <c r="BC381" s="574"/>
    </row>
    <row r="382" spans="1:55" s="466" customFormat="1" hidden="1">
      <c r="G382" s="263"/>
      <c r="H382" s="263"/>
      <c r="I382" s="263"/>
      <c r="J382" s="263"/>
      <c r="K382" s="263"/>
      <c r="L382" s="263"/>
      <c r="M382" s="263"/>
      <c r="N382" s="263"/>
      <c r="O382" s="263"/>
      <c r="P382" s="263"/>
      <c r="Q382" s="263"/>
      <c r="R382" s="263"/>
      <c r="S382" s="263"/>
      <c r="T382" s="263"/>
      <c r="U382" s="263"/>
      <c r="V382" s="586"/>
      <c r="W382" s="586"/>
      <c r="X382" s="586"/>
      <c r="Y382" s="586"/>
      <c r="Z382" s="586"/>
      <c r="AA382" s="586"/>
      <c r="AB382" s="586"/>
      <c r="AC382" s="586"/>
      <c r="AD382" s="586"/>
      <c r="AE382" s="586"/>
      <c r="AF382" s="586"/>
      <c r="AG382" s="586"/>
      <c r="AH382" s="586"/>
      <c r="AI382" s="586"/>
      <c r="AJ382" s="586"/>
      <c r="AK382" s="586"/>
      <c r="AL382" s="586"/>
      <c r="AM382" s="586"/>
      <c r="AN382" s="586"/>
      <c r="AO382" s="586"/>
      <c r="AP382" s="586"/>
      <c r="AQ382" s="586"/>
      <c r="AR382" s="586"/>
      <c r="AS382" s="586"/>
      <c r="AT382" s="586"/>
      <c r="AU382" s="586"/>
      <c r="AV382" s="586"/>
      <c r="AW382" s="586"/>
      <c r="AX382" s="586"/>
      <c r="AY382" s="586"/>
      <c r="AZ382" s="586"/>
      <c r="BA382" s="586"/>
      <c r="BB382" s="586"/>
      <c r="BC382" s="574"/>
    </row>
    <row r="383" spans="1:55" s="466" customFormat="1" hidden="1">
      <c r="A383" s="300"/>
      <c r="B383" s="468"/>
      <c r="D383" s="470"/>
      <c r="E383" s="569"/>
      <c r="F383" s="570"/>
      <c r="G383" s="263"/>
      <c r="H383" s="263"/>
      <c r="I383" s="263"/>
      <c r="J383" s="263"/>
      <c r="K383" s="263"/>
      <c r="L383" s="263"/>
      <c r="M383" s="263"/>
      <c r="N383" s="263"/>
      <c r="O383" s="263"/>
      <c r="P383" s="263"/>
      <c r="Q383" s="263"/>
      <c r="R383" s="263"/>
      <c r="S383" s="263"/>
      <c r="T383" s="263"/>
      <c r="U383" s="263"/>
      <c r="V383" s="586"/>
      <c r="W383" s="586"/>
      <c r="X383" s="586"/>
      <c r="Y383" s="586"/>
      <c r="Z383" s="586"/>
      <c r="AA383" s="586"/>
      <c r="AB383" s="586"/>
      <c r="AC383" s="586"/>
      <c r="AD383" s="586"/>
      <c r="AE383" s="586"/>
      <c r="AF383" s="586"/>
      <c r="AG383" s="586"/>
      <c r="AH383" s="586"/>
      <c r="AI383" s="586"/>
      <c r="AJ383" s="586"/>
      <c r="AK383" s="586"/>
      <c r="AL383" s="586"/>
      <c r="AM383" s="586"/>
      <c r="AN383" s="586"/>
      <c r="AO383" s="586"/>
      <c r="AP383" s="586"/>
      <c r="AQ383" s="586"/>
      <c r="AR383" s="586"/>
      <c r="AS383" s="586"/>
      <c r="AT383" s="586"/>
      <c r="AU383" s="586"/>
      <c r="AV383" s="586"/>
      <c r="AW383" s="586"/>
      <c r="AX383" s="586"/>
      <c r="AY383" s="586"/>
      <c r="AZ383" s="586"/>
      <c r="BA383" s="586"/>
      <c r="BB383" s="586"/>
      <c r="BC383" s="574"/>
    </row>
    <row r="384" spans="1:55" s="466" customFormat="1" hidden="1">
      <c r="A384" s="300"/>
      <c r="B384" s="571"/>
      <c r="G384" s="263"/>
      <c r="H384" s="263"/>
      <c r="I384" s="263"/>
      <c r="J384" s="263"/>
      <c r="K384" s="263"/>
      <c r="L384" s="263"/>
      <c r="M384" s="263"/>
      <c r="N384" s="263"/>
      <c r="O384" s="263"/>
      <c r="P384" s="263"/>
      <c r="Q384" s="263"/>
      <c r="R384" s="263"/>
      <c r="S384" s="263"/>
      <c r="T384" s="263"/>
      <c r="U384" s="263"/>
      <c r="V384" s="586"/>
      <c r="W384" s="586"/>
      <c r="X384" s="586"/>
      <c r="Y384" s="586"/>
      <c r="Z384" s="586"/>
      <c r="AA384" s="586"/>
      <c r="AB384" s="586"/>
      <c r="AC384" s="586"/>
      <c r="AD384" s="586"/>
      <c r="AE384" s="586"/>
      <c r="AF384" s="586"/>
      <c r="AG384" s="586"/>
      <c r="AH384" s="586"/>
      <c r="AI384" s="586"/>
      <c r="AJ384" s="586"/>
      <c r="AK384" s="586"/>
      <c r="AL384" s="586"/>
      <c r="AM384" s="586"/>
      <c r="AN384" s="586"/>
      <c r="AO384" s="586"/>
      <c r="AP384" s="586"/>
      <c r="AQ384" s="586"/>
      <c r="AR384" s="586"/>
      <c r="AS384" s="586"/>
      <c r="AT384" s="586"/>
      <c r="AU384" s="586"/>
      <c r="AV384" s="586"/>
      <c r="AW384" s="586"/>
      <c r="AX384" s="586"/>
      <c r="AY384" s="586"/>
      <c r="AZ384" s="586"/>
      <c r="BA384" s="586"/>
      <c r="BB384" s="586"/>
      <c r="BC384" s="574"/>
    </row>
    <row r="385" spans="1:55" s="466" customFormat="1" hidden="1">
      <c r="G385" s="263"/>
      <c r="H385" s="263"/>
      <c r="I385" s="263"/>
      <c r="J385" s="263"/>
      <c r="K385" s="263"/>
      <c r="L385" s="263"/>
      <c r="M385" s="263"/>
      <c r="N385" s="263"/>
      <c r="O385" s="263"/>
      <c r="P385" s="263"/>
      <c r="Q385" s="263"/>
      <c r="R385" s="263"/>
      <c r="S385" s="263"/>
      <c r="T385" s="263"/>
      <c r="U385" s="263"/>
      <c r="V385" s="586"/>
      <c r="W385" s="586"/>
      <c r="X385" s="586"/>
      <c r="Y385" s="586"/>
      <c r="Z385" s="586"/>
      <c r="AA385" s="586"/>
      <c r="AB385" s="586"/>
      <c r="AC385" s="586"/>
      <c r="AD385" s="586"/>
      <c r="AE385" s="586"/>
      <c r="AF385" s="586"/>
      <c r="AG385" s="586"/>
      <c r="AH385" s="586"/>
      <c r="AI385" s="586"/>
      <c r="AJ385" s="586"/>
      <c r="AK385" s="586"/>
      <c r="AL385" s="586"/>
      <c r="AM385" s="586"/>
      <c r="AN385" s="586"/>
      <c r="AO385" s="586"/>
      <c r="AP385" s="586"/>
      <c r="AQ385" s="586"/>
      <c r="AR385" s="586"/>
      <c r="AS385" s="586"/>
      <c r="AT385" s="586"/>
      <c r="AU385" s="586"/>
      <c r="AV385" s="586"/>
      <c r="AW385" s="586"/>
      <c r="AX385" s="586"/>
      <c r="AY385" s="586"/>
      <c r="AZ385" s="586"/>
      <c r="BA385" s="586"/>
      <c r="BB385" s="586"/>
      <c r="BC385" s="574"/>
    </row>
    <row r="386" spans="1:55" s="466" customFormat="1" hidden="1">
      <c r="A386" s="300"/>
      <c r="B386" s="468"/>
      <c r="D386" s="470"/>
      <c r="E386" s="569"/>
      <c r="F386" s="570"/>
      <c r="G386" s="263"/>
      <c r="H386" s="263"/>
      <c r="I386" s="263"/>
      <c r="J386" s="263"/>
      <c r="K386" s="263"/>
      <c r="L386" s="263"/>
      <c r="M386" s="263"/>
      <c r="N386" s="263"/>
      <c r="O386" s="263"/>
      <c r="P386" s="263"/>
      <c r="Q386" s="263"/>
      <c r="R386" s="263"/>
      <c r="S386" s="263"/>
      <c r="T386" s="263"/>
      <c r="U386" s="263"/>
      <c r="V386" s="586"/>
      <c r="W386" s="586"/>
      <c r="X386" s="586"/>
      <c r="Y386" s="586"/>
      <c r="Z386" s="586"/>
      <c r="AA386" s="586"/>
      <c r="AB386" s="586"/>
      <c r="AC386" s="586"/>
      <c r="AD386" s="586"/>
      <c r="AE386" s="586"/>
      <c r="AF386" s="586"/>
      <c r="AG386" s="586"/>
      <c r="AH386" s="586"/>
      <c r="AI386" s="586"/>
      <c r="AJ386" s="586"/>
      <c r="AK386" s="586"/>
      <c r="AL386" s="586"/>
      <c r="AM386" s="586"/>
      <c r="AN386" s="586"/>
      <c r="AO386" s="586"/>
      <c r="AP386" s="586"/>
      <c r="AQ386" s="586"/>
      <c r="AR386" s="586"/>
      <c r="AS386" s="586"/>
      <c r="AT386" s="586"/>
      <c r="AU386" s="586"/>
      <c r="AV386" s="586"/>
      <c r="AW386" s="586"/>
      <c r="AX386" s="586"/>
      <c r="AY386" s="586"/>
      <c r="AZ386" s="586"/>
      <c r="BA386" s="586"/>
      <c r="BB386" s="586"/>
      <c r="BC386" s="574"/>
    </row>
    <row r="387" spans="1:55" s="466" customFormat="1" hidden="1">
      <c r="A387" s="300"/>
      <c r="B387" s="571"/>
      <c r="G387" s="263"/>
      <c r="H387" s="263"/>
      <c r="I387" s="263"/>
      <c r="J387" s="263"/>
      <c r="K387" s="263"/>
      <c r="L387" s="263"/>
      <c r="M387" s="263"/>
      <c r="N387" s="263"/>
      <c r="O387" s="263"/>
      <c r="P387" s="263"/>
      <c r="Q387" s="263"/>
      <c r="R387" s="263"/>
      <c r="S387" s="263"/>
      <c r="T387" s="263"/>
      <c r="U387" s="263"/>
      <c r="V387" s="586"/>
      <c r="W387" s="586"/>
      <c r="X387" s="586"/>
      <c r="Y387" s="586"/>
      <c r="Z387" s="586"/>
      <c r="AA387" s="586"/>
      <c r="AB387" s="586"/>
      <c r="AC387" s="586"/>
      <c r="AD387" s="586"/>
      <c r="AE387" s="586"/>
      <c r="AF387" s="586"/>
      <c r="AG387" s="586"/>
      <c r="AH387" s="586"/>
      <c r="AI387" s="586"/>
      <c r="AJ387" s="586"/>
      <c r="AK387" s="586"/>
      <c r="AL387" s="586"/>
      <c r="AM387" s="586"/>
      <c r="AN387" s="586"/>
      <c r="AO387" s="586"/>
      <c r="AP387" s="586"/>
      <c r="AQ387" s="586"/>
      <c r="AR387" s="586"/>
      <c r="AS387" s="586"/>
      <c r="AT387" s="586"/>
      <c r="AU387" s="586"/>
      <c r="AV387" s="586"/>
      <c r="AW387" s="586"/>
      <c r="AX387" s="586"/>
      <c r="AY387" s="586"/>
      <c r="AZ387" s="586"/>
      <c r="BA387" s="586"/>
      <c r="BB387" s="586"/>
      <c r="BC387" s="574"/>
    </row>
    <row r="388" spans="1:55" s="466" customFormat="1" hidden="1">
      <c r="G388" s="263"/>
      <c r="H388" s="263"/>
      <c r="I388" s="263"/>
      <c r="J388" s="263"/>
      <c r="K388" s="263"/>
      <c r="L388" s="263"/>
      <c r="M388" s="263"/>
      <c r="N388" s="263"/>
      <c r="O388" s="263"/>
      <c r="P388" s="263"/>
      <c r="Q388" s="263"/>
      <c r="R388" s="263"/>
      <c r="S388" s="263"/>
      <c r="T388" s="263"/>
      <c r="U388" s="263"/>
      <c r="V388" s="586"/>
      <c r="W388" s="586"/>
      <c r="X388" s="586"/>
      <c r="Y388" s="586"/>
      <c r="Z388" s="586"/>
      <c r="AA388" s="586"/>
      <c r="AB388" s="586"/>
      <c r="AC388" s="586"/>
      <c r="AD388" s="586"/>
      <c r="AE388" s="586"/>
      <c r="AF388" s="586"/>
      <c r="AG388" s="586"/>
      <c r="AH388" s="586"/>
      <c r="AI388" s="586"/>
      <c r="AJ388" s="586"/>
      <c r="AK388" s="586"/>
      <c r="AL388" s="586"/>
      <c r="AM388" s="586"/>
      <c r="AN388" s="586"/>
      <c r="AO388" s="586"/>
      <c r="AP388" s="586"/>
      <c r="AQ388" s="586"/>
      <c r="AR388" s="586"/>
      <c r="AS388" s="586"/>
      <c r="AT388" s="586"/>
      <c r="AU388" s="586"/>
      <c r="AV388" s="586"/>
      <c r="AW388" s="586"/>
      <c r="AX388" s="586"/>
      <c r="AY388" s="586"/>
      <c r="AZ388" s="586"/>
      <c r="BA388" s="586"/>
      <c r="BB388" s="586"/>
      <c r="BC388" s="574"/>
    </row>
    <row r="389" spans="1:55" s="466" customFormat="1" hidden="1">
      <c r="A389" s="300"/>
      <c r="B389" s="468"/>
      <c r="D389" s="470"/>
      <c r="E389" s="569"/>
      <c r="F389" s="570"/>
      <c r="G389" s="263"/>
      <c r="H389" s="263"/>
      <c r="I389" s="263"/>
      <c r="J389" s="263"/>
      <c r="K389" s="263"/>
      <c r="L389" s="263"/>
      <c r="M389" s="263"/>
      <c r="N389" s="263"/>
      <c r="O389" s="263"/>
      <c r="P389" s="263"/>
      <c r="Q389" s="263"/>
      <c r="R389" s="263"/>
      <c r="S389" s="263"/>
      <c r="T389" s="263"/>
      <c r="U389" s="263"/>
      <c r="V389" s="586"/>
      <c r="W389" s="586"/>
      <c r="X389" s="586"/>
      <c r="Y389" s="586"/>
      <c r="Z389" s="586"/>
      <c r="AA389" s="586"/>
      <c r="AB389" s="586"/>
      <c r="AC389" s="586"/>
      <c r="AD389" s="586"/>
      <c r="AE389" s="586"/>
      <c r="AF389" s="586"/>
      <c r="AG389" s="586"/>
      <c r="AH389" s="586"/>
      <c r="AI389" s="586"/>
      <c r="AJ389" s="586"/>
      <c r="AK389" s="586"/>
      <c r="AL389" s="586"/>
      <c r="AM389" s="586"/>
      <c r="AN389" s="586"/>
      <c r="AO389" s="586"/>
      <c r="AP389" s="586"/>
      <c r="AQ389" s="586"/>
      <c r="AR389" s="586"/>
      <c r="AS389" s="586"/>
      <c r="AT389" s="586"/>
      <c r="AU389" s="586"/>
      <c r="AV389" s="586"/>
      <c r="AW389" s="586"/>
      <c r="AX389" s="586"/>
      <c r="AY389" s="586"/>
      <c r="AZ389" s="586"/>
      <c r="BA389" s="586"/>
      <c r="BB389" s="586"/>
      <c r="BC389" s="574"/>
    </row>
    <row r="390" spans="1:55" s="466" customFormat="1" hidden="1">
      <c r="A390" s="300"/>
      <c r="B390" s="571"/>
      <c r="G390" s="263"/>
      <c r="H390" s="263"/>
      <c r="I390" s="263"/>
      <c r="J390" s="263"/>
      <c r="K390" s="263"/>
      <c r="L390" s="263"/>
      <c r="M390" s="263"/>
      <c r="N390" s="263"/>
      <c r="O390" s="263"/>
      <c r="P390" s="263"/>
      <c r="Q390" s="263"/>
      <c r="R390" s="263"/>
      <c r="S390" s="263"/>
      <c r="T390" s="263"/>
      <c r="U390" s="263"/>
      <c r="V390" s="586"/>
      <c r="W390" s="586"/>
      <c r="X390" s="586"/>
      <c r="Y390" s="586"/>
      <c r="Z390" s="586"/>
      <c r="AA390" s="586"/>
      <c r="AB390" s="586"/>
      <c r="AC390" s="586"/>
      <c r="AD390" s="586"/>
      <c r="AE390" s="586"/>
      <c r="AF390" s="586"/>
      <c r="AG390" s="586"/>
      <c r="AH390" s="586"/>
      <c r="AI390" s="586"/>
      <c r="AJ390" s="586"/>
      <c r="AK390" s="586"/>
      <c r="AL390" s="586"/>
      <c r="AM390" s="586"/>
      <c r="AN390" s="586"/>
      <c r="AO390" s="586"/>
      <c r="AP390" s="586"/>
      <c r="AQ390" s="586"/>
      <c r="AR390" s="586"/>
      <c r="AS390" s="586"/>
      <c r="AT390" s="586"/>
      <c r="AU390" s="586"/>
      <c r="AV390" s="586"/>
      <c r="AW390" s="586"/>
      <c r="AX390" s="586"/>
      <c r="AY390" s="586"/>
      <c r="AZ390" s="586"/>
      <c r="BA390" s="586"/>
      <c r="BB390" s="586"/>
      <c r="BC390" s="574"/>
    </row>
    <row r="391" spans="1:55" s="466" customFormat="1" hidden="1">
      <c r="G391" s="263"/>
      <c r="H391" s="263"/>
      <c r="I391" s="263"/>
      <c r="J391" s="263"/>
      <c r="K391" s="263"/>
      <c r="L391" s="263"/>
      <c r="M391" s="263"/>
      <c r="N391" s="263"/>
      <c r="O391" s="263"/>
      <c r="P391" s="263"/>
      <c r="Q391" s="263"/>
      <c r="R391" s="263"/>
      <c r="S391" s="263"/>
      <c r="T391" s="263"/>
      <c r="U391" s="263"/>
      <c r="V391" s="586"/>
      <c r="W391" s="586"/>
      <c r="X391" s="586"/>
      <c r="Y391" s="586"/>
      <c r="Z391" s="586"/>
      <c r="AA391" s="586"/>
      <c r="AB391" s="586"/>
      <c r="AC391" s="586"/>
      <c r="AD391" s="586"/>
      <c r="AE391" s="586"/>
      <c r="AF391" s="586"/>
      <c r="AG391" s="586"/>
      <c r="AH391" s="586"/>
      <c r="AI391" s="586"/>
      <c r="AJ391" s="586"/>
      <c r="AK391" s="586"/>
      <c r="AL391" s="586"/>
      <c r="AM391" s="586"/>
      <c r="AN391" s="586"/>
      <c r="AO391" s="586"/>
      <c r="AP391" s="586"/>
      <c r="AQ391" s="586"/>
      <c r="AR391" s="586"/>
      <c r="AS391" s="586"/>
      <c r="AT391" s="586"/>
      <c r="AU391" s="586"/>
      <c r="AV391" s="586"/>
      <c r="AW391" s="586"/>
      <c r="AX391" s="586"/>
      <c r="AY391" s="586"/>
      <c r="AZ391" s="586"/>
      <c r="BA391" s="586"/>
      <c r="BB391" s="586"/>
      <c r="BC391" s="574"/>
    </row>
    <row r="392" spans="1:55" s="466" customFormat="1" hidden="1">
      <c r="A392" s="300"/>
      <c r="B392" s="468"/>
      <c r="D392" s="470"/>
      <c r="E392" s="569"/>
      <c r="F392" s="570"/>
      <c r="G392" s="263"/>
      <c r="H392" s="263"/>
      <c r="I392" s="263"/>
      <c r="J392" s="263"/>
      <c r="K392" s="263"/>
      <c r="L392" s="263"/>
      <c r="M392" s="263"/>
      <c r="N392" s="263"/>
      <c r="O392" s="263"/>
      <c r="P392" s="263"/>
      <c r="Q392" s="263"/>
      <c r="R392" s="263"/>
      <c r="S392" s="263"/>
      <c r="T392" s="263"/>
      <c r="U392" s="263"/>
      <c r="V392" s="586"/>
      <c r="W392" s="586"/>
      <c r="X392" s="586"/>
      <c r="Y392" s="586"/>
      <c r="Z392" s="586"/>
      <c r="AA392" s="586"/>
      <c r="AB392" s="586"/>
      <c r="AC392" s="586"/>
      <c r="AD392" s="586"/>
      <c r="AE392" s="586"/>
      <c r="AF392" s="586"/>
      <c r="AG392" s="586"/>
      <c r="AH392" s="586"/>
      <c r="AI392" s="586"/>
      <c r="AJ392" s="586"/>
      <c r="AK392" s="586"/>
      <c r="AL392" s="586"/>
      <c r="AM392" s="586"/>
      <c r="AN392" s="586"/>
      <c r="AO392" s="586"/>
      <c r="AP392" s="586"/>
      <c r="AQ392" s="586"/>
      <c r="AR392" s="586"/>
      <c r="AS392" s="586"/>
      <c r="AT392" s="586"/>
      <c r="AU392" s="586"/>
      <c r="AV392" s="586"/>
      <c r="AW392" s="586"/>
      <c r="AX392" s="586"/>
      <c r="AY392" s="586"/>
      <c r="AZ392" s="586"/>
      <c r="BA392" s="586"/>
      <c r="BB392" s="586"/>
      <c r="BC392" s="574"/>
    </row>
    <row r="393" spans="1:55" s="466" customFormat="1" hidden="1">
      <c r="A393" s="300"/>
      <c r="B393" s="571"/>
      <c r="G393" s="263"/>
      <c r="H393" s="263"/>
      <c r="I393" s="263"/>
      <c r="J393" s="263"/>
      <c r="K393" s="263"/>
      <c r="L393" s="263"/>
      <c r="M393" s="263"/>
      <c r="N393" s="263"/>
      <c r="O393" s="263"/>
      <c r="P393" s="263"/>
      <c r="Q393" s="263"/>
      <c r="R393" s="263"/>
      <c r="S393" s="263"/>
      <c r="T393" s="263"/>
      <c r="U393" s="263"/>
      <c r="V393" s="586"/>
      <c r="W393" s="586"/>
      <c r="X393" s="586"/>
      <c r="Y393" s="586"/>
      <c r="Z393" s="586"/>
      <c r="AA393" s="586"/>
      <c r="AB393" s="586"/>
      <c r="AC393" s="586"/>
      <c r="AD393" s="586"/>
      <c r="AE393" s="586"/>
      <c r="AF393" s="586"/>
      <c r="AG393" s="586"/>
      <c r="AH393" s="586"/>
      <c r="AI393" s="586"/>
      <c r="AJ393" s="586"/>
      <c r="AK393" s="586"/>
      <c r="AL393" s="586"/>
      <c r="AM393" s="586"/>
      <c r="AN393" s="586"/>
      <c r="AO393" s="586"/>
      <c r="AP393" s="586"/>
      <c r="AQ393" s="586"/>
      <c r="AR393" s="586"/>
      <c r="AS393" s="586"/>
      <c r="AT393" s="586"/>
      <c r="AU393" s="586"/>
      <c r="AV393" s="586"/>
      <c r="AW393" s="586"/>
      <c r="AX393" s="586"/>
      <c r="AY393" s="586"/>
      <c r="AZ393" s="586"/>
      <c r="BA393" s="586"/>
      <c r="BB393" s="586"/>
      <c r="BC393" s="574"/>
    </row>
    <row r="394" spans="1:55" s="466" customFormat="1" hidden="1">
      <c r="G394" s="263"/>
      <c r="H394" s="263"/>
      <c r="I394" s="263"/>
      <c r="J394" s="263"/>
      <c r="K394" s="263"/>
      <c r="L394" s="263"/>
      <c r="M394" s="263"/>
      <c r="N394" s="263"/>
      <c r="O394" s="263"/>
      <c r="P394" s="263"/>
      <c r="Q394" s="263"/>
      <c r="R394" s="263"/>
      <c r="S394" s="263"/>
      <c r="T394" s="263"/>
      <c r="U394" s="263"/>
      <c r="V394" s="586"/>
      <c r="W394" s="586"/>
      <c r="X394" s="586"/>
      <c r="Y394" s="586"/>
      <c r="Z394" s="586"/>
      <c r="AA394" s="586"/>
      <c r="AB394" s="586"/>
      <c r="AC394" s="586"/>
      <c r="AD394" s="586"/>
      <c r="AE394" s="586"/>
      <c r="AF394" s="586"/>
      <c r="AG394" s="586"/>
      <c r="AH394" s="586"/>
      <c r="AI394" s="586"/>
      <c r="AJ394" s="586"/>
      <c r="AK394" s="586"/>
      <c r="AL394" s="586"/>
      <c r="AM394" s="586"/>
      <c r="AN394" s="586"/>
      <c r="AO394" s="586"/>
      <c r="AP394" s="586"/>
      <c r="AQ394" s="586"/>
      <c r="AR394" s="586"/>
      <c r="AS394" s="586"/>
      <c r="AT394" s="586"/>
      <c r="AU394" s="586"/>
      <c r="AV394" s="586"/>
      <c r="AW394" s="586"/>
      <c r="AX394" s="586"/>
      <c r="AY394" s="586"/>
      <c r="AZ394" s="586"/>
      <c r="BA394" s="586"/>
      <c r="BB394" s="586"/>
      <c r="BC394" s="574"/>
    </row>
    <row r="395" spans="1:55" s="466" customFormat="1" hidden="1">
      <c r="A395" s="300"/>
      <c r="B395" s="468"/>
      <c r="D395" s="470"/>
      <c r="E395" s="569"/>
      <c r="F395" s="570"/>
      <c r="G395" s="263"/>
      <c r="H395" s="263"/>
      <c r="I395" s="263"/>
      <c r="J395" s="263"/>
      <c r="K395" s="263"/>
      <c r="L395" s="263"/>
      <c r="M395" s="263"/>
      <c r="N395" s="263"/>
      <c r="O395" s="263"/>
      <c r="P395" s="263"/>
      <c r="Q395" s="263"/>
      <c r="R395" s="263"/>
      <c r="S395" s="263"/>
      <c r="T395" s="263"/>
      <c r="U395" s="263"/>
      <c r="V395" s="586"/>
      <c r="W395" s="586"/>
      <c r="X395" s="586"/>
      <c r="Y395" s="586"/>
      <c r="Z395" s="586"/>
      <c r="AA395" s="586"/>
      <c r="AB395" s="586"/>
      <c r="AC395" s="586"/>
      <c r="AD395" s="586"/>
      <c r="AE395" s="586"/>
      <c r="AF395" s="586"/>
      <c r="AG395" s="586"/>
      <c r="AH395" s="586"/>
      <c r="AI395" s="586"/>
      <c r="AJ395" s="586"/>
      <c r="AK395" s="586"/>
      <c r="AL395" s="586"/>
      <c r="AM395" s="586"/>
      <c r="AN395" s="586"/>
      <c r="AO395" s="586"/>
      <c r="AP395" s="586"/>
      <c r="AQ395" s="586"/>
      <c r="AR395" s="586"/>
      <c r="AS395" s="586"/>
      <c r="AT395" s="586"/>
      <c r="AU395" s="586"/>
      <c r="AV395" s="586"/>
      <c r="AW395" s="586"/>
      <c r="AX395" s="586"/>
      <c r="AY395" s="586"/>
      <c r="AZ395" s="586"/>
      <c r="BA395" s="586"/>
      <c r="BB395" s="586"/>
      <c r="BC395" s="574"/>
    </row>
    <row r="396" spans="1:55" s="466" customFormat="1" hidden="1">
      <c r="A396" s="300"/>
      <c r="B396" s="571"/>
      <c r="G396" s="263"/>
      <c r="H396" s="263"/>
      <c r="I396" s="263"/>
      <c r="J396" s="263"/>
      <c r="K396" s="263"/>
      <c r="L396" s="263"/>
      <c r="M396" s="263"/>
      <c r="N396" s="263"/>
      <c r="O396" s="263"/>
      <c r="P396" s="263"/>
      <c r="Q396" s="263"/>
      <c r="R396" s="263"/>
      <c r="S396" s="263"/>
      <c r="T396" s="263"/>
      <c r="U396" s="263"/>
      <c r="V396" s="586"/>
      <c r="W396" s="586"/>
      <c r="X396" s="586"/>
      <c r="Y396" s="586"/>
      <c r="Z396" s="586"/>
      <c r="AA396" s="586"/>
      <c r="AB396" s="586"/>
      <c r="AC396" s="586"/>
      <c r="AD396" s="586"/>
      <c r="AE396" s="586"/>
      <c r="AF396" s="586"/>
      <c r="AG396" s="586"/>
      <c r="AH396" s="586"/>
      <c r="AI396" s="586"/>
      <c r="AJ396" s="586"/>
      <c r="AK396" s="586"/>
      <c r="AL396" s="586"/>
      <c r="AM396" s="586"/>
      <c r="AN396" s="586"/>
      <c r="AO396" s="586"/>
      <c r="AP396" s="586"/>
      <c r="AQ396" s="586"/>
      <c r="AR396" s="586"/>
      <c r="AS396" s="586"/>
      <c r="AT396" s="586"/>
      <c r="AU396" s="586"/>
      <c r="AV396" s="586"/>
      <c r="AW396" s="586"/>
      <c r="AX396" s="586"/>
      <c r="AY396" s="586"/>
      <c r="AZ396" s="586"/>
      <c r="BA396" s="586"/>
      <c r="BB396" s="586"/>
      <c r="BC396" s="574"/>
    </row>
    <row r="397" spans="1:55" s="466" customFormat="1" hidden="1">
      <c r="G397" s="263"/>
      <c r="H397" s="263"/>
      <c r="I397" s="263"/>
      <c r="J397" s="263"/>
      <c r="K397" s="263"/>
      <c r="L397" s="263"/>
      <c r="M397" s="263"/>
      <c r="N397" s="263"/>
      <c r="O397" s="263"/>
      <c r="P397" s="263"/>
      <c r="Q397" s="263"/>
      <c r="R397" s="263"/>
      <c r="S397" s="263"/>
      <c r="T397" s="263"/>
      <c r="U397" s="263"/>
      <c r="V397" s="586"/>
      <c r="W397" s="586"/>
      <c r="X397" s="586"/>
      <c r="Y397" s="586"/>
      <c r="Z397" s="586"/>
      <c r="AA397" s="586"/>
      <c r="AB397" s="586"/>
      <c r="AC397" s="586"/>
      <c r="AD397" s="586"/>
      <c r="AE397" s="586"/>
      <c r="AF397" s="586"/>
      <c r="AG397" s="586"/>
      <c r="AH397" s="586"/>
      <c r="AI397" s="586"/>
      <c r="AJ397" s="586"/>
      <c r="AK397" s="586"/>
      <c r="AL397" s="586"/>
      <c r="AM397" s="586"/>
      <c r="AN397" s="586"/>
      <c r="AO397" s="586"/>
      <c r="AP397" s="586"/>
      <c r="AQ397" s="586"/>
      <c r="AR397" s="586"/>
      <c r="AS397" s="586"/>
      <c r="AT397" s="586"/>
      <c r="AU397" s="586"/>
      <c r="AV397" s="586"/>
      <c r="AW397" s="586"/>
      <c r="AX397" s="586"/>
      <c r="AY397" s="586"/>
      <c r="AZ397" s="586"/>
      <c r="BA397" s="586"/>
      <c r="BB397" s="586"/>
      <c r="BC397" s="574"/>
    </row>
    <row r="398" spans="1:55" s="466" customFormat="1" hidden="1">
      <c r="A398" s="300"/>
      <c r="B398" s="468"/>
      <c r="D398" s="470"/>
      <c r="E398" s="569"/>
      <c r="F398" s="570"/>
      <c r="G398" s="263"/>
      <c r="H398" s="263"/>
      <c r="I398" s="263"/>
      <c r="J398" s="263"/>
      <c r="K398" s="263"/>
      <c r="L398" s="263"/>
      <c r="M398" s="263"/>
      <c r="N398" s="263"/>
      <c r="O398" s="263"/>
      <c r="P398" s="263"/>
      <c r="Q398" s="263"/>
      <c r="R398" s="263"/>
      <c r="S398" s="263"/>
      <c r="T398" s="263"/>
      <c r="U398" s="263"/>
      <c r="V398" s="586"/>
      <c r="W398" s="586"/>
      <c r="X398" s="586"/>
      <c r="Y398" s="586"/>
      <c r="Z398" s="586"/>
      <c r="AA398" s="586"/>
      <c r="AB398" s="586"/>
      <c r="AC398" s="586"/>
      <c r="AD398" s="586"/>
      <c r="AE398" s="586"/>
      <c r="AF398" s="586"/>
      <c r="AG398" s="586"/>
      <c r="AH398" s="586"/>
      <c r="AI398" s="586"/>
      <c r="AJ398" s="586"/>
      <c r="AK398" s="586"/>
      <c r="AL398" s="586"/>
      <c r="AM398" s="586"/>
      <c r="AN398" s="586"/>
      <c r="AO398" s="586"/>
      <c r="AP398" s="586"/>
      <c r="AQ398" s="586"/>
      <c r="AR398" s="586"/>
      <c r="AS398" s="586"/>
      <c r="AT398" s="586"/>
      <c r="AU398" s="586"/>
      <c r="AV398" s="586"/>
      <c r="AW398" s="586"/>
      <c r="AX398" s="586"/>
      <c r="AY398" s="586"/>
      <c r="AZ398" s="586"/>
      <c r="BA398" s="586"/>
      <c r="BB398" s="586"/>
      <c r="BC398" s="574"/>
    </row>
    <row r="399" spans="1:55" s="466" customFormat="1" hidden="1">
      <c r="A399" s="300"/>
      <c r="B399" s="571"/>
      <c r="G399" s="263"/>
      <c r="H399" s="263"/>
      <c r="I399" s="263"/>
      <c r="J399" s="263"/>
      <c r="K399" s="263"/>
      <c r="L399" s="263"/>
      <c r="M399" s="263"/>
      <c r="N399" s="263"/>
      <c r="O399" s="263"/>
      <c r="P399" s="263"/>
      <c r="Q399" s="263"/>
      <c r="R399" s="263"/>
      <c r="S399" s="263"/>
      <c r="T399" s="263"/>
      <c r="U399" s="263"/>
      <c r="V399" s="586"/>
      <c r="W399" s="586"/>
      <c r="X399" s="586"/>
      <c r="Y399" s="586"/>
      <c r="Z399" s="586"/>
      <c r="AA399" s="586"/>
      <c r="AB399" s="586"/>
      <c r="AC399" s="586"/>
      <c r="AD399" s="586"/>
      <c r="AE399" s="586"/>
      <c r="AF399" s="586"/>
      <c r="AG399" s="586"/>
      <c r="AH399" s="586"/>
      <c r="AI399" s="586"/>
      <c r="AJ399" s="586"/>
      <c r="AK399" s="586"/>
      <c r="AL399" s="586"/>
      <c r="AM399" s="586"/>
      <c r="AN399" s="586"/>
      <c r="AO399" s="586"/>
      <c r="AP399" s="586"/>
      <c r="AQ399" s="586"/>
      <c r="AR399" s="586"/>
      <c r="AS399" s="586"/>
      <c r="AT399" s="586"/>
      <c r="AU399" s="586"/>
      <c r="AV399" s="586"/>
      <c r="AW399" s="586"/>
      <c r="AX399" s="586"/>
      <c r="AY399" s="586"/>
      <c r="AZ399" s="586"/>
      <c r="BA399" s="586"/>
      <c r="BB399" s="586"/>
      <c r="BC399" s="574"/>
    </row>
    <row r="400" spans="1:55" s="466" customFormat="1" hidden="1">
      <c r="G400" s="263"/>
      <c r="H400" s="263"/>
      <c r="I400" s="263"/>
      <c r="J400" s="263"/>
      <c r="K400" s="263"/>
      <c r="L400" s="263"/>
      <c r="M400" s="263"/>
      <c r="N400" s="263"/>
      <c r="O400" s="263"/>
      <c r="P400" s="263"/>
      <c r="Q400" s="263"/>
      <c r="R400" s="263"/>
      <c r="S400" s="263"/>
      <c r="T400" s="263"/>
      <c r="U400" s="263"/>
      <c r="V400" s="586"/>
      <c r="W400" s="586"/>
      <c r="X400" s="586"/>
      <c r="Y400" s="586"/>
      <c r="Z400" s="586"/>
      <c r="AA400" s="586"/>
      <c r="AB400" s="586"/>
      <c r="AC400" s="586"/>
      <c r="AD400" s="586"/>
      <c r="AE400" s="586"/>
      <c r="AF400" s="586"/>
      <c r="AG400" s="586"/>
      <c r="AH400" s="586"/>
      <c r="AI400" s="586"/>
      <c r="AJ400" s="586"/>
      <c r="AK400" s="586"/>
      <c r="AL400" s="586"/>
      <c r="AM400" s="586"/>
      <c r="AN400" s="586"/>
      <c r="AO400" s="586"/>
      <c r="AP400" s="586"/>
      <c r="AQ400" s="586"/>
      <c r="AR400" s="586"/>
      <c r="AS400" s="586"/>
      <c r="AT400" s="586"/>
      <c r="AU400" s="586"/>
      <c r="AV400" s="586"/>
      <c r="AW400" s="586"/>
      <c r="AX400" s="586"/>
      <c r="AY400" s="586"/>
      <c r="AZ400" s="586"/>
      <c r="BA400" s="586"/>
      <c r="BB400" s="586"/>
      <c r="BC400" s="574"/>
    </row>
    <row r="401" spans="1:55" s="466" customFormat="1" hidden="1">
      <c r="A401" s="300"/>
      <c r="B401" s="468"/>
      <c r="D401" s="470"/>
      <c r="E401" s="569"/>
      <c r="F401" s="570"/>
      <c r="G401" s="263"/>
      <c r="H401" s="263"/>
      <c r="I401" s="263"/>
      <c r="J401" s="263"/>
      <c r="K401" s="263"/>
      <c r="L401" s="263"/>
      <c r="M401" s="263"/>
      <c r="N401" s="263"/>
      <c r="O401" s="263"/>
      <c r="P401" s="263"/>
      <c r="Q401" s="263"/>
      <c r="R401" s="263"/>
      <c r="S401" s="263"/>
      <c r="T401" s="263"/>
      <c r="U401" s="263"/>
      <c r="V401" s="586"/>
      <c r="W401" s="586"/>
      <c r="X401" s="586"/>
      <c r="Y401" s="586"/>
      <c r="Z401" s="586"/>
      <c r="AA401" s="586"/>
      <c r="AB401" s="586"/>
      <c r="AC401" s="586"/>
      <c r="AD401" s="586"/>
      <c r="AE401" s="586"/>
      <c r="AF401" s="586"/>
      <c r="AG401" s="586"/>
      <c r="AH401" s="586"/>
      <c r="AI401" s="586"/>
      <c r="AJ401" s="586"/>
      <c r="AK401" s="586"/>
      <c r="AL401" s="586"/>
      <c r="AM401" s="586"/>
      <c r="AN401" s="586"/>
      <c r="AO401" s="586"/>
      <c r="AP401" s="586"/>
      <c r="AQ401" s="586"/>
      <c r="AR401" s="586"/>
      <c r="AS401" s="586"/>
      <c r="AT401" s="586"/>
      <c r="AU401" s="586"/>
      <c r="AV401" s="586"/>
      <c r="AW401" s="586"/>
      <c r="AX401" s="586"/>
      <c r="AY401" s="586"/>
      <c r="AZ401" s="586"/>
      <c r="BA401" s="586"/>
      <c r="BB401" s="586"/>
      <c r="BC401" s="574"/>
    </row>
    <row r="402" spans="1:55" s="466" customFormat="1" hidden="1">
      <c r="A402" s="300"/>
      <c r="B402" s="571"/>
      <c r="G402" s="263"/>
      <c r="H402" s="263"/>
      <c r="I402" s="263"/>
      <c r="J402" s="263"/>
      <c r="K402" s="263"/>
      <c r="L402" s="263"/>
      <c r="M402" s="263"/>
      <c r="N402" s="263"/>
      <c r="O402" s="263"/>
      <c r="P402" s="263"/>
      <c r="Q402" s="263"/>
      <c r="R402" s="263"/>
      <c r="S402" s="263"/>
      <c r="T402" s="263"/>
      <c r="U402" s="263"/>
      <c r="V402" s="586"/>
      <c r="W402" s="586"/>
      <c r="X402" s="586"/>
      <c r="Y402" s="586"/>
      <c r="Z402" s="586"/>
      <c r="AA402" s="586"/>
      <c r="AB402" s="586"/>
      <c r="AC402" s="586"/>
      <c r="AD402" s="586"/>
      <c r="AE402" s="586"/>
      <c r="AF402" s="586"/>
      <c r="AG402" s="586"/>
      <c r="AH402" s="586"/>
      <c r="AI402" s="586"/>
      <c r="AJ402" s="586"/>
      <c r="AK402" s="586"/>
      <c r="AL402" s="586"/>
      <c r="AM402" s="586"/>
      <c r="AN402" s="586"/>
      <c r="AO402" s="586"/>
      <c r="AP402" s="586"/>
      <c r="AQ402" s="586"/>
      <c r="AR402" s="586"/>
      <c r="AS402" s="586"/>
      <c r="AT402" s="586"/>
      <c r="AU402" s="586"/>
      <c r="AV402" s="586"/>
      <c r="AW402" s="586"/>
      <c r="AX402" s="586"/>
      <c r="AY402" s="586"/>
      <c r="AZ402" s="586"/>
      <c r="BA402" s="586"/>
      <c r="BB402" s="586"/>
      <c r="BC402" s="574"/>
    </row>
    <row r="403" spans="1:55" s="466" customFormat="1" hidden="1">
      <c r="G403" s="263"/>
      <c r="H403" s="263"/>
      <c r="I403" s="263"/>
      <c r="J403" s="263"/>
      <c r="K403" s="263"/>
      <c r="L403" s="263"/>
      <c r="M403" s="263"/>
      <c r="N403" s="263"/>
      <c r="O403" s="263"/>
      <c r="P403" s="263"/>
      <c r="Q403" s="263"/>
      <c r="R403" s="263"/>
      <c r="S403" s="263"/>
      <c r="T403" s="263"/>
      <c r="U403" s="263"/>
      <c r="V403" s="586"/>
      <c r="W403" s="586"/>
      <c r="X403" s="586"/>
      <c r="Y403" s="586"/>
      <c r="Z403" s="586"/>
      <c r="AA403" s="586"/>
      <c r="AB403" s="586"/>
      <c r="AC403" s="586"/>
      <c r="AD403" s="586"/>
      <c r="AE403" s="586"/>
      <c r="AF403" s="586"/>
      <c r="AG403" s="586"/>
      <c r="AH403" s="586"/>
      <c r="AI403" s="586"/>
      <c r="AJ403" s="586"/>
      <c r="AK403" s="586"/>
      <c r="AL403" s="586"/>
      <c r="AM403" s="586"/>
      <c r="AN403" s="586"/>
      <c r="AO403" s="586"/>
      <c r="AP403" s="586"/>
      <c r="AQ403" s="586"/>
      <c r="AR403" s="586"/>
      <c r="AS403" s="586"/>
      <c r="AT403" s="586"/>
      <c r="AU403" s="586"/>
      <c r="AV403" s="586"/>
      <c r="AW403" s="586"/>
      <c r="AX403" s="586"/>
      <c r="AY403" s="586"/>
      <c r="AZ403" s="586"/>
      <c r="BA403" s="586"/>
      <c r="BB403" s="586"/>
      <c r="BC403" s="574"/>
    </row>
    <row r="404" spans="1:55" s="466" customFormat="1" hidden="1">
      <c r="A404" s="300"/>
      <c r="B404" s="468"/>
      <c r="D404" s="470"/>
      <c r="E404" s="569"/>
      <c r="F404" s="570"/>
      <c r="G404" s="263"/>
      <c r="H404" s="263"/>
      <c r="I404" s="263"/>
      <c r="J404" s="263"/>
      <c r="K404" s="263"/>
      <c r="L404" s="263"/>
      <c r="M404" s="263"/>
      <c r="N404" s="263"/>
      <c r="O404" s="263"/>
      <c r="P404" s="263"/>
      <c r="Q404" s="263"/>
      <c r="R404" s="263"/>
      <c r="S404" s="263"/>
      <c r="T404" s="263"/>
      <c r="U404" s="263"/>
      <c r="V404" s="586"/>
      <c r="W404" s="586"/>
      <c r="X404" s="586"/>
      <c r="Y404" s="586"/>
      <c r="Z404" s="586"/>
      <c r="AA404" s="586"/>
      <c r="AB404" s="586"/>
      <c r="AC404" s="586"/>
      <c r="AD404" s="586"/>
      <c r="AE404" s="586"/>
      <c r="AF404" s="586"/>
      <c r="AG404" s="586"/>
      <c r="AH404" s="586"/>
      <c r="AI404" s="586"/>
      <c r="AJ404" s="586"/>
      <c r="AK404" s="586"/>
      <c r="AL404" s="586"/>
      <c r="AM404" s="586"/>
      <c r="AN404" s="586"/>
      <c r="AO404" s="586"/>
      <c r="AP404" s="586"/>
      <c r="AQ404" s="586"/>
      <c r="AR404" s="586"/>
      <c r="AS404" s="586"/>
      <c r="AT404" s="586"/>
      <c r="AU404" s="586"/>
      <c r="AV404" s="586"/>
      <c r="AW404" s="586"/>
      <c r="AX404" s="586"/>
      <c r="AY404" s="586"/>
      <c r="AZ404" s="586"/>
      <c r="BA404" s="586"/>
      <c r="BB404" s="586"/>
      <c r="BC404" s="574"/>
    </row>
    <row r="405" spans="1:55" s="466" customFormat="1" hidden="1">
      <c r="A405" s="300"/>
      <c r="B405" s="571"/>
      <c r="G405" s="263"/>
      <c r="H405" s="263"/>
      <c r="I405" s="263"/>
      <c r="J405" s="263"/>
      <c r="K405" s="263"/>
      <c r="L405" s="263"/>
      <c r="M405" s="263"/>
      <c r="N405" s="263"/>
      <c r="O405" s="263"/>
      <c r="P405" s="263"/>
      <c r="Q405" s="263"/>
      <c r="R405" s="263"/>
      <c r="S405" s="263"/>
      <c r="T405" s="263"/>
      <c r="U405" s="263"/>
      <c r="V405" s="586"/>
      <c r="W405" s="586"/>
      <c r="X405" s="586"/>
      <c r="Y405" s="586"/>
      <c r="Z405" s="586"/>
      <c r="AA405" s="586"/>
      <c r="AB405" s="586"/>
      <c r="AC405" s="586"/>
      <c r="AD405" s="586"/>
      <c r="AE405" s="586"/>
      <c r="AF405" s="586"/>
      <c r="AG405" s="586"/>
      <c r="AH405" s="586"/>
      <c r="AI405" s="586"/>
      <c r="AJ405" s="586"/>
      <c r="AK405" s="586"/>
      <c r="AL405" s="586"/>
      <c r="AM405" s="586"/>
      <c r="AN405" s="586"/>
      <c r="AO405" s="586"/>
      <c r="AP405" s="586"/>
      <c r="AQ405" s="586"/>
      <c r="AR405" s="586"/>
      <c r="AS405" s="586"/>
      <c r="AT405" s="586"/>
      <c r="AU405" s="586"/>
      <c r="AV405" s="586"/>
      <c r="AW405" s="586"/>
      <c r="AX405" s="586"/>
      <c r="AY405" s="586"/>
      <c r="AZ405" s="586"/>
      <c r="BA405" s="586"/>
      <c r="BB405" s="586"/>
      <c r="BC405" s="574"/>
    </row>
    <row r="406" spans="1:55" s="466" customFormat="1" hidden="1">
      <c r="G406" s="263"/>
      <c r="H406" s="263"/>
      <c r="I406" s="263"/>
      <c r="J406" s="263"/>
      <c r="K406" s="263"/>
      <c r="L406" s="263"/>
      <c r="M406" s="263"/>
      <c r="N406" s="263"/>
      <c r="O406" s="263"/>
      <c r="P406" s="263"/>
      <c r="Q406" s="263"/>
      <c r="R406" s="263"/>
      <c r="S406" s="263"/>
      <c r="T406" s="263"/>
      <c r="U406" s="263"/>
      <c r="V406" s="586"/>
      <c r="W406" s="586"/>
      <c r="X406" s="586"/>
      <c r="Y406" s="586"/>
      <c r="Z406" s="586"/>
      <c r="AA406" s="586"/>
      <c r="AB406" s="586"/>
      <c r="AC406" s="586"/>
      <c r="AD406" s="586"/>
      <c r="AE406" s="586"/>
      <c r="AF406" s="586"/>
      <c r="AG406" s="586"/>
      <c r="AH406" s="586"/>
      <c r="AI406" s="586"/>
      <c r="AJ406" s="586"/>
      <c r="AK406" s="586"/>
      <c r="AL406" s="586"/>
      <c r="AM406" s="586"/>
      <c r="AN406" s="586"/>
      <c r="AO406" s="586"/>
      <c r="AP406" s="586"/>
      <c r="AQ406" s="586"/>
      <c r="AR406" s="586"/>
      <c r="AS406" s="586"/>
      <c r="AT406" s="586"/>
      <c r="AU406" s="586"/>
      <c r="AV406" s="586"/>
      <c r="AW406" s="586"/>
      <c r="AX406" s="586"/>
      <c r="AY406" s="586"/>
      <c r="AZ406" s="586"/>
      <c r="BA406" s="586"/>
      <c r="BB406" s="586"/>
      <c r="BC406" s="574"/>
    </row>
    <row r="407" spans="1:55" s="466" customFormat="1" hidden="1">
      <c r="A407" s="300"/>
      <c r="B407" s="468"/>
      <c r="D407" s="470"/>
      <c r="E407" s="569"/>
      <c r="F407" s="570"/>
      <c r="G407" s="263"/>
      <c r="H407" s="263"/>
      <c r="I407" s="263"/>
      <c r="J407" s="263"/>
      <c r="K407" s="263"/>
      <c r="L407" s="263"/>
      <c r="M407" s="263"/>
      <c r="N407" s="263"/>
      <c r="O407" s="263"/>
      <c r="P407" s="263"/>
      <c r="Q407" s="263"/>
      <c r="R407" s="263"/>
      <c r="S407" s="263"/>
      <c r="T407" s="263"/>
      <c r="U407" s="263"/>
      <c r="V407" s="586"/>
      <c r="W407" s="586"/>
      <c r="X407" s="586"/>
      <c r="Y407" s="586"/>
      <c r="Z407" s="586"/>
      <c r="AA407" s="586"/>
      <c r="AB407" s="586"/>
      <c r="AC407" s="586"/>
      <c r="AD407" s="586"/>
      <c r="AE407" s="586"/>
      <c r="AF407" s="586"/>
      <c r="AG407" s="586"/>
      <c r="AH407" s="586"/>
      <c r="AI407" s="586"/>
      <c r="AJ407" s="586"/>
      <c r="AK407" s="586"/>
      <c r="AL407" s="586"/>
      <c r="AM407" s="586"/>
      <c r="AN407" s="586"/>
      <c r="AO407" s="586"/>
      <c r="AP407" s="586"/>
      <c r="AQ407" s="586"/>
      <c r="AR407" s="586"/>
      <c r="AS407" s="586"/>
      <c r="AT407" s="586"/>
      <c r="AU407" s="586"/>
      <c r="AV407" s="586"/>
      <c r="AW407" s="586"/>
      <c r="AX407" s="586"/>
      <c r="AY407" s="586"/>
      <c r="AZ407" s="586"/>
      <c r="BA407" s="586"/>
      <c r="BB407" s="586"/>
      <c r="BC407" s="574"/>
    </row>
    <row r="408" spans="1:55" s="466" customFormat="1" hidden="1">
      <c r="A408" s="300"/>
      <c r="B408" s="571"/>
      <c r="G408" s="263"/>
      <c r="H408" s="263"/>
      <c r="I408" s="263"/>
      <c r="J408" s="263"/>
      <c r="K408" s="263"/>
      <c r="L408" s="263"/>
      <c r="M408" s="263"/>
      <c r="N408" s="263"/>
      <c r="O408" s="263"/>
      <c r="P408" s="263"/>
      <c r="Q408" s="263"/>
      <c r="R408" s="263"/>
      <c r="S408" s="263"/>
      <c r="T408" s="263"/>
      <c r="U408" s="263"/>
      <c r="V408" s="586"/>
      <c r="W408" s="586"/>
      <c r="X408" s="586"/>
      <c r="Y408" s="586"/>
      <c r="Z408" s="586"/>
      <c r="AA408" s="586"/>
      <c r="AB408" s="586"/>
      <c r="AC408" s="586"/>
      <c r="AD408" s="586"/>
      <c r="AE408" s="586"/>
      <c r="AF408" s="586"/>
      <c r="AG408" s="586"/>
      <c r="AH408" s="586"/>
      <c r="AI408" s="586"/>
      <c r="AJ408" s="586"/>
      <c r="AK408" s="586"/>
      <c r="AL408" s="586"/>
      <c r="AM408" s="586"/>
      <c r="AN408" s="586"/>
      <c r="AO408" s="586"/>
      <c r="AP408" s="586"/>
      <c r="AQ408" s="586"/>
      <c r="AR408" s="586"/>
      <c r="AS408" s="586"/>
      <c r="AT408" s="586"/>
      <c r="AU408" s="586"/>
      <c r="AV408" s="586"/>
      <c r="AW408" s="586"/>
      <c r="AX408" s="586"/>
      <c r="AY408" s="586"/>
      <c r="AZ408" s="586"/>
      <c r="BA408" s="586"/>
      <c r="BB408" s="586"/>
      <c r="BC408" s="574"/>
    </row>
    <row r="409" spans="1:55" s="466" customFormat="1" hidden="1">
      <c r="G409" s="263"/>
      <c r="H409" s="263"/>
      <c r="I409" s="263"/>
      <c r="J409" s="263"/>
      <c r="K409" s="263"/>
      <c r="L409" s="263"/>
      <c r="M409" s="263"/>
      <c r="N409" s="263"/>
      <c r="O409" s="263"/>
      <c r="P409" s="263"/>
      <c r="Q409" s="263"/>
      <c r="R409" s="263"/>
      <c r="S409" s="263"/>
      <c r="T409" s="263"/>
      <c r="U409" s="263"/>
      <c r="V409" s="586"/>
      <c r="W409" s="586"/>
      <c r="X409" s="586"/>
      <c r="Y409" s="586"/>
      <c r="Z409" s="586"/>
      <c r="AA409" s="586"/>
      <c r="AB409" s="586"/>
      <c r="AC409" s="586"/>
      <c r="AD409" s="586"/>
      <c r="AE409" s="586"/>
      <c r="AF409" s="586"/>
      <c r="AG409" s="586"/>
      <c r="AH409" s="586"/>
      <c r="AI409" s="586"/>
      <c r="AJ409" s="586"/>
      <c r="AK409" s="586"/>
      <c r="AL409" s="586"/>
      <c r="AM409" s="586"/>
      <c r="AN409" s="586"/>
      <c r="AO409" s="586"/>
      <c r="AP409" s="586"/>
      <c r="AQ409" s="586"/>
      <c r="AR409" s="586"/>
      <c r="AS409" s="586"/>
      <c r="AT409" s="586"/>
      <c r="AU409" s="586"/>
      <c r="AV409" s="586"/>
      <c r="AW409" s="586"/>
      <c r="AX409" s="586"/>
      <c r="AY409" s="586"/>
      <c r="AZ409" s="586"/>
      <c r="BA409" s="586"/>
      <c r="BB409" s="586"/>
      <c r="BC409" s="574"/>
    </row>
    <row r="410" spans="1:55" s="466" customFormat="1" hidden="1">
      <c r="A410" s="300"/>
      <c r="B410" s="468"/>
      <c r="D410" s="470"/>
      <c r="E410" s="569"/>
      <c r="F410" s="570"/>
      <c r="G410" s="263"/>
      <c r="H410" s="263"/>
      <c r="I410" s="263"/>
      <c r="J410" s="263"/>
      <c r="K410" s="263"/>
      <c r="L410" s="263"/>
      <c r="M410" s="263"/>
      <c r="N410" s="263"/>
      <c r="O410" s="263"/>
      <c r="P410" s="263"/>
      <c r="Q410" s="263"/>
      <c r="R410" s="263"/>
      <c r="S410" s="263"/>
      <c r="T410" s="263"/>
      <c r="U410" s="263"/>
      <c r="V410" s="586"/>
      <c r="W410" s="586"/>
      <c r="X410" s="586"/>
      <c r="Y410" s="586"/>
      <c r="Z410" s="586"/>
      <c r="AA410" s="586"/>
      <c r="AB410" s="586"/>
      <c r="AC410" s="586"/>
      <c r="AD410" s="586"/>
      <c r="AE410" s="586"/>
      <c r="AF410" s="586"/>
      <c r="AG410" s="586"/>
      <c r="AH410" s="586"/>
      <c r="AI410" s="586"/>
      <c r="AJ410" s="586"/>
      <c r="AK410" s="586"/>
      <c r="AL410" s="586"/>
      <c r="AM410" s="586"/>
      <c r="AN410" s="586"/>
      <c r="AO410" s="586"/>
      <c r="AP410" s="586"/>
      <c r="AQ410" s="586"/>
      <c r="AR410" s="586"/>
      <c r="AS410" s="586"/>
      <c r="AT410" s="586"/>
      <c r="AU410" s="586"/>
      <c r="AV410" s="586"/>
      <c r="AW410" s="586"/>
      <c r="AX410" s="586"/>
      <c r="AY410" s="586"/>
      <c r="AZ410" s="586"/>
      <c r="BA410" s="586"/>
      <c r="BB410" s="586"/>
      <c r="BC410" s="574"/>
    </row>
    <row r="411" spans="1:55" s="466" customFormat="1" hidden="1">
      <c r="A411" s="300"/>
      <c r="B411" s="571"/>
      <c r="G411" s="263"/>
      <c r="H411" s="263"/>
      <c r="I411" s="263"/>
      <c r="J411" s="263"/>
      <c r="K411" s="263"/>
      <c r="L411" s="263"/>
      <c r="M411" s="263"/>
      <c r="N411" s="263"/>
      <c r="O411" s="263"/>
      <c r="P411" s="263"/>
      <c r="Q411" s="263"/>
      <c r="R411" s="263"/>
      <c r="S411" s="263"/>
      <c r="T411" s="263"/>
      <c r="U411" s="263"/>
      <c r="V411" s="586"/>
      <c r="W411" s="586"/>
      <c r="X411" s="586"/>
      <c r="Y411" s="586"/>
      <c r="Z411" s="586"/>
      <c r="AA411" s="586"/>
      <c r="AB411" s="586"/>
      <c r="AC411" s="586"/>
      <c r="AD411" s="586"/>
      <c r="AE411" s="586"/>
      <c r="AF411" s="586"/>
      <c r="AG411" s="586"/>
      <c r="AH411" s="586"/>
      <c r="AI411" s="586"/>
      <c r="AJ411" s="586"/>
      <c r="AK411" s="586"/>
      <c r="AL411" s="586"/>
      <c r="AM411" s="586"/>
      <c r="AN411" s="586"/>
      <c r="AO411" s="586"/>
      <c r="AP411" s="586"/>
      <c r="AQ411" s="586"/>
      <c r="AR411" s="586"/>
      <c r="AS411" s="586"/>
      <c r="AT411" s="586"/>
      <c r="AU411" s="586"/>
      <c r="AV411" s="586"/>
      <c r="AW411" s="586"/>
      <c r="AX411" s="586"/>
      <c r="AY411" s="586"/>
      <c r="AZ411" s="586"/>
      <c r="BA411" s="586"/>
      <c r="BB411" s="586"/>
      <c r="BC411" s="574"/>
    </row>
    <row r="412" spans="1:55" s="466" customFormat="1" hidden="1">
      <c r="G412" s="263"/>
      <c r="H412" s="263"/>
      <c r="I412" s="263"/>
      <c r="J412" s="263"/>
      <c r="K412" s="263"/>
      <c r="L412" s="263"/>
      <c r="M412" s="263"/>
      <c r="N412" s="263"/>
      <c r="O412" s="263"/>
      <c r="P412" s="263"/>
      <c r="Q412" s="263"/>
      <c r="R412" s="263"/>
      <c r="S412" s="263"/>
      <c r="T412" s="263"/>
      <c r="U412" s="263"/>
      <c r="V412" s="586"/>
      <c r="W412" s="586"/>
      <c r="X412" s="586"/>
      <c r="Y412" s="586"/>
      <c r="Z412" s="586"/>
      <c r="AA412" s="586"/>
      <c r="AB412" s="586"/>
      <c r="AC412" s="586"/>
      <c r="AD412" s="586"/>
      <c r="AE412" s="586"/>
      <c r="AF412" s="586"/>
      <c r="AG412" s="586"/>
      <c r="AH412" s="586"/>
      <c r="AI412" s="586"/>
      <c r="AJ412" s="586"/>
      <c r="AK412" s="586"/>
      <c r="AL412" s="586"/>
      <c r="AM412" s="586"/>
      <c r="AN412" s="586"/>
      <c r="AO412" s="586"/>
      <c r="AP412" s="586"/>
      <c r="AQ412" s="586"/>
      <c r="AR412" s="586"/>
      <c r="AS412" s="586"/>
      <c r="AT412" s="586"/>
      <c r="AU412" s="586"/>
      <c r="AV412" s="586"/>
      <c r="AW412" s="586"/>
      <c r="AX412" s="586"/>
      <c r="AY412" s="586"/>
      <c r="AZ412" s="586"/>
      <c r="BA412" s="586"/>
      <c r="BB412" s="586"/>
      <c r="BC412" s="574"/>
    </row>
    <row r="413" spans="1:55" s="466" customFormat="1" hidden="1">
      <c r="A413" s="300"/>
      <c r="B413" s="468"/>
      <c r="D413" s="470"/>
      <c r="E413" s="569"/>
      <c r="F413" s="570"/>
      <c r="G413" s="263"/>
      <c r="H413" s="263"/>
      <c r="I413" s="263"/>
      <c r="J413" s="263"/>
      <c r="K413" s="263"/>
      <c r="L413" s="263"/>
      <c r="M413" s="263"/>
      <c r="N413" s="263"/>
      <c r="O413" s="263"/>
      <c r="P413" s="263"/>
      <c r="Q413" s="263"/>
      <c r="R413" s="263"/>
      <c r="S413" s="263"/>
      <c r="T413" s="263"/>
      <c r="U413" s="263"/>
      <c r="V413" s="586"/>
      <c r="W413" s="586"/>
      <c r="X413" s="586"/>
      <c r="Y413" s="586"/>
      <c r="Z413" s="586"/>
      <c r="AA413" s="586"/>
      <c r="AB413" s="586"/>
      <c r="AC413" s="586"/>
      <c r="AD413" s="586"/>
      <c r="AE413" s="586"/>
      <c r="AF413" s="586"/>
      <c r="AG413" s="586"/>
      <c r="AH413" s="586"/>
      <c r="AI413" s="586"/>
      <c r="AJ413" s="586"/>
      <c r="AK413" s="586"/>
      <c r="AL413" s="586"/>
      <c r="AM413" s="586"/>
      <c r="AN413" s="586"/>
      <c r="AO413" s="586"/>
      <c r="AP413" s="586"/>
      <c r="AQ413" s="586"/>
      <c r="AR413" s="586"/>
      <c r="AS413" s="586"/>
      <c r="AT413" s="586"/>
      <c r="AU413" s="586"/>
      <c r="AV413" s="586"/>
      <c r="AW413" s="586"/>
      <c r="AX413" s="586"/>
      <c r="AY413" s="586"/>
      <c r="AZ413" s="586"/>
      <c r="BA413" s="586"/>
      <c r="BB413" s="586"/>
      <c r="BC413" s="574"/>
    </row>
    <row r="414" spans="1:55" s="466" customFormat="1" hidden="1">
      <c r="A414" s="300"/>
      <c r="B414" s="571"/>
      <c r="G414" s="263"/>
      <c r="H414" s="263"/>
      <c r="I414" s="263"/>
      <c r="J414" s="263"/>
      <c r="K414" s="263"/>
      <c r="L414" s="263"/>
      <c r="M414" s="263"/>
      <c r="N414" s="263"/>
      <c r="O414" s="263"/>
      <c r="P414" s="263"/>
      <c r="Q414" s="263"/>
      <c r="R414" s="263"/>
      <c r="S414" s="263"/>
      <c r="T414" s="263"/>
      <c r="U414" s="263"/>
      <c r="V414" s="586"/>
      <c r="W414" s="586"/>
      <c r="X414" s="586"/>
      <c r="Y414" s="586"/>
      <c r="Z414" s="586"/>
      <c r="AA414" s="586"/>
      <c r="AB414" s="586"/>
      <c r="AC414" s="586"/>
      <c r="AD414" s="586"/>
      <c r="AE414" s="586"/>
      <c r="AF414" s="586"/>
      <c r="AG414" s="586"/>
      <c r="AH414" s="586"/>
      <c r="AI414" s="586"/>
      <c r="AJ414" s="586"/>
      <c r="AK414" s="586"/>
      <c r="AL414" s="586"/>
      <c r="AM414" s="586"/>
      <c r="AN414" s="586"/>
      <c r="AO414" s="586"/>
      <c r="AP414" s="586"/>
      <c r="AQ414" s="586"/>
      <c r="AR414" s="586"/>
      <c r="AS414" s="586"/>
      <c r="AT414" s="586"/>
      <c r="AU414" s="586"/>
      <c r="AV414" s="586"/>
      <c r="AW414" s="586"/>
      <c r="AX414" s="586"/>
      <c r="AY414" s="586"/>
      <c r="AZ414" s="586"/>
      <c r="BA414" s="586"/>
      <c r="BB414" s="586"/>
      <c r="BC414" s="574"/>
    </row>
    <row r="415" spans="1:55" s="466" customFormat="1" hidden="1">
      <c r="G415" s="263"/>
      <c r="H415" s="263"/>
      <c r="I415" s="263"/>
      <c r="J415" s="263"/>
      <c r="K415" s="263"/>
      <c r="L415" s="263"/>
      <c r="M415" s="263"/>
      <c r="N415" s="263"/>
      <c r="O415" s="263"/>
      <c r="P415" s="263"/>
      <c r="Q415" s="263"/>
      <c r="R415" s="263"/>
      <c r="S415" s="263"/>
      <c r="T415" s="263"/>
      <c r="U415" s="263"/>
      <c r="V415" s="586"/>
      <c r="W415" s="586"/>
      <c r="X415" s="586"/>
      <c r="Y415" s="586"/>
      <c r="Z415" s="586"/>
      <c r="AA415" s="586"/>
      <c r="AB415" s="586"/>
      <c r="AC415" s="586"/>
      <c r="AD415" s="586"/>
      <c r="AE415" s="586"/>
      <c r="AF415" s="586"/>
      <c r="AG415" s="586"/>
      <c r="AH415" s="586"/>
      <c r="AI415" s="586"/>
      <c r="AJ415" s="586"/>
      <c r="AK415" s="586"/>
      <c r="AL415" s="586"/>
      <c r="AM415" s="586"/>
      <c r="AN415" s="586"/>
      <c r="AO415" s="586"/>
      <c r="AP415" s="586"/>
      <c r="AQ415" s="586"/>
      <c r="AR415" s="586"/>
      <c r="AS415" s="586"/>
      <c r="AT415" s="586"/>
      <c r="AU415" s="586"/>
      <c r="AV415" s="586"/>
      <c r="AW415" s="586"/>
      <c r="AX415" s="586"/>
      <c r="AY415" s="586"/>
      <c r="AZ415" s="586"/>
      <c r="BA415" s="586"/>
      <c r="BB415" s="586"/>
      <c r="BC415" s="574"/>
    </row>
    <row r="416" spans="1:55" s="466" customFormat="1" hidden="1">
      <c r="A416" s="300"/>
      <c r="B416" s="468"/>
      <c r="D416" s="470"/>
      <c r="E416" s="569"/>
      <c r="F416" s="570"/>
      <c r="G416" s="263"/>
      <c r="H416" s="263"/>
      <c r="I416" s="263"/>
      <c r="J416" s="263"/>
      <c r="K416" s="263"/>
      <c r="L416" s="263"/>
      <c r="M416" s="263"/>
      <c r="N416" s="263"/>
      <c r="O416" s="263"/>
      <c r="P416" s="263"/>
      <c r="Q416" s="263"/>
      <c r="R416" s="263"/>
      <c r="S416" s="263"/>
      <c r="T416" s="263"/>
      <c r="U416" s="263"/>
      <c r="V416" s="586"/>
      <c r="W416" s="586"/>
      <c r="X416" s="586"/>
      <c r="Y416" s="586"/>
      <c r="Z416" s="586"/>
      <c r="AA416" s="586"/>
      <c r="AB416" s="586"/>
      <c r="AC416" s="586"/>
      <c r="AD416" s="586"/>
      <c r="AE416" s="586"/>
      <c r="AF416" s="586"/>
      <c r="AG416" s="586"/>
      <c r="AH416" s="586"/>
      <c r="AI416" s="586"/>
      <c r="AJ416" s="586"/>
      <c r="AK416" s="586"/>
      <c r="AL416" s="586"/>
      <c r="AM416" s="586"/>
      <c r="AN416" s="586"/>
      <c r="AO416" s="586"/>
      <c r="AP416" s="586"/>
      <c r="AQ416" s="586"/>
      <c r="AR416" s="586"/>
      <c r="AS416" s="586"/>
      <c r="AT416" s="586"/>
      <c r="AU416" s="586"/>
      <c r="AV416" s="586"/>
      <c r="AW416" s="586"/>
      <c r="AX416" s="586"/>
      <c r="AY416" s="586"/>
      <c r="AZ416" s="586"/>
      <c r="BA416" s="586"/>
      <c r="BB416" s="586"/>
      <c r="BC416" s="574"/>
    </row>
    <row r="417" spans="1:55" s="466" customFormat="1" hidden="1">
      <c r="A417" s="300"/>
      <c r="B417" s="571"/>
      <c r="G417" s="263"/>
      <c r="H417" s="263"/>
      <c r="I417" s="263"/>
      <c r="J417" s="263"/>
      <c r="K417" s="263"/>
      <c r="L417" s="263"/>
      <c r="M417" s="263"/>
      <c r="N417" s="263"/>
      <c r="O417" s="263"/>
      <c r="P417" s="263"/>
      <c r="Q417" s="263"/>
      <c r="R417" s="263"/>
      <c r="S417" s="263"/>
      <c r="T417" s="263"/>
      <c r="U417" s="263"/>
      <c r="V417" s="586"/>
      <c r="W417" s="586"/>
      <c r="X417" s="586"/>
      <c r="Y417" s="586"/>
      <c r="Z417" s="586"/>
      <c r="AA417" s="586"/>
      <c r="AB417" s="586"/>
      <c r="AC417" s="586"/>
      <c r="AD417" s="586"/>
      <c r="AE417" s="586"/>
      <c r="AF417" s="586"/>
      <c r="AG417" s="586"/>
      <c r="AH417" s="586"/>
      <c r="AI417" s="586"/>
      <c r="AJ417" s="586"/>
      <c r="AK417" s="586"/>
      <c r="AL417" s="586"/>
      <c r="AM417" s="586"/>
      <c r="AN417" s="586"/>
      <c r="AO417" s="586"/>
      <c r="AP417" s="586"/>
      <c r="AQ417" s="586"/>
      <c r="AR417" s="586"/>
      <c r="AS417" s="586"/>
      <c r="AT417" s="586"/>
      <c r="AU417" s="586"/>
      <c r="AV417" s="586"/>
      <c r="AW417" s="586"/>
      <c r="AX417" s="586"/>
      <c r="AY417" s="586"/>
      <c r="AZ417" s="586"/>
      <c r="BA417" s="586"/>
      <c r="BB417" s="586"/>
      <c r="BC417" s="574"/>
    </row>
    <row r="418" spans="1:55" s="466" customFormat="1" hidden="1">
      <c r="G418" s="263"/>
      <c r="H418" s="263"/>
      <c r="I418" s="263"/>
      <c r="J418" s="263"/>
      <c r="K418" s="263"/>
      <c r="L418" s="263"/>
      <c r="M418" s="263"/>
      <c r="N418" s="263"/>
      <c r="O418" s="263"/>
      <c r="P418" s="263"/>
      <c r="Q418" s="263"/>
      <c r="R418" s="263"/>
      <c r="S418" s="263"/>
      <c r="T418" s="263"/>
      <c r="U418" s="263"/>
      <c r="V418" s="586"/>
      <c r="W418" s="586"/>
      <c r="X418" s="586"/>
      <c r="Y418" s="586"/>
      <c r="Z418" s="586"/>
      <c r="AA418" s="586"/>
      <c r="AB418" s="586"/>
      <c r="AC418" s="586"/>
      <c r="AD418" s="586"/>
      <c r="AE418" s="586"/>
      <c r="AF418" s="586"/>
      <c r="AG418" s="586"/>
      <c r="AH418" s="586"/>
      <c r="AI418" s="586"/>
      <c r="AJ418" s="586"/>
      <c r="AK418" s="586"/>
      <c r="AL418" s="586"/>
      <c r="AM418" s="586"/>
      <c r="AN418" s="586"/>
      <c r="AO418" s="586"/>
      <c r="AP418" s="586"/>
      <c r="AQ418" s="586"/>
      <c r="AR418" s="586"/>
      <c r="AS418" s="586"/>
      <c r="AT418" s="586"/>
      <c r="AU418" s="586"/>
      <c r="AV418" s="586"/>
      <c r="AW418" s="586"/>
      <c r="AX418" s="586"/>
      <c r="AY418" s="586"/>
      <c r="AZ418" s="586"/>
      <c r="BA418" s="586"/>
      <c r="BB418" s="586"/>
      <c r="BC418" s="574"/>
    </row>
    <row r="419" spans="1:55" s="466" customFormat="1" hidden="1">
      <c r="A419" s="300"/>
      <c r="B419" s="468"/>
      <c r="D419" s="470"/>
      <c r="E419" s="569"/>
      <c r="F419" s="570"/>
      <c r="G419" s="263"/>
      <c r="H419" s="263"/>
      <c r="I419" s="263"/>
      <c r="J419" s="263"/>
      <c r="K419" s="263"/>
      <c r="L419" s="263"/>
      <c r="M419" s="263"/>
      <c r="N419" s="263"/>
      <c r="O419" s="263"/>
      <c r="P419" s="263"/>
      <c r="Q419" s="263"/>
      <c r="R419" s="263"/>
      <c r="S419" s="263"/>
      <c r="T419" s="263"/>
      <c r="U419" s="263"/>
      <c r="V419" s="586"/>
      <c r="W419" s="586"/>
      <c r="X419" s="586"/>
      <c r="Y419" s="586"/>
      <c r="Z419" s="586"/>
      <c r="AA419" s="586"/>
      <c r="AB419" s="586"/>
      <c r="AC419" s="586"/>
      <c r="AD419" s="586"/>
      <c r="AE419" s="586"/>
      <c r="AF419" s="586"/>
      <c r="AG419" s="586"/>
      <c r="AH419" s="586"/>
      <c r="AI419" s="586"/>
      <c r="AJ419" s="586"/>
      <c r="AK419" s="586"/>
      <c r="AL419" s="586"/>
      <c r="AM419" s="586"/>
      <c r="AN419" s="586"/>
      <c r="AO419" s="586"/>
      <c r="AP419" s="586"/>
      <c r="AQ419" s="586"/>
      <c r="AR419" s="586"/>
      <c r="AS419" s="586"/>
      <c r="AT419" s="586"/>
      <c r="AU419" s="586"/>
      <c r="AV419" s="586"/>
      <c r="AW419" s="586"/>
      <c r="AX419" s="586"/>
      <c r="AY419" s="586"/>
      <c r="AZ419" s="586"/>
      <c r="BA419" s="586"/>
      <c r="BB419" s="586"/>
      <c r="BC419" s="574"/>
    </row>
    <row r="420" spans="1:55" s="466" customFormat="1" hidden="1">
      <c r="A420" s="300"/>
      <c r="B420" s="571"/>
      <c r="G420" s="263"/>
      <c r="H420" s="263"/>
      <c r="I420" s="263"/>
      <c r="J420" s="263"/>
      <c r="K420" s="263"/>
      <c r="L420" s="263"/>
      <c r="M420" s="263"/>
      <c r="N420" s="263"/>
      <c r="O420" s="263"/>
      <c r="P420" s="263"/>
      <c r="Q420" s="263"/>
      <c r="R420" s="263"/>
      <c r="S420" s="263"/>
      <c r="T420" s="263"/>
      <c r="U420" s="263"/>
      <c r="V420" s="586"/>
      <c r="W420" s="586"/>
      <c r="X420" s="586"/>
      <c r="Y420" s="586"/>
      <c r="Z420" s="586"/>
      <c r="AA420" s="586"/>
      <c r="AB420" s="586"/>
      <c r="AC420" s="586"/>
      <c r="AD420" s="586"/>
      <c r="AE420" s="586"/>
      <c r="AF420" s="586"/>
      <c r="AG420" s="586"/>
      <c r="AH420" s="586"/>
      <c r="AI420" s="586"/>
      <c r="AJ420" s="586"/>
      <c r="AK420" s="586"/>
      <c r="AL420" s="586"/>
      <c r="AM420" s="586"/>
      <c r="AN420" s="586"/>
      <c r="AO420" s="586"/>
      <c r="AP420" s="586"/>
      <c r="AQ420" s="586"/>
      <c r="AR420" s="586"/>
      <c r="AS420" s="586"/>
      <c r="AT420" s="586"/>
      <c r="AU420" s="586"/>
      <c r="AV420" s="586"/>
      <c r="AW420" s="586"/>
      <c r="AX420" s="586"/>
      <c r="AY420" s="586"/>
      <c r="AZ420" s="586"/>
      <c r="BA420" s="586"/>
      <c r="BB420" s="586"/>
      <c r="BC420" s="574"/>
    </row>
    <row r="421" spans="1:55" s="466" customFormat="1" hidden="1">
      <c r="G421" s="263"/>
      <c r="H421" s="263"/>
      <c r="I421" s="263"/>
      <c r="J421" s="263"/>
      <c r="K421" s="263"/>
      <c r="L421" s="263"/>
      <c r="M421" s="263"/>
      <c r="N421" s="263"/>
      <c r="O421" s="263"/>
      <c r="P421" s="263"/>
      <c r="Q421" s="263"/>
      <c r="R421" s="263"/>
      <c r="S421" s="263"/>
      <c r="T421" s="263"/>
      <c r="U421" s="263"/>
      <c r="V421" s="586"/>
      <c r="W421" s="586"/>
      <c r="X421" s="586"/>
      <c r="Y421" s="586"/>
      <c r="Z421" s="586"/>
      <c r="AA421" s="586"/>
      <c r="AB421" s="586"/>
      <c r="AC421" s="586"/>
      <c r="AD421" s="586"/>
      <c r="AE421" s="586"/>
      <c r="AF421" s="586"/>
      <c r="AG421" s="586"/>
      <c r="AH421" s="586"/>
      <c r="AI421" s="586"/>
      <c r="AJ421" s="586"/>
      <c r="AK421" s="586"/>
      <c r="AL421" s="586"/>
      <c r="AM421" s="586"/>
      <c r="AN421" s="586"/>
      <c r="AO421" s="586"/>
      <c r="AP421" s="586"/>
      <c r="AQ421" s="586"/>
      <c r="AR421" s="586"/>
      <c r="AS421" s="586"/>
      <c r="AT421" s="586"/>
      <c r="AU421" s="586"/>
      <c r="AV421" s="586"/>
      <c r="AW421" s="586"/>
      <c r="AX421" s="586"/>
      <c r="AY421" s="586"/>
      <c r="AZ421" s="586"/>
      <c r="BA421" s="586"/>
      <c r="BB421" s="586"/>
      <c r="BC421" s="574"/>
    </row>
    <row r="422" spans="1:55" s="466" customFormat="1" hidden="1">
      <c r="A422" s="300"/>
      <c r="B422" s="572"/>
      <c r="D422" s="470"/>
      <c r="E422" s="569"/>
      <c r="F422" s="570"/>
      <c r="G422" s="263"/>
      <c r="H422" s="263"/>
      <c r="I422" s="263"/>
      <c r="J422" s="263"/>
      <c r="K422" s="263"/>
      <c r="L422" s="263"/>
      <c r="M422" s="263"/>
      <c r="N422" s="263"/>
      <c r="O422" s="263"/>
      <c r="P422" s="263"/>
      <c r="Q422" s="263"/>
      <c r="R422" s="263"/>
      <c r="S422" s="263"/>
      <c r="T422" s="263"/>
      <c r="U422" s="263"/>
      <c r="V422" s="586"/>
      <c r="W422" s="586"/>
      <c r="X422" s="586"/>
      <c r="Y422" s="586"/>
      <c r="Z422" s="586"/>
      <c r="AA422" s="586"/>
      <c r="AB422" s="586"/>
      <c r="AC422" s="586"/>
      <c r="AD422" s="586"/>
      <c r="AE422" s="586"/>
      <c r="AF422" s="586"/>
      <c r="AG422" s="586"/>
      <c r="AH422" s="586"/>
      <c r="AI422" s="586"/>
      <c r="AJ422" s="586"/>
      <c r="AK422" s="586"/>
      <c r="AL422" s="586"/>
      <c r="AM422" s="586"/>
      <c r="AN422" s="586"/>
      <c r="AO422" s="586"/>
      <c r="AP422" s="586"/>
      <c r="AQ422" s="586"/>
      <c r="AR422" s="586"/>
      <c r="AS422" s="586"/>
      <c r="AT422" s="586"/>
      <c r="AU422" s="586"/>
      <c r="AV422" s="586"/>
      <c r="AW422" s="586"/>
      <c r="AX422" s="586"/>
      <c r="AY422" s="586"/>
      <c r="AZ422" s="586"/>
      <c r="BA422" s="586"/>
      <c r="BB422" s="586"/>
      <c r="BC422" s="574"/>
    </row>
    <row r="423" spans="1:55" s="466" customFormat="1" hidden="1">
      <c r="A423" s="300"/>
      <c r="B423" s="571"/>
      <c r="G423" s="263"/>
      <c r="H423" s="263"/>
      <c r="I423" s="263"/>
      <c r="J423" s="263"/>
      <c r="K423" s="263"/>
      <c r="L423" s="263"/>
      <c r="M423" s="263"/>
      <c r="N423" s="263"/>
      <c r="O423" s="263"/>
      <c r="P423" s="263"/>
      <c r="Q423" s="263"/>
      <c r="R423" s="263"/>
      <c r="S423" s="263"/>
      <c r="T423" s="263"/>
      <c r="U423" s="263"/>
      <c r="V423" s="586"/>
      <c r="W423" s="586"/>
      <c r="X423" s="586"/>
      <c r="Y423" s="586"/>
      <c r="Z423" s="586"/>
      <c r="AA423" s="586"/>
      <c r="AB423" s="586"/>
      <c r="AC423" s="586"/>
      <c r="AD423" s="586"/>
      <c r="AE423" s="586"/>
      <c r="AF423" s="586"/>
      <c r="AG423" s="586"/>
      <c r="AH423" s="586"/>
      <c r="AI423" s="586"/>
      <c r="AJ423" s="586"/>
      <c r="AK423" s="586"/>
      <c r="AL423" s="586"/>
      <c r="AM423" s="586"/>
      <c r="AN423" s="586"/>
      <c r="AO423" s="586"/>
      <c r="AP423" s="586"/>
      <c r="AQ423" s="586"/>
      <c r="AR423" s="586"/>
      <c r="AS423" s="586"/>
      <c r="AT423" s="586"/>
      <c r="AU423" s="586"/>
      <c r="AV423" s="586"/>
      <c r="AW423" s="586"/>
      <c r="AX423" s="586"/>
      <c r="AY423" s="586"/>
      <c r="AZ423" s="586"/>
      <c r="BA423" s="586"/>
      <c r="BB423" s="586"/>
      <c r="BC423" s="574"/>
    </row>
    <row r="424" spans="1:55" s="466" customFormat="1" hidden="1">
      <c r="G424" s="263"/>
      <c r="H424" s="263"/>
      <c r="I424" s="263"/>
      <c r="J424" s="263"/>
      <c r="K424" s="263"/>
      <c r="L424" s="263"/>
      <c r="M424" s="263"/>
      <c r="N424" s="263"/>
      <c r="O424" s="263"/>
      <c r="P424" s="263"/>
      <c r="Q424" s="263"/>
      <c r="R424" s="263"/>
      <c r="S424" s="263"/>
      <c r="T424" s="263"/>
      <c r="U424" s="263"/>
      <c r="V424" s="586"/>
      <c r="W424" s="586"/>
      <c r="X424" s="586"/>
      <c r="Y424" s="586"/>
      <c r="Z424" s="586"/>
      <c r="AA424" s="586"/>
      <c r="AB424" s="586"/>
      <c r="AC424" s="586"/>
      <c r="AD424" s="586"/>
      <c r="AE424" s="586"/>
      <c r="AF424" s="586"/>
      <c r="AG424" s="586"/>
      <c r="AH424" s="586"/>
      <c r="AI424" s="586"/>
      <c r="AJ424" s="586"/>
      <c r="AK424" s="586"/>
      <c r="AL424" s="586"/>
      <c r="AM424" s="586"/>
      <c r="AN424" s="586"/>
      <c r="AO424" s="586"/>
      <c r="AP424" s="586"/>
      <c r="AQ424" s="586"/>
      <c r="AR424" s="586"/>
      <c r="AS424" s="586"/>
      <c r="AT424" s="586"/>
      <c r="AU424" s="586"/>
      <c r="AV424" s="586"/>
      <c r="AW424" s="586"/>
      <c r="AX424" s="586"/>
      <c r="AY424" s="586"/>
      <c r="AZ424" s="586"/>
      <c r="BA424" s="586"/>
      <c r="BB424" s="586"/>
      <c r="BC424" s="574"/>
    </row>
    <row r="425" spans="1:55" s="466" customFormat="1" hidden="1">
      <c r="A425" s="300"/>
      <c r="B425" s="468"/>
      <c r="D425" s="470"/>
      <c r="E425" s="569"/>
      <c r="F425" s="570"/>
      <c r="G425" s="263"/>
      <c r="H425" s="263"/>
      <c r="I425" s="263"/>
      <c r="J425" s="263"/>
      <c r="K425" s="263"/>
      <c r="L425" s="263"/>
      <c r="M425" s="263"/>
      <c r="N425" s="263"/>
      <c r="O425" s="263"/>
      <c r="P425" s="263"/>
      <c r="Q425" s="263"/>
      <c r="R425" s="263"/>
      <c r="S425" s="263"/>
      <c r="T425" s="263"/>
      <c r="U425" s="263"/>
      <c r="V425" s="586"/>
      <c r="W425" s="586"/>
      <c r="X425" s="586"/>
      <c r="Y425" s="586"/>
      <c r="Z425" s="586"/>
      <c r="AA425" s="586"/>
      <c r="AB425" s="586"/>
      <c r="AC425" s="586"/>
      <c r="AD425" s="586"/>
      <c r="AE425" s="586"/>
      <c r="AF425" s="586"/>
      <c r="AG425" s="586"/>
      <c r="AH425" s="586"/>
      <c r="AI425" s="586"/>
      <c r="AJ425" s="586"/>
      <c r="AK425" s="586"/>
      <c r="AL425" s="586"/>
      <c r="AM425" s="586"/>
      <c r="AN425" s="586"/>
      <c r="AO425" s="586"/>
      <c r="AP425" s="586"/>
      <c r="AQ425" s="586"/>
      <c r="AR425" s="586"/>
      <c r="AS425" s="586"/>
      <c r="AT425" s="586"/>
      <c r="AU425" s="586"/>
      <c r="AV425" s="586"/>
      <c r="AW425" s="586"/>
      <c r="AX425" s="586"/>
      <c r="AY425" s="586"/>
      <c r="AZ425" s="586"/>
      <c r="BA425" s="586"/>
      <c r="BB425" s="586"/>
      <c r="BC425" s="574"/>
    </row>
    <row r="426" spans="1:55" s="466" customFormat="1" hidden="1">
      <c r="A426" s="300"/>
      <c r="B426" s="571"/>
      <c r="G426" s="263"/>
      <c r="H426" s="263"/>
      <c r="I426" s="263"/>
      <c r="J426" s="263"/>
      <c r="K426" s="263"/>
      <c r="L426" s="263"/>
      <c r="M426" s="263"/>
      <c r="N426" s="263"/>
      <c r="O426" s="263"/>
      <c r="P426" s="263"/>
      <c r="Q426" s="263"/>
      <c r="R426" s="263"/>
      <c r="S426" s="263"/>
      <c r="T426" s="263"/>
      <c r="U426" s="263"/>
      <c r="V426" s="586"/>
      <c r="W426" s="586"/>
      <c r="X426" s="586"/>
      <c r="Y426" s="586"/>
      <c r="Z426" s="586"/>
      <c r="AA426" s="586"/>
      <c r="AB426" s="586"/>
      <c r="AC426" s="586"/>
      <c r="AD426" s="586"/>
      <c r="AE426" s="586"/>
      <c r="AF426" s="586"/>
      <c r="AG426" s="586"/>
      <c r="AH426" s="586"/>
      <c r="AI426" s="586"/>
      <c r="AJ426" s="586"/>
      <c r="AK426" s="586"/>
      <c r="AL426" s="586"/>
      <c r="AM426" s="586"/>
      <c r="AN426" s="586"/>
      <c r="AO426" s="586"/>
      <c r="AP426" s="586"/>
      <c r="AQ426" s="586"/>
      <c r="AR426" s="586"/>
      <c r="AS426" s="586"/>
      <c r="AT426" s="586"/>
      <c r="AU426" s="586"/>
      <c r="AV426" s="586"/>
      <c r="AW426" s="586"/>
      <c r="AX426" s="586"/>
      <c r="AY426" s="586"/>
      <c r="AZ426" s="586"/>
      <c r="BA426" s="586"/>
      <c r="BB426" s="586"/>
      <c r="BC426" s="574"/>
    </row>
    <row r="427" spans="1:55" s="466" customFormat="1" hidden="1">
      <c r="G427" s="263"/>
      <c r="H427" s="263"/>
      <c r="I427" s="263"/>
      <c r="J427" s="263"/>
      <c r="K427" s="263"/>
      <c r="L427" s="263"/>
      <c r="M427" s="263"/>
      <c r="N427" s="263"/>
      <c r="O427" s="263"/>
      <c r="P427" s="263"/>
      <c r="Q427" s="263"/>
      <c r="R427" s="263"/>
      <c r="S427" s="263"/>
      <c r="T427" s="263"/>
      <c r="U427" s="263"/>
      <c r="V427" s="586"/>
      <c r="W427" s="586"/>
      <c r="X427" s="586"/>
      <c r="Y427" s="586"/>
      <c r="Z427" s="586"/>
      <c r="AA427" s="586"/>
      <c r="AB427" s="586"/>
      <c r="AC427" s="586"/>
      <c r="AD427" s="586"/>
      <c r="AE427" s="586"/>
      <c r="AF427" s="586"/>
      <c r="AG427" s="586"/>
      <c r="AH427" s="586"/>
      <c r="AI427" s="586"/>
      <c r="AJ427" s="586"/>
      <c r="AK427" s="586"/>
      <c r="AL427" s="586"/>
      <c r="AM427" s="586"/>
      <c r="AN427" s="586"/>
      <c r="AO427" s="586"/>
      <c r="AP427" s="586"/>
      <c r="AQ427" s="586"/>
      <c r="AR427" s="586"/>
      <c r="AS427" s="586"/>
      <c r="AT427" s="586"/>
      <c r="AU427" s="586"/>
      <c r="AV427" s="586"/>
      <c r="AW427" s="586"/>
      <c r="AX427" s="586"/>
      <c r="AY427" s="586"/>
      <c r="AZ427" s="586"/>
      <c r="BA427" s="586"/>
      <c r="BB427" s="586"/>
      <c r="BC427" s="574"/>
    </row>
    <row r="428" spans="1:55" s="466" customFormat="1" hidden="1">
      <c r="A428" s="300"/>
      <c r="B428" s="468"/>
      <c r="D428" s="470"/>
      <c r="E428" s="569"/>
      <c r="F428" s="570"/>
      <c r="G428" s="263"/>
      <c r="H428" s="263"/>
      <c r="I428" s="263"/>
      <c r="J428" s="263"/>
      <c r="K428" s="263"/>
      <c r="L428" s="263"/>
      <c r="M428" s="263"/>
      <c r="N428" s="263"/>
      <c r="O428" s="263"/>
      <c r="P428" s="263"/>
      <c r="Q428" s="263"/>
      <c r="R428" s="263"/>
      <c r="S428" s="263"/>
      <c r="T428" s="263"/>
      <c r="U428" s="263"/>
      <c r="V428" s="586"/>
      <c r="W428" s="586"/>
      <c r="X428" s="586"/>
      <c r="Y428" s="586"/>
      <c r="Z428" s="586"/>
      <c r="AA428" s="586"/>
      <c r="AB428" s="586"/>
      <c r="AC428" s="586"/>
      <c r="AD428" s="586"/>
      <c r="AE428" s="586"/>
      <c r="AF428" s="586"/>
      <c r="AG428" s="586"/>
      <c r="AH428" s="586"/>
      <c r="AI428" s="586"/>
      <c r="AJ428" s="586"/>
      <c r="AK428" s="586"/>
      <c r="AL428" s="586"/>
      <c r="AM428" s="586"/>
      <c r="AN428" s="586"/>
      <c r="AO428" s="586"/>
      <c r="AP428" s="586"/>
      <c r="AQ428" s="586"/>
      <c r="AR428" s="586"/>
      <c r="AS428" s="586"/>
      <c r="AT428" s="586"/>
      <c r="AU428" s="586"/>
      <c r="AV428" s="586"/>
      <c r="AW428" s="586"/>
      <c r="AX428" s="586"/>
      <c r="AY428" s="586"/>
      <c r="AZ428" s="586"/>
      <c r="BA428" s="586"/>
      <c r="BB428" s="586"/>
      <c r="BC428" s="574"/>
    </row>
    <row r="429" spans="1:55" s="466" customFormat="1" hidden="1">
      <c r="A429" s="300"/>
      <c r="B429" s="571"/>
      <c r="G429" s="263"/>
      <c r="H429" s="263"/>
      <c r="I429" s="263"/>
      <c r="J429" s="263"/>
      <c r="K429" s="263"/>
      <c r="L429" s="263"/>
      <c r="M429" s="263"/>
      <c r="N429" s="263"/>
      <c r="O429" s="263"/>
      <c r="P429" s="263"/>
      <c r="Q429" s="263"/>
      <c r="R429" s="263"/>
      <c r="S429" s="263"/>
      <c r="T429" s="263"/>
      <c r="U429" s="263"/>
      <c r="V429" s="586"/>
      <c r="W429" s="586"/>
      <c r="X429" s="586"/>
      <c r="Y429" s="586"/>
      <c r="Z429" s="586"/>
      <c r="AA429" s="586"/>
      <c r="AB429" s="586"/>
      <c r="AC429" s="586"/>
      <c r="AD429" s="586"/>
      <c r="AE429" s="586"/>
      <c r="AF429" s="586"/>
      <c r="AG429" s="586"/>
      <c r="AH429" s="586"/>
      <c r="AI429" s="586"/>
      <c r="AJ429" s="586"/>
      <c r="AK429" s="586"/>
      <c r="AL429" s="586"/>
      <c r="AM429" s="586"/>
      <c r="AN429" s="586"/>
      <c r="AO429" s="586"/>
      <c r="AP429" s="586"/>
      <c r="AQ429" s="586"/>
      <c r="AR429" s="586"/>
      <c r="AS429" s="586"/>
      <c r="AT429" s="586"/>
      <c r="AU429" s="586"/>
      <c r="AV429" s="586"/>
      <c r="AW429" s="586"/>
      <c r="AX429" s="586"/>
      <c r="AY429" s="586"/>
      <c r="AZ429" s="586"/>
      <c r="BA429" s="586"/>
      <c r="BB429" s="586"/>
      <c r="BC429" s="574"/>
    </row>
    <row r="430" spans="1:55" s="466" customFormat="1" hidden="1">
      <c r="G430" s="263"/>
      <c r="H430" s="263"/>
      <c r="I430" s="263"/>
      <c r="J430" s="263"/>
      <c r="K430" s="263"/>
      <c r="L430" s="263"/>
      <c r="M430" s="263"/>
      <c r="N430" s="263"/>
      <c r="O430" s="263"/>
      <c r="P430" s="263"/>
      <c r="Q430" s="263"/>
      <c r="R430" s="263"/>
      <c r="S430" s="263"/>
      <c r="T430" s="263"/>
      <c r="U430" s="263"/>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586"/>
      <c r="AY430" s="586"/>
      <c r="AZ430" s="586"/>
      <c r="BA430" s="586"/>
      <c r="BB430" s="586"/>
      <c r="BC430" s="574"/>
    </row>
    <row r="431" spans="1:55" s="466" customFormat="1" hidden="1">
      <c r="A431" s="300"/>
      <c r="B431" s="468"/>
      <c r="D431" s="470"/>
      <c r="E431" s="569"/>
      <c r="F431" s="570"/>
      <c r="G431" s="263"/>
      <c r="H431" s="263"/>
      <c r="I431" s="263"/>
      <c r="J431" s="263"/>
      <c r="K431" s="263"/>
      <c r="L431" s="263"/>
      <c r="M431" s="263"/>
      <c r="N431" s="263"/>
      <c r="O431" s="263"/>
      <c r="P431" s="263"/>
      <c r="Q431" s="263"/>
      <c r="R431" s="263"/>
      <c r="S431" s="263"/>
      <c r="T431" s="263"/>
      <c r="U431" s="263"/>
      <c r="V431" s="586"/>
      <c r="W431" s="586"/>
      <c r="X431" s="586"/>
      <c r="Y431" s="586"/>
      <c r="Z431" s="586"/>
      <c r="AA431" s="586"/>
      <c r="AB431" s="586"/>
      <c r="AC431" s="586"/>
      <c r="AD431" s="586"/>
      <c r="AE431" s="586"/>
      <c r="AF431" s="586"/>
      <c r="AG431" s="586"/>
      <c r="AH431" s="586"/>
      <c r="AI431" s="586"/>
      <c r="AJ431" s="586"/>
      <c r="AK431" s="586"/>
      <c r="AL431" s="586"/>
      <c r="AM431" s="586"/>
      <c r="AN431" s="586"/>
      <c r="AO431" s="586"/>
      <c r="AP431" s="586"/>
      <c r="AQ431" s="586"/>
      <c r="AR431" s="586"/>
      <c r="AS431" s="586"/>
      <c r="AT431" s="586"/>
      <c r="AU431" s="586"/>
      <c r="AV431" s="586"/>
      <c r="AW431" s="586"/>
      <c r="AX431" s="586"/>
      <c r="AY431" s="586"/>
      <c r="AZ431" s="586"/>
      <c r="BA431" s="586"/>
      <c r="BB431" s="586"/>
      <c r="BC431" s="574"/>
    </row>
    <row r="432" spans="1:55" s="466" customFormat="1" hidden="1">
      <c r="A432" s="300"/>
      <c r="B432" s="571"/>
      <c r="G432" s="263"/>
      <c r="H432" s="263"/>
      <c r="I432" s="263"/>
      <c r="J432" s="263"/>
      <c r="K432" s="263"/>
      <c r="L432" s="263"/>
      <c r="M432" s="263"/>
      <c r="N432" s="263"/>
      <c r="O432" s="263"/>
      <c r="P432" s="263"/>
      <c r="Q432" s="263"/>
      <c r="R432" s="263"/>
      <c r="S432" s="263"/>
      <c r="T432" s="263"/>
      <c r="U432" s="263"/>
      <c r="V432" s="586"/>
      <c r="W432" s="586"/>
      <c r="X432" s="586"/>
      <c r="Y432" s="586"/>
      <c r="Z432" s="586"/>
      <c r="AA432" s="586"/>
      <c r="AB432" s="586"/>
      <c r="AC432" s="586"/>
      <c r="AD432" s="586"/>
      <c r="AE432" s="586"/>
      <c r="AF432" s="586"/>
      <c r="AG432" s="586"/>
      <c r="AH432" s="586"/>
      <c r="AI432" s="586"/>
      <c r="AJ432" s="586"/>
      <c r="AK432" s="586"/>
      <c r="AL432" s="586"/>
      <c r="AM432" s="586"/>
      <c r="AN432" s="586"/>
      <c r="AO432" s="586"/>
      <c r="AP432" s="586"/>
      <c r="AQ432" s="586"/>
      <c r="AR432" s="586"/>
      <c r="AS432" s="586"/>
      <c r="AT432" s="586"/>
      <c r="AU432" s="586"/>
      <c r="AV432" s="586"/>
      <c r="AW432" s="586"/>
      <c r="AX432" s="586"/>
      <c r="AY432" s="586"/>
      <c r="AZ432" s="586"/>
      <c r="BA432" s="586"/>
      <c r="BB432" s="586"/>
      <c r="BC432" s="574"/>
    </row>
    <row r="433" spans="1:55" s="466" customFormat="1" hidden="1">
      <c r="G433" s="263"/>
      <c r="H433" s="263"/>
      <c r="I433" s="263"/>
      <c r="J433" s="263"/>
      <c r="K433" s="263"/>
      <c r="L433" s="263"/>
      <c r="M433" s="263"/>
      <c r="N433" s="263"/>
      <c r="O433" s="263"/>
      <c r="P433" s="263"/>
      <c r="Q433" s="263"/>
      <c r="R433" s="263"/>
      <c r="S433" s="263"/>
      <c r="T433" s="263"/>
      <c r="U433" s="263"/>
      <c r="V433" s="586"/>
      <c r="W433" s="586"/>
      <c r="X433" s="586"/>
      <c r="Y433" s="586"/>
      <c r="Z433" s="586"/>
      <c r="AA433" s="586"/>
      <c r="AB433" s="586"/>
      <c r="AC433" s="586"/>
      <c r="AD433" s="586"/>
      <c r="AE433" s="586"/>
      <c r="AF433" s="586"/>
      <c r="AG433" s="586"/>
      <c r="AH433" s="586"/>
      <c r="AI433" s="586"/>
      <c r="AJ433" s="586"/>
      <c r="AK433" s="586"/>
      <c r="AL433" s="586"/>
      <c r="AM433" s="586"/>
      <c r="AN433" s="586"/>
      <c r="AO433" s="586"/>
      <c r="AP433" s="586"/>
      <c r="AQ433" s="586"/>
      <c r="AR433" s="586"/>
      <c r="AS433" s="586"/>
      <c r="AT433" s="586"/>
      <c r="AU433" s="586"/>
      <c r="AV433" s="586"/>
      <c r="AW433" s="586"/>
      <c r="AX433" s="586"/>
      <c r="AY433" s="586"/>
      <c r="AZ433" s="586"/>
      <c r="BA433" s="586"/>
      <c r="BB433" s="586"/>
      <c r="BC433" s="574"/>
    </row>
    <row r="434" spans="1:55" s="466" customFormat="1" hidden="1">
      <c r="A434" s="300"/>
      <c r="B434" s="468"/>
      <c r="D434" s="470"/>
      <c r="E434" s="569"/>
      <c r="F434" s="570"/>
      <c r="G434" s="263"/>
      <c r="H434" s="263"/>
      <c r="I434" s="263"/>
      <c r="J434" s="263"/>
      <c r="K434" s="263"/>
      <c r="L434" s="263"/>
      <c r="M434" s="263"/>
      <c r="N434" s="263"/>
      <c r="O434" s="263"/>
      <c r="P434" s="263"/>
      <c r="Q434" s="263"/>
      <c r="R434" s="263"/>
      <c r="S434" s="263"/>
      <c r="T434" s="263"/>
      <c r="U434" s="263"/>
      <c r="V434" s="586"/>
      <c r="W434" s="586"/>
      <c r="X434" s="586"/>
      <c r="Y434" s="586"/>
      <c r="Z434" s="586"/>
      <c r="AA434" s="586"/>
      <c r="AB434" s="586"/>
      <c r="AC434" s="586"/>
      <c r="AD434" s="586"/>
      <c r="AE434" s="586"/>
      <c r="AF434" s="586"/>
      <c r="AG434" s="586"/>
      <c r="AH434" s="586"/>
      <c r="AI434" s="586"/>
      <c r="AJ434" s="586"/>
      <c r="AK434" s="586"/>
      <c r="AL434" s="586"/>
      <c r="AM434" s="586"/>
      <c r="AN434" s="586"/>
      <c r="AO434" s="586"/>
      <c r="AP434" s="586"/>
      <c r="AQ434" s="586"/>
      <c r="AR434" s="586"/>
      <c r="AS434" s="586"/>
      <c r="AT434" s="586"/>
      <c r="AU434" s="586"/>
      <c r="AV434" s="586"/>
      <c r="AW434" s="586"/>
      <c r="AX434" s="586"/>
      <c r="AY434" s="586"/>
      <c r="AZ434" s="586"/>
      <c r="BA434" s="586"/>
      <c r="BB434" s="586"/>
      <c r="BC434" s="574"/>
    </row>
    <row r="435" spans="1:55" s="466" customFormat="1" hidden="1">
      <c r="A435" s="300"/>
      <c r="B435" s="571"/>
      <c r="G435" s="263"/>
      <c r="H435" s="263"/>
      <c r="I435" s="263"/>
      <c r="J435" s="263"/>
      <c r="K435" s="263"/>
      <c r="L435" s="263"/>
      <c r="M435" s="263"/>
      <c r="N435" s="263"/>
      <c r="O435" s="263"/>
      <c r="P435" s="263"/>
      <c r="Q435" s="263"/>
      <c r="R435" s="263"/>
      <c r="S435" s="263"/>
      <c r="T435" s="263"/>
      <c r="U435" s="263"/>
      <c r="V435" s="586"/>
      <c r="W435" s="586"/>
      <c r="X435" s="586"/>
      <c r="Y435" s="586"/>
      <c r="Z435" s="586"/>
      <c r="AA435" s="586"/>
      <c r="AB435" s="586"/>
      <c r="AC435" s="586"/>
      <c r="AD435" s="586"/>
      <c r="AE435" s="586"/>
      <c r="AF435" s="586"/>
      <c r="AG435" s="586"/>
      <c r="AH435" s="586"/>
      <c r="AI435" s="586"/>
      <c r="AJ435" s="586"/>
      <c r="AK435" s="586"/>
      <c r="AL435" s="586"/>
      <c r="AM435" s="586"/>
      <c r="AN435" s="586"/>
      <c r="AO435" s="586"/>
      <c r="AP435" s="586"/>
      <c r="AQ435" s="586"/>
      <c r="AR435" s="586"/>
      <c r="AS435" s="586"/>
      <c r="AT435" s="586"/>
      <c r="AU435" s="586"/>
      <c r="AV435" s="586"/>
      <c r="AW435" s="586"/>
      <c r="AX435" s="586"/>
      <c r="AY435" s="586"/>
      <c r="AZ435" s="586"/>
      <c r="BA435" s="586"/>
      <c r="BB435" s="586"/>
      <c r="BC435" s="574"/>
    </row>
    <row r="436" spans="1:55" s="466" customFormat="1" hidden="1">
      <c r="G436" s="263"/>
      <c r="H436" s="263"/>
      <c r="I436" s="263"/>
      <c r="J436" s="263"/>
      <c r="K436" s="263"/>
      <c r="L436" s="263"/>
      <c r="M436" s="263"/>
      <c r="N436" s="263"/>
      <c r="O436" s="263"/>
      <c r="P436" s="263"/>
      <c r="Q436" s="263"/>
      <c r="R436" s="263"/>
      <c r="S436" s="263"/>
      <c r="T436" s="263"/>
      <c r="U436" s="263"/>
      <c r="V436" s="586"/>
      <c r="W436" s="586"/>
      <c r="X436" s="586"/>
      <c r="Y436" s="586"/>
      <c r="Z436" s="586"/>
      <c r="AA436" s="586"/>
      <c r="AB436" s="586"/>
      <c r="AC436" s="586"/>
      <c r="AD436" s="586"/>
      <c r="AE436" s="586"/>
      <c r="AF436" s="586"/>
      <c r="AG436" s="586"/>
      <c r="AH436" s="586"/>
      <c r="AI436" s="586"/>
      <c r="AJ436" s="586"/>
      <c r="AK436" s="586"/>
      <c r="AL436" s="586"/>
      <c r="AM436" s="586"/>
      <c r="AN436" s="586"/>
      <c r="AO436" s="586"/>
      <c r="AP436" s="586"/>
      <c r="AQ436" s="586"/>
      <c r="AR436" s="586"/>
      <c r="AS436" s="586"/>
      <c r="AT436" s="586"/>
      <c r="AU436" s="586"/>
      <c r="AV436" s="586"/>
      <c r="AW436" s="586"/>
      <c r="AX436" s="586"/>
      <c r="AY436" s="586"/>
      <c r="AZ436" s="586"/>
      <c r="BA436" s="586"/>
      <c r="BB436" s="586"/>
      <c r="BC436" s="574"/>
    </row>
    <row r="437" spans="1:55" s="466" customFormat="1" hidden="1">
      <c r="A437" s="300"/>
      <c r="B437" s="468"/>
      <c r="D437" s="470"/>
      <c r="E437" s="569"/>
      <c r="F437" s="570"/>
      <c r="G437" s="263"/>
      <c r="H437" s="263"/>
      <c r="I437" s="263"/>
      <c r="J437" s="263"/>
      <c r="K437" s="263"/>
      <c r="L437" s="263"/>
      <c r="M437" s="263"/>
      <c r="N437" s="263"/>
      <c r="O437" s="263"/>
      <c r="P437" s="263"/>
      <c r="Q437" s="263"/>
      <c r="R437" s="263"/>
      <c r="S437" s="263"/>
      <c r="T437" s="263"/>
      <c r="U437" s="263"/>
      <c r="V437" s="586"/>
      <c r="W437" s="586"/>
      <c r="X437" s="586"/>
      <c r="Y437" s="586"/>
      <c r="Z437" s="586"/>
      <c r="AA437" s="586"/>
      <c r="AB437" s="586"/>
      <c r="AC437" s="586"/>
      <c r="AD437" s="586"/>
      <c r="AE437" s="586"/>
      <c r="AF437" s="586"/>
      <c r="AG437" s="586"/>
      <c r="AH437" s="586"/>
      <c r="AI437" s="586"/>
      <c r="AJ437" s="586"/>
      <c r="AK437" s="586"/>
      <c r="AL437" s="586"/>
      <c r="AM437" s="586"/>
      <c r="AN437" s="586"/>
      <c r="AO437" s="586"/>
      <c r="AP437" s="586"/>
      <c r="AQ437" s="586"/>
      <c r="AR437" s="586"/>
      <c r="AS437" s="586"/>
      <c r="AT437" s="586"/>
      <c r="AU437" s="586"/>
      <c r="AV437" s="586"/>
      <c r="AW437" s="586"/>
      <c r="AX437" s="586"/>
      <c r="AY437" s="586"/>
      <c r="AZ437" s="586"/>
      <c r="BA437" s="586"/>
      <c r="BB437" s="586"/>
      <c r="BC437" s="574"/>
    </row>
    <row r="438" spans="1:55" s="466" customFormat="1" hidden="1">
      <c r="A438" s="300"/>
      <c r="B438" s="571"/>
      <c r="G438" s="263"/>
      <c r="H438" s="263"/>
      <c r="I438" s="263"/>
      <c r="J438" s="263"/>
      <c r="K438" s="263"/>
      <c r="L438" s="263"/>
      <c r="M438" s="263"/>
      <c r="N438" s="263"/>
      <c r="O438" s="263"/>
      <c r="P438" s="263"/>
      <c r="Q438" s="263"/>
      <c r="R438" s="263"/>
      <c r="S438" s="263"/>
      <c r="T438" s="263"/>
      <c r="U438" s="263"/>
      <c r="V438" s="586"/>
      <c r="W438" s="586"/>
      <c r="X438" s="586"/>
      <c r="Y438" s="586"/>
      <c r="Z438" s="586"/>
      <c r="AA438" s="586"/>
      <c r="AB438" s="586"/>
      <c r="AC438" s="586"/>
      <c r="AD438" s="586"/>
      <c r="AE438" s="586"/>
      <c r="AF438" s="586"/>
      <c r="AG438" s="586"/>
      <c r="AH438" s="586"/>
      <c r="AI438" s="586"/>
      <c r="AJ438" s="586"/>
      <c r="AK438" s="586"/>
      <c r="AL438" s="586"/>
      <c r="AM438" s="586"/>
      <c r="AN438" s="586"/>
      <c r="AO438" s="586"/>
      <c r="AP438" s="586"/>
      <c r="AQ438" s="586"/>
      <c r="AR438" s="586"/>
      <c r="AS438" s="586"/>
      <c r="AT438" s="586"/>
      <c r="AU438" s="586"/>
      <c r="AV438" s="586"/>
      <c r="AW438" s="586"/>
      <c r="AX438" s="586"/>
      <c r="AY438" s="586"/>
      <c r="AZ438" s="586"/>
      <c r="BA438" s="586"/>
      <c r="BB438" s="586"/>
      <c r="BC438" s="574"/>
    </row>
    <row r="439" spans="1:55" s="466" customFormat="1" hidden="1">
      <c r="G439" s="263"/>
      <c r="H439" s="263"/>
      <c r="I439" s="263"/>
      <c r="J439" s="263"/>
      <c r="K439" s="263"/>
      <c r="L439" s="263"/>
      <c r="M439" s="263"/>
      <c r="N439" s="263"/>
      <c r="O439" s="263"/>
      <c r="P439" s="263"/>
      <c r="Q439" s="263"/>
      <c r="R439" s="263"/>
      <c r="S439" s="263"/>
      <c r="T439" s="263"/>
      <c r="U439" s="263"/>
      <c r="V439" s="586"/>
      <c r="W439" s="586"/>
      <c r="X439" s="586"/>
      <c r="Y439" s="586"/>
      <c r="Z439" s="586"/>
      <c r="AA439" s="586"/>
      <c r="AB439" s="586"/>
      <c r="AC439" s="586"/>
      <c r="AD439" s="586"/>
      <c r="AE439" s="586"/>
      <c r="AF439" s="586"/>
      <c r="AG439" s="586"/>
      <c r="AH439" s="586"/>
      <c r="AI439" s="586"/>
      <c r="AJ439" s="586"/>
      <c r="AK439" s="586"/>
      <c r="AL439" s="586"/>
      <c r="AM439" s="586"/>
      <c r="AN439" s="586"/>
      <c r="AO439" s="586"/>
      <c r="AP439" s="586"/>
      <c r="AQ439" s="586"/>
      <c r="AR439" s="586"/>
      <c r="AS439" s="586"/>
      <c r="AT439" s="586"/>
      <c r="AU439" s="586"/>
      <c r="AV439" s="586"/>
      <c r="AW439" s="586"/>
      <c r="AX439" s="586"/>
      <c r="AY439" s="586"/>
      <c r="AZ439" s="586"/>
      <c r="BA439" s="586"/>
      <c r="BB439" s="586"/>
      <c r="BC439" s="574"/>
    </row>
    <row r="440" spans="1:55" s="466" customFormat="1" hidden="1">
      <c r="A440" s="300"/>
      <c r="B440" s="468"/>
      <c r="D440" s="470"/>
      <c r="E440" s="569"/>
      <c r="F440" s="570"/>
      <c r="G440" s="263"/>
      <c r="H440" s="263"/>
      <c r="I440" s="263"/>
      <c r="J440" s="263"/>
      <c r="K440" s="263"/>
      <c r="L440" s="263"/>
      <c r="M440" s="263"/>
      <c r="N440" s="263"/>
      <c r="O440" s="263"/>
      <c r="P440" s="263"/>
      <c r="Q440" s="263"/>
      <c r="R440" s="263"/>
      <c r="S440" s="263"/>
      <c r="T440" s="263"/>
      <c r="U440" s="263"/>
      <c r="V440" s="586"/>
      <c r="W440" s="586"/>
      <c r="X440" s="586"/>
      <c r="Y440" s="586"/>
      <c r="Z440" s="586"/>
      <c r="AA440" s="586"/>
      <c r="AB440" s="586"/>
      <c r="AC440" s="586"/>
      <c r="AD440" s="586"/>
      <c r="AE440" s="586"/>
      <c r="AF440" s="586"/>
      <c r="AG440" s="586"/>
      <c r="AH440" s="586"/>
      <c r="AI440" s="586"/>
      <c r="AJ440" s="586"/>
      <c r="AK440" s="586"/>
      <c r="AL440" s="586"/>
      <c r="AM440" s="586"/>
      <c r="AN440" s="586"/>
      <c r="AO440" s="586"/>
      <c r="AP440" s="586"/>
      <c r="AQ440" s="586"/>
      <c r="AR440" s="586"/>
      <c r="AS440" s="586"/>
      <c r="AT440" s="586"/>
      <c r="AU440" s="586"/>
      <c r="AV440" s="586"/>
      <c r="AW440" s="586"/>
      <c r="AX440" s="586"/>
      <c r="AY440" s="586"/>
      <c r="AZ440" s="586"/>
      <c r="BA440" s="586"/>
      <c r="BB440" s="586"/>
      <c r="BC440" s="574"/>
    </row>
    <row r="441" spans="1:55" s="466" customFormat="1" hidden="1">
      <c r="A441" s="300"/>
      <c r="B441" s="571"/>
      <c r="G441" s="263"/>
      <c r="H441" s="263"/>
      <c r="I441" s="263"/>
      <c r="J441" s="263"/>
      <c r="K441" s="263"/>
      <c r="L441" s="263"/>
      <c r="M441" s="263"/>
      <c r="N441" s="263"/>
      <c r="O441" s="263"/>
      <c r="P441" s="263"/>
      <c r="Q441" s="263"/>
      <c r="R441" s="263"/>
      <c r="S441" s="263"/>
      <c r="T441" s="263"/>
      <c r="U441" s="263"/>
      <c r="V441" s="586"/>
      <c r="W441" s="586"/>
      <c r="X441" s="586"/>
      <c r="Y441" s="586"/>
      <c r="Z441" s="586"/>
      <c r="AA441" s="586"/>
      <c r="AB441" s="586"/>
      <c r="AC441" s="586"/>
      <c r="AD441" s="586"/>
      <c r="AE441" s="586"/>
      <c r="AF441" s="586"/>
      <c r="AG441" s="586"/>
      <c r="AH441" s="586"/>
      <c r="AI441" s="586"/>
      <c r="AJ441" s="586"/>
      <c r="AK441" s="586"/>
      <c r="AL441" s="586"/>
      <c r="AM441" s="586"/>
      <c r="AN441" s="586"/>
      <c r="AO441" s="586"/>
      <c r="AP441" s="586"/>
      <c r="AQ441" s="586"/>
      <c r="AR441" s="586"/>
      <c r="AS441" s="586"/>
      <c r="AT441" s="586"/>
      <c r="AU441" s="586"/>
      <c r="AV441" s="586"/>
      <c r="AW441" s="586"/>
      <c r="AX441" s="586"/>
      <c r="AY441" s="586"/>
      <c r="AZ441" s="586"/>
      <c r="BA441" s="586"/>
      <c r="BB441" s="586"/>
      <c r="BC441" s="574"/>
    </row>
    <row r="442" spans="1:55" s="466" customFormat="1" hidden="1">
      <c r="G442" s="263"/>
      <c r="H442" s="263"/>
      <c r="I442" s="263"/>
      <c r="J442" s="263"/>
      <c r="K442" s="263"/>
      <c r="L442" s="263"/>
      <c r="M442" s="263"/>
      <c r="N442" s="263"/>
      <c r="O442" s="263"/>
      <c r="P442" s="263"/>
      <c r="Q442" s="263"/>
      <c r="R442" s="263"/>
      <c r="S442" s="263"/>
      <c r="T442" s="263"/>
      <c r="U442" s="263"/>
      <c r="V442" s="586"/>
      <c r="W442" s="586"/>
      <c r="X442" s="586"/>
      <c r="Y442" s="586"/>
      <c r="Z442" s="586"/>
      <c r="AA442" s="586"/>
      <c r="AB442" s="586"/>
      <c r="AC442" s="586"/>
      <c r="AD442" s="586"/>
      <c r="AE442" s="586"/>
      <c r="AF442" s="586"/>
      <c r="AG442" s="586"/>
      <c r="AH442" s="586"/>
      <c r="AI442" s="586"/>
      <c r="AJ442" s="586"/>
      <c r="AK442" s="586"/>
      <c r="AL442" s="586"/>
      <c r="AM442" s="586"/>
      <c r="AN442" s="586"/>
      <c r="AO442" s="586"/>
      <c r="AP442" s="586"/>
      <c r="AQ442" s="586"/>
      <c r="AR442" s="586"/>
      <c r="AS442" s="586"/>
      <c r="AT442" s="586"/>
      <c r="AU442" s="586"/>
      <c r="AV442" s="586"/>
      <c r="AW442" s="586"/>
      <c r="AX442" s="586"/>
      <c r="AY442" s="586"/>
      <c r="AZ442" s="586"/>
      <c r="BA442" s="586"/>
      <c r="BB442" s="586"/>
      <c r="BC442" s="574"/>
    </row>
    <row r="443" spans="1:55" s="466" customFormat="1" hidden="1">
      <c r="A443" s="300"/>
      <c r="B443" s="468"/>
      <c r="D443" s="470"/>
      <c r="E443" s="569"/>
      <c r="F443" s="570"/>
      <c r="G443" s="263"/>
      <c r="H443" s="263"/>
      <c r="I443" s="263"/>
      <c r="J443" s="263"/>
      <c r="K443" s="263"/>
      <c r="L443" s="263"/>
      <c r="M443" s="263"/>
      <c r="N443" s="263"/>
      <c r="O443" s="263"/>
      <c r="P443" s="263"/>
      <c r="Q443" s="263"/>
      <c r="R443" s="263"/>
      <c r="S443" s="263"/>
      <c r="T443" s="263"/>
      <c r="U443" s="263"/>
      <c r="V443" s="586"/>
      <c r="W443" s="586"/>
      <c r="X443" s="586"/>
      <c r="Y443" s="586"/>
      <c r="Z443" s="586"/>
      <c r="AA443" s="586"/>
      <c r="AB443" s="586"/>
      <c r="AC443" s="586"/>
      <c r="AD443" s="586"/>
      <c r="AE443" s="586"/>
      <c r="AF443" s="586"/>
      <c r="AG443" s="586"/>
      <c r="AH443" s="586"/>
      <c r="AI443" s="586"/>
      <c r="AJ443" s="586"/>
      <c r="AK443" s="586"/>
      <c r="AL443" s="586"/>
      <c r="AM443" s="586"/>
      <c r="AN443" s="586"/>
      <c r="AO443" s="586"/>
      <c r="AP443" s="586"/>
      <c r="AQ443" s="586"/>
      <c r="AR443" s="586"/>
      <c r="AS443" s="586"/>
      <c r="AT443" s="586"/>
      <c r="AU443" s="586"/>
      <c r="AV443" s="586"/>
      <c r="AW443" s="586"/>
      <c r="AX443" s="586"/>
      <c r="AY443" s="586"/>
      <c r="AZ443" s="586"/>
      <c r="BA443" s="586"/>
      <c r="BB443" s="586"/>
      <c r="BC443" s="574"/>
    </row>
    <row r="444" spans="1:55" s="466" customFormat="1" hidden="1">
      <c r="A444" s="300"/>
      <c r="B444" s="571"/>
      <c r="G444" s="263"/>
      <c r="H444" s="263"/>
      <c r="I444" s="263"/>
      <c r="J444" s="263"/>
      <c r="K444" s="263"/>
      <c r="L444" s="263"/>
      <c r="M444" s="263"/>
      <c r="N444" s="263"/>
      <c r="O444" s="263"/>
      <c r="P444" s="263"/>
      <c r="Q444" s="263"/>
      <c r="R444" s="263"/>
      <c r="S444" s="263"/>
      <c r="T444" s="263"/>
      <c r="U444" s="263"/>
      <c r="V444" s="586"/>
      <c r="W444" s="586"/>
      <c r="X444" s="586"/>
      <c r="Y444" s="586"/>
      <c r="Z444" s="586"/>
      <c r="AA444" s="586"/>
      <c r="AB444" s="586"/>
      <c r="AC444" s="586"/>
      <c r="AD444" s="586"/>
      <c r="AE444" s="586"/>
      <c r="AF444" s="586"/>
      <c r="AG444" s="586"/>
      <c r="AH444" s="586"/>
      <c r="AI444" s="586"/>
      <c r="AJ444" s="586"/>
      <c r="AK444" s="586"/>
      <c r="AL444" s="586"/>
      <c r="AM444" s="586"/>
      <c r="AN444" s="586"/>
      <c r="AO444" s="586"/>
      <c r="AP444" s="586"/>
      <c r="AQ444" s="586"/>
      <c r="AR444" s="586"/>
      <c r="AS444" s="586"/>
      <c r="AT444" s="586"/>
      <c r="AU444" s="586"/>
      <c r="AV444" s="586"/>
      <c r="AW444" s="586"/>
      <c r="AX444" s="586"/>
      <c r="AY444" s="586"/>
      <c r="AZ444" s="586"/>
      <c r="BA444" s="586"/>
      <c r="BB444" s="586"/>
      <c r="BC444" s="574"/>
    </row>
    <row r="445" spans="1:55" s="466" customFormat="1" hidden="1">
      <c r="G445" s="263"/>
      <c r="H445" s="263"/>
      <c r="I445" s="263"/>
      <c r="J445" s="263"/>
      <c r="K445" s="263"/>
      <c r="L445" s="263"/>
      <c r="M445" s="263"/>
      <c r="N445" s="263"/>
      <c r="O445" s="263"/>
      <c r="P445" s="263"/>
      <c r="Q445" s="263"/>
      <c r="R445" s="263"/>
      <c r="S445" s="263"/>
      <c r="T445" s="263"/>
      <c r="U445" s="263"/>
      <c r="V445" s="586"/>
      <c r="W445" s="586"/>
      <c r="X445" s="586"/>
      <c r="Y445" s="586"/>
      <c r="Z445" s="586"/>
      <c r="AA445" s="586"/>
      <c r="AB445" s="586"/>
      <c r="AC445" s="586"/>
      <c r="AD445" s="586"/>
      <c r="AE445" s="586"/>
      <c r="AF445" s="586"/>
      <c r="AG445" s="586"/>
      <c r="AH445" s="586"/>
      <c r="AI445" s="586"/>
      <c r="AJ445" s="586"/>
      <c r="AK445" s="586"/>
      <c r="AL445" s="586"/>
      <c r="AM445" s="586"/>
      <c r="AN445" s="586"/>
      <c r="AO445" s="586"/>
      <c r="AP445" s="586"/>
      <c r="AQ445" s="586"/>
      <c r="AR445" s="586"/>
      <c r="AS445" s="586"/>
      <c r="AT445" s="586"/>
      <c r="AU445" s="586"/>
      <c r="AV445" s="586"/>
      <c r="AW445" s="586"/>
      <c r="AX445" s="586"/>
      <c r="AY445" s="586"/>
      <c r="AZ445" s="586"/>
      <c r="BA445" s="586"/>
      <c r="BB445" s="586"/>
      <c r="BC445" s="574"/>
    </row>
    <row r="446" spans="1:55" s="466" customFormat="1" hidden="1">
      <c r="A446" s="300"/>
      <c r="B446" s="468"/>
      <c r="D446" s="470"/>
      <c r="E446" s="569"/>
      <c r="F446" s="570"/>
      <c r="G446" s="263"/>
      <c r="H446" s="263"/>
      <c r="I446" s="263"/>
      <c r="J446" s="263"/>
      <c r="K446" s="263"/>
      <c r="L446" s="263"/>
      <c r="M446" s="263"/>
      <c r="N446" s="263"/>
      <c r="O446" s="263"/>
      <c r="P446" s="263"/>
      <c r="Q446" s="263"/>
      <c r="R446" s="263"/>
      <c r="S446" s="263"/>
      <c r="T446" s="263"/>
      <c r="U446" s="263"/>
      <c r="V446" s="586"/>
      <c r="W446" s="586"/>
      <c r="X446" s="586"/>
      <c r="Y446" s="586"/>
      <c r="Z446" s="586"/>
      <c r="AA446" s="586"/>
      <c r="AB446" s="586"/>
      <c r="AC446" s="586"/>
      <c r="AD446" s="586"/>
      <c r="AE446" s="586"/>
      <c r="AF446" s="586"/>
      <c r="AG446" s="586"/>
      <c r="AH446" s="586"/>
      <c r="AI446" s="586"/>
      <c r="AJ446" s="586"/>
      <c r="AK446" s="586"/>
      <c r="AL446" s="586"/>
      <c r="AM446" s="586"/>
      <c r="AN446" s="586"/>
      <c r="AO446" s="586"/>
      <c r="AP446" s="586"/>
      <c r="AQ446" s="586"/>
      <c r="AR446" s="586"/>
      <c r="AS446" s="586"/>
      <c r="AT446" s="586"/>
      <c r="AU446" s="586"/>
      <c r="AV446" s="586"/>
      <c r="AW446" s="586"/>
      <c r="AX446" s="586"/>
      <c r="AY446" s="586"/>
      <c r="AZ446" s="586"/>
      <c r="BA446" s="586"/>
      <c r="BB446" s="586"/>
      <c r="BC446" s="574"/>
    </row>
    <row r="447" spans="1:55" s="466" customFormat="1" hidden="1">
      <c r="A447" s="300"/>
      <c r="B447" s="571"/>
      <c r="G447" s="263"/>
      <c r="H447" s="263"/>
      <c r="I447" s="263"/>
      <c r="J447" s="263"/>
      <c r="K447" s="263"/>
      <c r="L447" s="263"/>
      <c r="M447" s="263"/>
      <c r="N447" s="263"/>
      <c r="O447" s="263"/>
      <c r="P447" s="263"/>
      <c r="Q447" s="263"/>
      <c r="R447" s="263"/>
      <c r="S447" s="263"/>
      <c r="T447" s="263"/>
      <c r="U447" s="263"/>
      <c r="V447" s="586"/>
      <c r="W447" s="586"/>
      <c r="X447" s="586"/>
      <c r="Y447" s="586"/>
      <c r="Z447" s="586"/>
      <c r="AA447" s="586"/>
      <c r="AB447" s="586"/>
      <c r="AC447" s="586"/>
      <c r="AD447" s="586"/>
      <c r="AE447" s="586"/>
      <c r="AF447" s="586"/>
      <c r="AG447" s="586"/>
      <c r="AH447" s="586"/>
      <c r="AI447" s="586"/>
      <c r="AJ447" s="586"/>
      <c r="AK447" s="586"/>
      <c r="AL447" s="586"/>
      <c r="AM447" s="586"/>
      <c r="AN447" s="586"/>
      <c r="AO447" s="586"/>
      <c r="AP447" s="586"/>
      <c r="AQ447" s="586"/>
      <c r="AR447" s="586"/>
      <c r="AS447" s="586"/>
      <c r="AT447" s="586"/>
      <c r="AU447" s="586"/>
      <c r="AV447" s="586"/>
      <c r="AW447" s="586"/>
      <c r="AX447" s="586"/>
      <c r="AY447" s="586"/>
      <c r="AZ447" s="586"/>
      <c r="BA447" s="586"/>
      <c r="BB447" s="586"/>
      <c r="BC447" s="574"/>
    </row>
    <row r="448" spans="1:55" s="466" customFormat="1" hidden="1">
      <c r="G448" s="263"/>
      <c r="H448" s="263"/>
      <c r="I448" s="263"/>
      <c r="J448" s="263"/>
      <c r="K448" s="263"/>
      <c r="L448" s="263"/>
      <c r="M448" s="263"/>
      <c r="N448" s="263"/>
      <c r="O448" s="263"/>
      <c r="P448" s="263"/>
      <c r="Q448" s="263"/>
      <c r="R448" s="263"/>
      <c r="S448" s="263"/>
      <c r="T448" s="263"/>
      <c r="U448" s="263"/>
      <c r="V448" s="586"/>
      <c r="W448" s="586"/>
      <c r="X448" s="586"/>
      <c r="Y448" s="586"/>
      <c r="Z448" s="586"/>
      <c r="AA448" s="586"/>
      <c r="AB448" s="586"/>
      <c r="AC448" s="586"/>
      <c r="AD448" s="586"/>
      <c r="AE448" s="586"/>
      <c r="AF448" s="586"/>
      <c r="AG448" s="586"/>
      <c r="AH448" s="586"/>
      <c r="AI448" s="586"/>
      <c r="AJ448" s="586"/>
      <c r="AK448" s="586"/>
      <c r="AL448" s="586"/>
      <c r="AM448" s="586"/>
      <c r="AN448" s="586"/>
      <c r="AO448" s="586"/>
      <c r="AP448" s="586"/>
      <c r="AQ448" s="586"/>
      <c r="AR448" s="586"/>
      <c r="AS448" s="586"/>
      <c r="AT448" s="586"/>
      <c r="AU448" s="586"/>
      <c r="AV448" s="586"/>
      <c r="AW448" s="586"/>
      <c r="AX448" s="586"/>
      <c r="AY448" s="586"/>
      <c r="AZ448" s="586"/>
      <c r="BA448" s="586"/>
      <c r="BB448" s="586"/>
      <c r="BC448" s="574"/>
    </row>
    <row r="449" spans="1:55" s="466" customFormat="1" hidden="1">
      <c r="A449" s="300"/>
      <c r="B449" s="468"/>
      <c r="D449" s="470"/>
      <c r="E449" s="569"/>
      <c r="F449" s="570"/>
      <c r="G449" s="263"/>
      <c r="H449" s="263"/>
      <c r="I449" s="263"/>
      <c r="J449" s="263"/>
      <c r="K449" s="263"/>
      <c r="L449" s="263"/>
      <c r="M449" s="263"/>
      <c r="N449" s="263"/>
      <c r="O449" s="263"/>
      <c r="P449" s="263"/>
      <c r="Q449" s="263"/>
      <c r="R449" s="263"/>
      <c r="S449" s="263"/>
      <c r="T449" s="263"/>
      <c r="U449" s="263"/>
      <c r="V449" s="586"/>
      <c r="W449" s="586"/>
      <c r="X449" s="586"/>
      <c r="Y449" s="586"/>
      <c r="Z449" s="586"/>
      <c r="AA449" s="586"/>
      <c r="AB449" s="586"/>
      <c r="AC449" s="586"/>
      <c r="AD449" s="586"/>
      <c r="AE449" s="586"/>
      <c r="AF449" s="586"/>
      <c r="AG449" s="586"/>
      <c r="AH449" s="586"/>
      <c r="AI449" s="586"/>
      <c r="AJ449" s="586"/>
      <c r="AK449" s="586"/>
      <c r="AL449" s="586"/>
      <c r="AM449" s="586"/>
      <c r="AN449" s="586"/>
      <c r="AO449" s="586"/>
      <c r="AP449" s="586"/>
      <c r="AQ449" s="586"/>
      <c r="AR449" s="586"/>
      <c r="AS449" s="586"/>
      <c r="AT449" s="586"/>
      <c r="AU449" s="586"/>
      <c r="AV449" s="586"/>
      <c r="AW449" s="586"/>
      <c r="AX449" s="586"/>
      <c r="AY449" s="586"/>
      <c r="AZ449" s="586"/>
      <c r="BA449" s="586"/>
      <c r="BB449" s="586"/>
      <c r="BC449" s="574"/>
    </row>
    <row r="450" spans="1:55" s="466" customFormat="1" hidden="1">
      <c r="A450" s="300"/>
      <c r="B450" s="571"/>
      <c r="G450" s="263"/>
      <c r="H450" s="263"/>
      <c r="I450" s="263"/>
      <c r="J450" s="263"/>
      <c r="K450" s="263"/>
      <c r="L450" s="263"/>
      <c r="M450" s="263"/>
      <c r="N450" s="263"/>
      <c r="O450" s="263"/>
      <c r="P450" s="263"/>
      <c r="Q450" s="263"/>
      <c r="R450" s="263"/>
      <c r="S450" s="263"/>
      <c r="T450" s="263"/>
      <c r="U450" s="263"/>
      <c r="V450" s="586"/>
      <c r="W450" s="586"/>
      <c r="X450" s="586"/>
      <c r="Y450" s="586"/>
      <c r="Z450" s="586"/>
      <c r="AA450" s="586"/>
      <c r="AB450" s="586"/>
      <c r="AC450" s="586"/>
      <c r="AD450" s="586"/>
      <c r="AE450" s="586"/>
      <c r="AF450" s="586"/>
      <c r="AG450" s="586"/>
      <c r="AH450" s="586"/>
      <c r="AI450" s="586"/>
      <c r="AJ450" s="586"/>
      <c r="AK450" s="586"/>
      <c r="AL450" s="586"/>
      <c r="AM450" s="586"/>
      <c r="AN450" s="586"/>
      <c r="AO450" s="586"/>
      <c r="AP450" s="586"/>
      <c r="AQ450" s="586"/>
      <c r="AR450" s="586"/>
      <c r="AS450" s="586"/>
      <c r="AT450" s="586"/>
      <c r="AU450" s="586"/>
      <c r="AV450" s="586"/>
      <c r="AW450" s="586"/>
      <c r="AX450" s="586"/>
      <c r="AY450" s="586"/>
      <c r="AZ450" s="586"/>
      <c r="BA450" s="586"/>
      <c r="BB450" s="586"/>
      <c r="BC450" s="574"/>
    </row>
    <row r="451" spans="1:55" s="466" customFormat="1" hidden="1">
      <c r="G451" s="263"/>
      <c r="H451" s="263"/>
      <c r="I451" s="263"/>
      <c r="J451" s="263"/>
      <c r="K451" s="263"/>
      <c r="L451" s="263"/>
      <c r="M451" s="263"/>
      <c r="N451" s="263"/>
      <c r="O451" s="263"/>
      <c r="P451" s="263"/>
      <c r="Q451" s="263"/>
      <c r="R451" s="263"/>
      <c r="S451" s="263"/>
      <c r="T451" s="263"/>
      <c r="U451" s="263"/>
      <c r="V451" s="586"/>
      <c r="W451" s="586"/>
      <c r="X451" s="586"/>
      <c r="Y451" s="586"/>
      <c r="Z451" s="586"/>
      <c r="AA451" s="586"/>
      <c r="AB451" s="586"/>
      <c r="AC451" s="586"/>
      <c r="AD451" s="586"/>
      <c r="AE451" s="586"/>
      <c r="AF451" s="586"/>
      <c r="AG451" s="586"/>
      <c r="AH451" s="586"/>
      <c r="AI451" s="586"/>
      <c r="AJ451" s="586"/>
      <c r="AK451" s="586"/>
      <c r="AL451" s="586"/>
      <c r="AM451" s="586"/>
      <c r="AN451" s="586"/>
      <c r="AO451" s="586"/>
      <c r="AP451" s="586"/>
      <c r="AQ451" s="586"/>
      <c r="AR451" s="586"/>
      <c r="AS451" s="586"/>
      <c r="AT451" s="586"/>
      <c r="AU451" s="586"/>
      <c r="AV451" s="586"/>
      <c r="AW451" s="586"/>
      <c r="AX451" s="586"/>
      <c r="AY451" s="586"/>
      <c r="AZ451" s="586"/>
      <c r="BA451" s="586"/>
      <c r="BB451" s="586"/>
      <c r="BC451" s="574"/>
    </row>
    <row r="452" spans="1:55" s="466" customFormat="1" hidden="1">
      <c r="A452" s="300"/>
      <c r="B452" s="468"/>
      <c r="D452" s="470"/>
      <c r="E452" s="569"/>
      <c r="F452" s="570"/>
      <c r="G452" s="263"/>
      <c r="H452" s="263"/>
      <c r="I452" s="263"/>
      <c r="J452" s="263"/>
      <c r="K452" s="263"/>
      <c r="L452" s="263"/>
      <c r="M452" s="263"/>
      <c r="N452" s="263"/>
      <c r="O452" s="263"/>
      <c r="P452" s="263"/>
      <c r="Q452" s="263"/>
      <c r="R452" s="263"/>
      <c r="S452" s="263"/>
      <c r="T452" s="263"/>
      <c r="U452" s="263"/>
      <c r="V452" s="586"/>
      <c r="W452" s="586"/>
      <c r="X452" s="586"/>
      <c r="Y452" s="586"/>
      <c r="Z452" s="586"/>
      <c r="AA452" s="586"/>
      <c r="AB452" s="586"/>
      <c r="AC452" s="586"/>
      <c r="AD452" s="586"/>
      <c r="AE452" s="586"/>
      <c r="AF452" s="586"/>
      <c r="AG452" s="586"/>
      <c r="AH452" s="586"/>
      <c r="AI452" s="586"/>
      <c r="AJ452" s="586"/>
      <c r="AK452" s="586"/>
      <c r="AL452" s="586"/>
      <c r="AM452" s="586"/>
      <c r="AN452" s="586"/>
      <c r="AO452" s="586"/>
      <c r="AP452" s="586"/>
      <c r="AQ452" s="586"/>
      <c r="AR452" s="586"/>
      <c r="AS452" s="586"/>
      <c r="AT452" s="586"/>
      <c r="AU452" s="586"/>
      <c r="AV452" s="586"/>
      <c r="AW452" s="586"/>
      <c r="AX452" s="586"/>
      <c r="AY452" s="586"/>
      <c r="AZ452" s="586"/>
      <c r="BA452" s="586"/>
      <c r="BB452" s="586"/>
      <c r="BC452" s="574"/>
    </row>
    <row r="453" spans="1:55" s="466" customFormat="1" hidden="1">
      <c r="A453" s="300"/>
      <c r="B453" s="571"/>
      <c r="G453" s="263"/>
      <c r="H453" s="263"/>
      <c r="I453" s="263"/>
      <c r="J453" s="263"/>
      <c r="K453" s="263"/>
      <c r="L453" s="263"/>
      <c r="M453" s="263"/>
      <c r="N453" s="263"/>
      <c r="O453" s="263"/>
      <c r="P453" s="263"/>
      <c r="Q453" s="263"/>
      <c r="R453" s="263"/>
      <c r="S453" s="263"/>
      <c r="T453" s="263"/>
      <c r="U453" s="263"/>
      <c r="V453" s="586"/>
      <c r="W453" s="586"/>
      <c r="X453" s="586"/>
      <c r="Y453" s="586"/>
      <c r="Z453" s="586"/>
      <c r="AA453" s="586"/>
      <c r="AB453" s="586"/>
      <c r="AC453" s="586"/>
      <c r="AD453" s="586"/>
      <c r="AE453" s="586"/>
      <c r="AF453" s="586"/>
      <c r="AG453" s="586"/>
      <c r="AH453" s="586"/>
      <c r="AI453" s="586"/>
      <c r="AJ453" s="586"/>
      <c r="AK453" s="586"/>
      <c r="AL453" s="586"/>
      <c r="AM453" s="586"/>
      <c r="AN453" s="586"/>
      <c r="AO453" s="586"/>
      <c r="AP453" s="586"/>
      <c r="AQ453" s="586"/>
      <c r="AR453" s="586"/>
      <c r="AS453" s="586"/>
      <c r="AT453" s="586"/>
      <c r="AU453" s="586"/>
      <c r="AV453" s="586"/>
      <c r="AW453" s="586"/>
      <c r="AX453" s="586"/>
      <c r="AY453" s="586"/>
      <c r="AZ453" s="586"/>
      <c r="BA453" s="586"/>
      <c r="BB453" s="586"/>
      <c r="BC453" s="574"/>
    </row>
    <row r="454" spans="1:55" s="466" customFormat="1" hidden="1">
      <c r="G454" s="263"/>
      <c r="H454" s="263"/>
      <c r="I454" s="263"/>
      <c r="J454" s="263"/>
      <c r="K454" s="263"/>
      <c r="L454" s="263"/>
      <c r="M454" s="263"/>
      <c r="N454" s="263"/>
      <c r="O454" s="263"/>
      <c r="P454" s="263"/>
      <c r="Q454" s="263"/>
      <c r="R454" s="263"/>
      <c r="S454" s="263"/>
      <c r="T454" s="263"/>
      <c r="U454" s="263"/>
      <c r="V454" s="586"/>
      <c r="W454" s="586"/>
      <c r="X454" s="586"/>
      <c r="Y454" s="586"/>
      <c r="Z454" s="586"/>
      <c r="AA454" s="586"/>
      <c r="AB454" s="586"/>
      <c r="AC454" s="586"/>
      <c r="AD454" s="586"/>
      <c r="AE454" s="586"/>
      <c r="AF454" s="586"/>
      <c r="AG454" s="586"/>
      <c r="AH454" s="586"/>
      <c r="AI454" s="586"/>
      <c r="AJ454" s="586"/>
      <c r="AK454" s="586"/>
      <c r="AL454" s="586"/>
      <c r="AM454" s="586"/>
      <c r="AN454" s="586"/>
      <c r="AO454" s="586"/>
      <c r="AP454" s="586"/>
      <c r="AQ454" s="586"/>
      <c r="AR454" s="586"/>
      <c r="AS454" s="586"/>
      <c r="AT454" s="586"/>
      <c r="AU454" s="586"/>
      <c r="AV454" s="586"/>
      <c r="AW454" s="586"/>
      <c r="AX454" s="586"/>
      <c r="AY454" s="586"/>
      <c r="AZ454" s="586"/>
      <c r="BA454" s="586"/>
      <c r="BB454" s="586"/>
      <c r="BC454" s="574"/>
    </row>
    <row r="455" spans="1:55" s="466" customFormat="1" hidden="1">
      <c r="A455" s="300"/>
      <c r="B455" s="468"/>
      <c r="D455" s="470"/>
      <c r="E455" s="569"/>
      <c r="F455" s="570"/>
      <c r="G455" s="263"/>
      <c r="H455" s="263"/>
      <c r="I455" s="263"/>
      <c r="J455" s="263"/>
      <c r="K455" s="263"/>
      <c r="L455" s="263"/>
      <c r="M455" s="263"/>
      <c r="N455" s="263"/>
      <c r="O455" s="263"/>
      <c r="P455" s="263"/>
      <c r="Q455" s="263"/>
      <c r="R455" s="263"/>
      <c r="S455" s="263"/>
      <c r="T455" s="263"/>
      <c r="U455" s="263"/>
      <c r="V455" s="586"/>
      <c r="W455" s="586"/>
      <c r="X455" s="586"/>
      <c r="Y455" s="586"/>
      <c r="Z455" s="586"/>
      <c r="AA455" s="586"/>
      <c r="AB455" s="586"/>
      <c r="AC455" s="586"/>
      <c r="AD455" s="586"/>
      <c r="AE455" s="586"/>
      <c r="AF455" s="586"/>
      <c r="AG455" s="586"/>
      <c r="AH455" s="586"/>
      <c r="AI455" s="586"/>
      <c r="AJ455" s="586"/>
      <c r="AK455" s="586"/>
      <c r="AL455" s="586"/>
      <c r="AM455" s="586"/>
      <c r="AN455" s="586"/>
      <c r="AO455" s="586"/>
      <c r="AP455" s="586"/>
      <c r="AQ455" s="586"/>
      <c r="AR455" s="586"/>
      <c r="AS455" s="586"/>
      <c r="AT455" s="586"/>
      <c r="AU455" s="586"/>
      <c r="AV455" s="586"/>
      <c r="AW455" s="586"/>
      <c r="AX455" s="586"/>
      <c r="AY455" s="586"/>
      <c r="AZ455" s="586"/>
      <c r="BA455" s="586"/>
      <c r="BB455" s="586"/>
      <c r="BC455" s="574"/>
    </row>
    <row r="456" spans="1:55" s="466" customFormat="1" hidden="1">
      <c r="A456" s="300"/>
      <c r="B456" s="571"/>
      <c r="G456" s="263"/>
      <c r="H456" s="263"/>
      <c r="I456" s="263"/>
      <c r="J456" s="263"/>
      <c r="K456" s="263"/>
      <c r="L456" s="263"/>
      <c r="M456" s="263"/>
      <c r="N456" s="263"/>
      <c r="O456" s="263"/>
      <c r="P456" s="263"/>
      <c r="Q456" s="263"/>
      <c r="R456" s="263"/>
      <c r="S456" s="263"/>
      <c r="T456" s="263"/>
      <c r="U456" s="263"/>
      <c r="V456" s="586"/>
      <c r="W456" s="586"/>
      <c r="X456" s="586"/>
      <c r="Y456" s="586"/>
      <c r="Z456" s="586"/>
      <c r="AA456" s="586"/>
      <c r="AB456" s="586"/>
      <c r="AC456" s="586"/>
      <c r="AD456" s="586"/>
      <c r="AE456" s="586"/>
      <c r="AF456" s="586"/>
      <c r="AG456" s="586"/>
      <c r="AH456" s="586"/>
      <c r="AI456" s="586"/>
      <c r="AJ456" s="586"/>
      <c r="AK456" s="586"/>
      <c r="AL456" s="586"/>
      <c r="AM456" s="586"/>
      <c r="AN456" s="586"/>
      <c r="AO456" s="586"/>
      <c r="AP456" s="586"/>
      <c r="AQ456" s="586"/>
      <c r="AR456" s="586"/>
      <c r="AS456" s="586"/>
      <c r="AT456" s="586"/>
      <c r="AU456" s="586"/>
      <c r="AV456" s="586"/>
      <c r="AW456" s="586"/>
      <c r="AX456" s="586"/>
      <c r="AY456" s="586"/>
      <c r="AZ456" s="586"/>
      <c r="BA456" s="586"/>
      <c r="BB456" s="586"/>
      <c r="BC456" s="574"/>
    </row>
    <row r="457" spans="1:55" s="466" customFormat="1" hidden="1">
      <c r="G457" s="263"/>
      <c r="H457" s="263"/>
      <c r="I457" s="263"/>
      <c r="J457" s="263"/>
      <c r="K457" s="263"/>
      <c r="L457" s="263"/>
      <c r="M457" s="263"/>
      <c r="N457" s="263"/>
      <c r="O457" s="263"/>
      <c r="P457" s="263"/>
      <c r="Q457" s="263"/>
      <c r="R457" s="263"/>
      <c r="S457" s="263"/>
      <c r="T457" s="263"/>
      <c r="U457" s="263"/>
      <c r="V457" s="586"/>
      <c r="W457" s="586"/>
      <c r="X457" s="586"/>
      <c r="Y457" s="586"/>
      <c r="Z457" s="586"/>
      <c r="AA457" s="586"/>
      <c r="AB457" s="586"/>
      <c r="AC457" s="586"/>
      <c r="AD457" s="586"/>
      <c r="AE457" s="586"/>
      <c r="AF457" s="586"/>
      <c r="AG457" s="586"/>
      <c r="AH457" s="586"/>
      <c r="AI457" s="586"/>
      <c r="AJ457" s="586"/>
      <c r="AK457" s="586"/>
      <c r="AL457" s="586"/>
      <c r="AM457" s="586"/>
      <c r="AN457" s="586"/>
      <c r="AO457" s="586"/>
      <c r="AP457" s="586"/>
      <c r="AQ457" s="586"/>
      <c r="AR457" s="586"/>
      <c r="AS457" s="586"/>
      <c r="AT457" s="586"/>
      <c r="AU457" s="586"/>
      <c r="AV457" s="586"/>
      <c r="AW457" s="586"/>
      <c r="AX457" s="586"/>
      <c r="AY457" s="586"/>
      <c r="AZ457" s="586"/>
      <c r="BA457" s="586"/>
      <c r="BB457" s="586"/>
      <c r="BC457" s="574"/>
    </row>
    <row r="458" spans="1:55" s="466" customFormat="1" hidden="1">
      <c r="A458" s="300"/>
      <c r="B458" s="468"/>
      <c r="D458" s="470"/>
      <c r="E458" s="569"/>
      <c r="F458" s="570"/>
      <c r="G458" s="263"/>
      <c r="H458" s="263"/>
      <c r="I458" s="263"/>
      <c r="J458" s="263"/>
      <c r="K458" s="263"/>
      <c r="L458" s="263"/>
      <c r="M458" s="263"/>
      <c r="N458" s="263"/>
      <c r="O458" s="263"/>
      <c r="P458" s="263"/>
      <c r="Q458" s="263"/>
      <c r="R458" s="263"/>
      <c r="S458" s="263"/>
      <c r="T458" s="263"/>
      <c r="U458" s="263"/>
      <c r="V458" s="586"/>
      <c r="W458" s="586"/>
      <c r="X458" s="586"/>
      <c r="Y458" s="586"/>
      <c r="Z458" s="586"/>
      <c r="AA458" s="586"/>
      <c r="AB458" s="586"/>
      <c r="AC458" s="586"/>
      <c r="AD458" s="586"/>
      <c r="AE458" s="586"/>
      <c r="AF458" s="586"/>
      <c r="AG458" s="586"/>
      <c r="AH458" s="586"/>
      <c r="AI458" s="586"/>
      <c r="AJ458" s="586"/>
      <c r="AK458" s="586"/>
      <c r="AL458" s="586"/>
      <c r="AM458" s="586"/>
      <c r="AN458" s="586"/>
      <c r="AO458" s="586"/>
      <c r="AP458" s="586"/>
      <c r="AQ458" s="586"/>
      <c r="AR458" s="586"/>
      <c r="AS458" s="586"/>
      <c r="AT458" s="586"/>
      <c r="AU458" s="586"/>
      <c r="AV458" s="586"/>
      <c r="AW458" s="586"/>
      <c r="AX458" s="586"/>
      <c r="AY458" s="586"/>
      <c r="AZ458" s="586"/>
      <c r="BA458" s="586"/>
      <c r="BB458" s="586"/>
      <c r="BC458" s="574"/>
    </row>
    <row r="459" spans="1:55" s="466" customFormat="1" hidden="1">
      <c r="A459" s="300"/>
      <c r="B459" s="571"/>
      <c r="G459" s="263"/>
      <c r="H459" s="263"/>
      <c r="I459" s="263"/>
      <c r="J459" s="263"/>
      <c r="K459" s="263"/>
      <c r="L459" s="263"/>
      <c r="M459" s="263"/>
      <c r="N459" s="263"/>
      <c r="O459" s="263"/>
      <c r="P459" s="263"/>
      <c r="Q459" s="263"/>
      <c r="R459" s="263"/>
      <c r="S459" s="263"/>
      <c r="T459" s="263"/>
      <c r="U459" s="263"/>
      <c r="V459" s="586"/>
      <c r="W459" s="586"/>
      <c r="X459" s="586"/>
      <c r="Y459" s="586"/>
      <c r="Z459" s="586"/>
      <c r="AA459" s="586"/>
      <c r="AB459" s="586"/>
      <c r="AC459" s="586"/>
      <c r="AD459" s="586"/>
      <c r="AE459" s="586"/>
      <c r="AF459" s="586"/>
      <c r="AG459" s="586"/>
      <c r="AH459" s="586"/>
      <c r="AI459" s="586"/>
      <c r="AJ459" s="586"/>
      <c r="AK459" s="586"/>
      <c r="AL459" s="586"/>
      <c r="AM459" s="586"/>
      <c r="AN459" s="586"/>
      <c r="AO459" s="586"/>
      <c r="AP459" s="586"/>
      <c r="AQ459" s="586"/>
      <c r="AR459" s="586"/>
      <c r="AS459" s="586"/>
      <c r="AT459" s="586"/>
      <c r="AU459" s="586"/>
      <c r="AV459" s="586"/>
      <c r="AW459" s="586"/>
      <c r="AX459" s="586"/>
      <c r="AY459" s="586"/>
      <c r="AZ459" s="586"/>
      <c r="BA459" s="586"/>
      <c r="BB459" s="586"/>
      <c r="BC459" s="574"/>
    </row>
    <row r="460" spans="1:55" s="466" customFormat="1" hidden="1">
      <c r="G460" s="263"/>
      <c r="H460" s="263"/>
      <c r="I460" s="263"/>
      <c r="J460" s="263"/>
      <c r="K460" s="263"/>
      <c r="L460" s="263"/>
      <c r="M460" s="263"/>
      <c r="N460" s="263"/>
      <c r="O460" s="263"/>
      <c r="P460" s="263"/>
      <c r="Q460" s="263"/>
      <c r="R460" s="263"/>
      <c r="S460" s="263"/>
      <c r="T460" s="263"/>
      <c r="U460" s="263"/>
      <c r="V460" s="586"/>
      <c r="W460" s="586"/>
      <c r="X460" s="586"/>
      <c r="Y460" s="586"/>
      <c r="Z460" s="586"/>
      <c r="AA460" s="586"/>
      <c r="AB460" s="586"/>
      <c r="AC460" s="586"/>
      <c r="AD460" s="586"/>
      <c r="AE460" s="586"/>
      <c r="AF460" s="586"/>
      <c r="AG460" s="586"/>
      <c r="AH460" s="586"/>
      <c r="AI460" s="586"/>
      <c r="AJ460" s="586"/>
      <c r="AK460" s="586"/>
      <c r="AL460" s="586"/>
      <c r="AM460" s="586"/>
      <c r="AN460" s="586"/>
      <c r="AO460" s="586"/>
      <c r="AP460" s="586"/>
      <c r="AQ460" s="586"/>
      <c r="AR460" s="586"/>
      <c r="AS460" s="586"/>
      <c r="AT460" s="586"/>
      <c r="AU460" s="586"/>
      <c r="AV460" s="586"/>
      <c r="AW460" s="586"/>
      <c r="AX460" s="586"/>
      <c r="AY460" s="586"/>
      <c r="AZ460" s="586"/>
      <c r="BA460" s="586"/>
      <c r="BB460" s="586"/>
      <c r="BC460" s="574"/>
    </row>
    <row r="461" spans="1:55" s="466" customFormat="1" hidden="1">
      <c r="A461" s="300"/>
      <c r="B461" s="468"/>
      <c r="D461" s="470"/>
      <c r="E461" s="569"/>
      <c r="F461" s="570"/>
      <c r="G461" s="263"/>
      <c r="H461" s="263"/>
      <c r="I461" s="263"/>
      <c r="J461" s="263"/>
      <c r="K461" s="263"/>
      <c r="L461" s="263"/>
      <c r="M461" s="263"/>
      <c r="N461" s="263"/>
      <c r="O461" s="263"/>
      <c r="P461" s="263"/>
      <c r="Q461" s="263"/>
      <c r="R461" s="263"/>
      <c r="S461" s="263"/>
      <c r="T461" s="263"/>
      <c r="U461" s="263"/>
      <c r="V461" s="586"/>
      <c r="W461" s="586"/>
      <c r="X461" s="586"/>
      <c r="Y461" s="586"/>
      <c r="Z461" s="586"/>
      <c r="AA461" s="586"/>
      <c r="AB461" s="586"/>
      <c r="AC461" s="586"/>
      <c r="AD461" s="586"/>
      <c r="AE461" s="586"/>
      <c r="AF461" s="586"/>
      <c r="AG461" s="586"/>
      <c r="AH461" s="586"/>
      <c r="AI461" s="586"/>
      <c r="AJ461" s="586"/>
      <c r="AK461" s="586"/>
      <c r="AL461" s="586"/>
      <c r="AM461" s="586"/>
      <c r="AN461" s="586"/>
      <c r="AO461" s="586"/>
      <c r="AP461" s="586"/>
      <c r="AQ461" s="586"/>
      <c r="AR461" s="586"/>
      <c r="AS461" s="586"/>
      <c r="AT461" s="586"/>
      <c r="AU461" s="586"/>
      <c r="AV461" s="586"/>
      <c r="AW461" s="586"/>
      <c r="AX461" s="586"/>
      <c r="AY461" s="586"/>
      <c r="AZ461" s="586"/>
      <c r="BA461" s="586"/>
      <c r="BB461" s="586"/>
      <c r="BC461" s="574"/>
    </row>
    <row r="462" spans="1:55" s="466" customFormat="1" hidden="1">
      <c r="A462" s="300"/>
      <c r="B462" s="571"/>
      <c r="G462" s="263"/>
      <c r="H462" s="263"/>
      <c r="I462" s="263"/>
      <c r="J462" s="263"/>
      <c r="K462" s="263"/>
      <c r="L462" s="263"/>
      <c r="M462" s="263"/>
      <c r="N462" s="263"/>
      <c r="O462" s="263"/>
      <c r="P462" s="263"/>
      <c r="Q462" s="263"/>
      <c r="R462" s="263"/>
      <c r="S462" s="263"/>
      <c r="T462" s="263"/>
      <c r="U462" s="263"/>
      <c r="V462" s="586"/>
      <c r="W462" s="586"/>
      <c r="X462" s="586"/>
      <c r="Y462" s="586"/>
      <c r="Z462" s="586"/>
      <c r="AA462" s="586"/>
      <c r="AB462" s="586"/>
      <c r="AC462" s="586"/>
      <c r="AD462" s="586"/>
      <c r="AE462" s="586"/>
      <c r="AF462" s="586"/>
      <c r="AG462" s="586"/>
      <c r="AH462" s="586"/>
      <c r="AI462" s="586"/>
      <c r="AJ462" s="586"/>
      <c r="AK462" s="586"/>
      <c r="AL462" s="586"/>
      <c r="AM462" s="586"/>
      <c r="AN462" s="586"/>
      <c r="AO462" s="586"/>
      <c r="AP462" s="586"/>
      <c r="AQ462" s="586"/>
      <c r="AR462" s="586"/>
      <c r="AS462" s="586"/>
      <c r="AT462" s="586"/>
      <c r="AU462" s="586"/>
      <c r="AV462" s="586"/>
      <c r="AW462" s="586"/>
      <c r="AX462" s="586"/>
      <c r="AY462" s="586"/>
      <c r="AZ462" s="586"/>
      <c r="BA462" s="586"/>
      <c r="BB462" s="586"/>
      <c r="BC462" s="574"/>
    </row>
    <row r="463" spans="1:55" s="466" customFormat="1" hidden="1">
      <c r="G463" s="263"/>
      <c r="H463" s="263"/>
      <c r="I463" s="263"/>
      <c r="J463" s="263"/>
      <c r="K463" s="263"/>
      <c r="L463" s="263"/>
      <c r="M463" s="263"/>
      <c r="N463" s="263"/>
      <c r="O463" s="263"/>
      <c r="P463" s="263"/>
      <c r="Q463" s="263"/>
      <c r="R463" s="263"/>
      <c r="S463" s="263"/>
      <c r="T463" s="263"/>
      <c r="U463" s="263"/>
      <c r="V463" s="586"/>
      <c r="W463" s="586"/>
      <c r="X463" s="586"/>
      <c r="Y463" s="586"/>
      <c r="Z463" s="586"/>
      <c r="AA463" s="586"/>
      <c r="AB463" s="586"/>
      <c r="AC463" s="586"/>
      <c r="AD463" s="586"/>
      <c r="AE463" s="586"/>
      <c r="AF463" s="586"/>
      <c r="AG463" s="586"/>
      <c r="AH463" s="586"/>
      <c r="AI463" s="586"/>
      <c r="AJ463" s="586"/>
      <c r="AK463" s="586"/>
      <c r="AL463" s="586"/>
      <c r="AM463" s="586"/>
      <c r="AN463" s="586"/>
      <c r="AO463" s="586"/>
      <c r="AP463" s="586"/>
      <c r="AQ463" s="586"/>
      <c r="AR463" s="586"/>
      <c r="AS463" s="586"/>
      <c r="AT463" s="586"/>
      <c r="AU463" s="586"/>
      <c r="AV463" s="586"/>
      <c r="AW463" s="586"/>
      <c r="AX463" s="586"/>
      <c r="AY463" s="586"/>
      <c r="AZ463" s="586"/>
      <c r="BA463" s="586"/>
      <c r="BB463" s="586"/>
      <c r="BC463" s="574"/>
    </row>
    <row r="464" spans="1:55" s="466" customFormat="1" hidden="1">
      <c r="A464" s="300"/>
      <c r="B464" s="468"/>
      <c r="D464" s="573"/>
      <c r="E464" s="569"/>
      <c r="F464" s="570"/>
      <c r="G464" s="263"/>
      <c r="H464" s="263"/>
      <c r="I464" s="263"/>
      <c r="J464" s="263"/>
      <c r="K464" s="263"/>
      <c r="L464" s="263"/>
      <c r="M464" s="263"/>
      <c r="N464" s="263"/>
      <c r="O464" s="263"/>
      <c r="P464" s="263"/>
      <c r="Q464" s="263"/>
      <c r="R464" s="263"/>
      <c r="S464" s="263"/>
      <c r="T464" s="263"/>
      <c r="U464" s="263"/>
      <c r="V464" s="586"/>
      <c r="W464" s="586"/>
      <c r="X464" s="586"/>
      <c r="Y464" s="586"/>
      <c r="Z464" s="586"/>
      <c r="AA464" s="586"/>
      <c r="AB464" s="586"/>
      <c r="AC464" s="586"/>
      <c r="AD464" s="586"/>
      <c r="AE464" s="586"/>
      <c r="AF464" s="586"/>
      <c r="AG464" s="586"/>
      <c r="AH464" s="586"/>
      <c r="AI464" s="586"/>
      <c r="AJ464" s="586"/>
      <c r="AK464" s="586"/>
      <c r="AL464" s="586"/>
      <c r="AM464" s="586"/>
      <c r="AN464" s="586"/>
      <c r="AO464" s="586"/>
      <c r="AP464" s="586"/>
      <c r="AQ464" s="586"/>
      <c r="AR464" s="586"/>
      <c r="AS464" s="586"/>
      <c r="AT464" s="586"/>
      <c r="AU464" s="586"/>
      <c r="AV464" s="586"/>
      <c r="AW464" s="586"/>
      <c r="AX464" s="586"/>
      <c r="AY464" s="586"/>
      <c r="AZ464" s="586"/>
      <c r="BA464" s="586"/>
      <c r="BB464" s="586"/>
      <c r="BC464" s="574"/>
    </row>
    <row r="465" spans="1:55" s="466" customFormat="1" hidden="1">
      <c r="A465" s="300"/>
      <c r="B465" s="571"/>
      <c r="G465" s="263"/>
      <c r="H465" s="263"/>
      <c r="I465" s="263"/>
      <c r="J465" s="263"/>
      <c r="K465" s="263"/>
      <c r="L465" s="263"/>
      <c r="M465" s="263"/>
      <c r="N465" s="263"/>
      <c r="O465" s="263"/>
      <c r="P465" s="263"/>
      <c r="Q465" s="263"/>
      <c r="R465" s="263"/>
      <c r="S465" s="263"/>
      <c r="T465" s="263"/>
      <c r="U465" s="263"/>
      <c r="V465" s="586"/>
      <c r="W465" s="586"/>
      <c r="X465" s="586"/>
      <c r="Y465" s="586"/>
      <c r="Z465" s="586"/>
      <c r="AA465" s="586"/>
      <c r="AB465" s="586"/>
      <c r="AC465" s="586"/>
      <c r="AD465" s="586"/>
      <c r="AE465" s="586"/>
      <c r="AF465" s="586"/>
      <c r="AG465" s="586"/>
      <c r="AH465" s="586"/>
      <c r="AI465" s="586"/>
      <c r="AJ465" s="586"/>
      <c r="AK465" s="586"/>
      <c r="AL465" s="586"/>
      <c r="AM465" s="586"/>
      <c r="AN465" s="586"/>
      <c r="AO465" s="586"/>
      <c r="AP465" s="586"/>
      <c r="AQ465" s="586"/>
      <c r="AR465" s="586"/>
      <c r="AS465" s="586"/>
      <c r="AT465" s="586"/>
      <c r="AU465" s="586"/>
      <c r="AV465" s="586"/>
      <c r="AW465" s="586"/>
      <c r="AX465" s="586"/>
      <c r="AY465" s="586"/>
      <c r="AZ465" s="586"/>
      <c r="BA465" s="586"/>
      <c r="BB465" s="586"/>
      <c r="BC465" s="574"/>
    </row>
    <row r="466" spans="1:55" s="466" customFormat="1" hidden="1">
      <c r="G466" s="263"/>
      <c r="H466" s="263"/>
      <c r="I466" s="263"/>
      <c r="J466" s="263"/>
      <c r="K466" s="263"/>
      <c r="L466" s="263"/>
      <c r="M466" s="263"/>
      <c r="N466" s="263"/>
      <c r="O466" s="263"/>
      <c r="P466" s="263"/>
      <c r="Q466" s="263"/>
      <c r="R466" s="263"/>
      <c r="S466" s="263"/>
      <c r="T466" s="263"/>
      <c r="U466" s="263"/>
      <c r="V466" s="586"/>
      <c r="W466" s="586"/>
      <c r="X466" s="586"/>
      <c r="Y466" s="586"/>
      <c r="Z466" s="586"/>
      <c r="AA466" s="586"/>
      <c r="AB466" s="586"/>
      <c r="AC466" s="586"/>
      <c r="AD466" s="586"/>
      <c r="AE466" s="586"/>
      <c r="AF466" s="586"/>
      <c r="AG466" s="586"/>
      <c r="AH466" s="586"/>
      <c r="AI466" s="586"/>
      <c r="AJ466" s="586"/>
      <c r="AK466" s="586"/>
      <c r="AL466" s="586"/>
      <c r="AM466" s="586"/>
      <c r="AN466" s="586"/>
      <c r="AO466" s="586"/>
      <c r="AP466" s="586"/>
      <c r="AQ466" s="586"/>
      <c r="AR466" s="586"/>
      <c r="AS466" s="586"/>
      <c r="AT466" s="586"/>
      <c r="AU466" s="586"/>
      <c r="AV466" s="586"/>
      <c r="AW466" s="586"/>
      <c r="AX466" s="586"/>
      <c r="AY466" s="586"/>
      <c r="AZ466" s="586"/>
      <c r="BA466" s="586"/>
      <c r="BB466" s="586"/>
      <c r="BC466" s="574"/>
    </row>
    <row r="467" spans="1:55" s="466" customFormat="1" hidden="1">
      <c r="A467" s="300"/>
      <c r="B467" s="468"/>
      <c r="D467" s="470"/>
      <c r="E467" s="569"/>
      <c r="F467" s="570"/>
      <c r="G467" s="263"/>
      <c r="H467" s="263"/>
      <c r="I467" s="263"/>
      <c r="J467" s="263"/>
      <c r="K467" s="263"/>
      <c r="L467" s="263"/>
      <c r="M467" s="263"/>
      <c r="N467" s="263"/>
      <c r="O467" s="263"/>
      <c r="P467" s="263"/>
      <c r="Q467" s="263"/>
      <c r="R467" s="263"/>
      <c r="S467" s="263"/>
      <c r="T467" s="263"/>
      <c r="U467" s="263"/>
      <c r="V467" s="586"/>
      <c r="W467" s="586"/>
      <c r="X467" s="586"/>
      <c r="Y467" s="586"/>
      <c r="Z467" s="586"/>
      <c r="AA467" s="586"/>
      <c r="AB467" s="586"/>
      <c r="AC467" s="586"/>
      <c r="AD467" s="586"/>
      <c r="AE467" s="586"/>
      <c r="AF467" s="586"/>
      <c r="AG467" s="586"/>
      <c r="AH467" s="586"/>
      <c r="AI467" s="586"/>
      <c r="AJ467" s="586"/>
      <c r="AK467" s="586"/>
      <c r="AL467" s="586"/>
      <c r="AM467" s="586"/>
      <c r="AN467" s="586"/>
      <c r="AO467" s="586"/>
      <c r="AP467" s="586"/>
      <c r="AQ467" s="586"/>
      <c r="AR467" s="586"/>
      <c r="AS467" s="586"/>
      <c r="AT467" s="586"/>
      <c r="AU467" s="586"/>
      <c r="AV467" s="586"/>
      <c r="AW467" s="586"/>
      <c r="AX467" s="586"/>
      <c r="AY467" s="586"/>
      <c r="AZ467" s="586"/>
      <c r="BA467" s="586"/>
      <c r="BB467" s="586"/>
      <c r="BC467" s="574"/>
    </row>
    <row r="468" spans="1:55" s="466" customFormat="1" hidden="1">
      <c r="A468" s="300"/>
      <c r="B468" s="571"/>
      <c r="G468" s="263"/>
      <c r="H468" s="263"/>
      <c r="I468" s="263"/>
      <c r="J468" s="263"/>
      <c r="K468" s="263"/>
      <c r="L468" s="263"/>
      <c r="M468" s="263"/>
      <c r="N468" s="263"/>
      <c r="O468" s="263"/>
      <c r="P468" s="263"/>
      <c r="Q468" s="263"/>
      <c r="R468" s="263"/>
      <c r="S468" s="263"/>
      <c r="T468" s="263"/>
      <c r="U468" s="263"/>
      <c r="V468" s="586"/>
      <c r="W468" s="586"/>
      <c r="X468" s="586"/>
      <c r="Y468" s="586"/>
      <c r="Z468" s="586"/>
      <c r="AA468" s="586"/>
      <c r="AB468" s="586"/>
      <c r="AC468" s="586"/>
      <c r="AD468" s="586"/>
      <c r="AE468" s="586"/>
      <c r="AF468" s="586"/>
      <c r="AG468" s="586"/>
      <c r="AH468" s="586"/>
      <c r="AI468" s="586"/>
      <c r="AJ468" s="586"/>
      <c r="AK468" s="586"/>
      <c r="AL468" s="586"/>
      <c r="AM468" s="586"/>
      <c r="AN468" s="586"/>
      <c r="AO468" s="586"/>
      <c r="AP468" s="586"/>
      <c r="AQ468" s="586"/>
      <c r="AR468" s="586"/>
      <c r="AS468" s="586"/>
      <c r="AT468" s="586"/>
      <c r="AU468" s="586"/>
      <c r="AV468" s="586"/>
      <c r="AW468" s="586"/>
      <c r="AX468" s="586"/>
      <c r="AY468" s="586"/>
      <c r="AZ468" s="586"/>
      <c r="BA468" s="586"/>
      <c r="BB468" s="586"/>
      <c r="BC468" s="574"/>
    </row>
    <row r="469" spans="1:55" s="466" customFormat="1" hidden="1">
      <c r="G469" s="263"/>
      <c r="H469" s="263"/>
      <c r="I469" s="263"/>
      <c r="J469" s="263"/>
      <c r="K469" s="263"/>
      <c r="L469" s="263"/>
      <c r="M469" s="263"/>
      <c r="N469" s="263"/>
      <c r="O469" s="263"/>
      <c r="P469" s="263"/>
      <c r="Q469" s="263"/>
      <c r="R469" s="263"/>
      <c r="S469" s="263"/>
      <c r="T469" s="263"/>
      <c r="U469" s="263"/>
      <c r="V469" s="586"/>
      <c r="W469" s="586"/>
      <c r="X469" s="586"/>
      <c r="Y469" s="586"/>
      <c r="Z469" s="586"/>
      <c r="AA469" s="586"/>
      <c r="AB469" s="586"/>
      <c r="AC469" s="586"/>
      <c r="AD469" s="586"/>
      <c r="AE469" s="586"/>
      <c r="AF469" s="586"/>
      <c r="AG469" s="586"/>
      <c r="AH469" s="586"/>
      <c r="AI469" s="586"/>
      <c r="AJ469" s="586"/>
      <c r="AK469" s="586"/>
      <c r="AL469" s="586"/>
      <c r="AM469" s="586"/>
      <c r="AN469" s="586"/>
      <c r="AO469" s="586"/>
      <c r="AP469" s="586"/>
      <c r="AQ469" s="586"/>
      <c r="AR469" s="586"/>
      <c r="AS469" s="586"/>
      <c r="AT469" s="586"/>
      <c r="AU469" s="586"/>
      <c r="AV469" s="586"/>
      <c r="AW469" s="586"/>
      <c r="AX469" s="586"/>
      <c r="AY469" s="586"/>
      <c r="AZ469" s="586"/>
      <c r="BA469" s="586"/>
      <c r="BB469" s="586"/>
      <c r="BC469" s="574"/>
    </row>
    <row r="470" spans="1:55" s="466" customFormat="1" hidden="1">
      <c r="A470" s="300"/>
      <c r="B470" s="468"/>
      <c r="D470" s="470"/>
      <c r="E470" s="569"/>
      <c r="F470" s="570"/>
      <c r="G470" s="263"/>
      <c r="H470" s="263"/>
      <c r="I470" s="263"/>
      <c r="J470" s="263"/>
      <c r="K470" s="263"/>
      <c r="L470" s="263"/>
      <c r="M470" s="263"/>
      <c r="N470" s="263"/>
      <c r="O470" s="263"/>
      <c r="P470" s="263"/>
      <c r="Q470" s="263"/>
      <c r="R470" s="263"/>
      <c r="S470" s="263"/>
      <c r="T470" s="263"/>
      <c r="U470" s="263"/>
      <c r="V470" s="586"/>
      <c r="W470" s="586"/>
      <c r="X470" s="586"/>
      <c r="Y470" s="586"/>
      <c r="Z470" s="586"/>
      <c r="AA470" s="586"/>
      <c r="AB470" s="586"/>
      <c r="AC470" s="586"/>
      <c r="AD470" s="586"/>
      <c r="AE470" s="586"/>
      <c r="AF470" s="586"/>
      <c r="AG470" s="586"/>
      <c r="AH470" s="586"/>
      <c r="AI470" s="586"/>
      <c r="AJ470" s="586"/>
      <c r="AK470" s="586"/>
      <c r="AL470" s="586"/>
      <c r="AM470" s="586"/>
      <c r="AN470" s="586"/>
      <c r="AO470" s="586"/>
      <c r="AP470" s="586"/>
      <c r="AQ470" s="586"/>
      <c r="AR470" s="586"/>
      <c r="AS470" s="586"/>
      <c r="AT470" s="586"/>
      <c r="AU470" s="586"/>
      <c r="AV470" s="586"/>
      <c r="AW470" s="586"/>
      <c r="AX470" s="586"/>
      <c r="AY470" s="586"/>
      <c r="AZ470" s="586"/>
      <c r="BA470" s="586"/>
      <c r="BB470" s="586"/>
      <c r="BC470" s="574"/>
    </row>
    <row r="471" spans="1:55" s="466" customFormat="1" hidden="1">
      <c r="A471" s="300"/>
      <c r="B471" s="571"/>
      <c r="G471" s="263"/>
      <c r="H471" s="263"/>
      <c r="I471" s="263"/>
      <c r="J471" s="263"/>
      <c r="K471" s="263"/>
      <c r="L471" s="263"/>
      <c r="M471" s="263"/>
      <c r="N471" s="263"/>
      <c r="O471" s="263"/>
      <c r="P471" s="263"/>
      <c r="Q471" s="263"/>
      <c r="R471" s="263"/>
      <c r="S471" s="263"/>
      <c r="T471" s="263"/>
      <c r="U471" s="263"/>
      <c r="V471" s="586"/>
      <c r="W471" s="586"/>
      <c r="X471" s="586"/>
      <c r="Y471" s="586"/>
      <c r="Z471" s="586"/>
      <c r="AA471" s="586"/>
      <c r="AB471" s="586"/>
      <c r="AC471" s="586"/>
      <c r="AD471" s="586"/>
      <c r="AE471" s="586"/>
      <c r="AF471" s="586"/>
      <c r="AG471" s="586"/>
      <c r="AH471" s="586"/>
      <c r="AI471" s="586"/>
      <c r="AJ471" s="586"/>
      <c r="AK471" s="586"/>
      <c r="AL471" s="586"/>
      <c r="AM471" s="586"/>
      <c r="AN471" s="586"/>
      <c r="AO471" s="586"/>
      <c r="AP471" s="586"/>
      <c r="AQ471" s="586"/>
      <c r="AR471" s="586"/>
      <c r="AS471" s="586"/>
      <c r="AT471" s="586"/>
      <c r="AU471" s="586"/>
      <c r="AV471" s="586"/>
      <c r="AW471" s="586"/>
      <c r="AX471" s="586"/>
      <c r="AY471" s="586"/>
      <c r="AZ471" s="586"/>
      <c r="BA471" s="586"/>
      <c r="BB471" s="586"/>
      <c r="BC471" s="574"/>
    </row>
    <row r="472" spans="1:55" s="466" customFormat="1" hidden="1">
      <c r="G472" s="263"/>
      <c r="H472" s="263"/>
      <c r="I472" s="263"/>
      <c r="J472" s="263"/>
      <c r="K472" s="263"/>
      <c r="L472" s="263"/>
      <c r="M472" s="263"/>
      <c r="N472" s="263"/>
      <c r="O472" s="263"/>
      <c r="P472" s="263"/>
      <c r="Q472" s="263"/>
      <c r="R472" s="263"/>
      <c r="S472" s="263"/>
      <c r="T472" s="263"/>
      <c r="U472" s="263"/>
      <c r="V472" s="586"/>
      <c r="W472" s="586"/>
      <c r="X472" s="586"/>
      <c r="Y472" s="586"/>
      <c r="Z472" s="586"/>
      <c r="AA472" s="586"/>
      <c r="AB472" s="586"/>
      <c r="AC472" s="586"/>
      <c r="AD472" s="586"/>
      <c r="AE472" s="586"/>
      <c r="AF472" s="586"/>
      <c r="AG472" s="586"/>
      <c r="AH472" s="586"/>
      <c r="AI472" s="586"/>
      <c r="AJ472" s="586"/>
      <c r="AK472" s="586"/>
      <c r="AL472" s="586"/>
      <c r="AM472" s="586"/>
      <c r="AN472" s="586"/>
      <c r="AO472" s="586"/>
      <c r="AP472" s="586"/>
      <c r="AQ472" s="586"/>
      <c r="AR472" s="586"/>
      <c r="AS472" s="586"/>
      <c r="AT472" s="586"/>
      <c r="AU472" s="586"/>
      <c r="AV472" s="586"/>
      <c r="AW472" s="586"/>
      <c r="AX472" s="586"/>
      <c r="AY472" s="586"/>
      <c r="AZ472" s="586"/>
      <c r="BA472" s="586"/>
      <c r="BB472" s="586"/>
      <c r="BC472" s="574"/>
    </row>
    <row r="473" spans="1:55" s="466" customFormat="1" hidden="1">
      <c r="A473" s="300"/>
      <c r="B473" s="468"/>
      <c r="D473" s="470"/>
      <c r="E473" s="569"/>
      <c r="F473" s="570"/>
      <c r="G473" s="263"/>
      <c r="H473" s="263"/>
      <c r="I473" s="263"/>
      <c r="J473" s="263"/>
      <c r="K473" s="263"/>
      <c r="L473" s="263"/>
      <c r="M473" s="263"/>
      <c r="N473" s="263"/>
      <c r="O473" s="263"/>
      <c r="P473" s="263"/>
      <c r="Q473" s="263"/>
      <c r="R473" s="263"/>
      <c r="S473" s="263"/>
      <c r="T473" s="263"/>
      <c r="U473" s="263"/>
      <c r="V473" s="586"/>
      <c r="W473" s="586"/>
      <c r="X473" s="586"/>
      <c r="Y473" s="586"/>
      <c r="Z473" s="586"/>
      <c r="AA473" s="586"/>
      <c r="AB473" s="586"/>
      <c r="AC473" s="586"/>
      <c r="AD473" s="586"/>
      <c r="AE473" s="586"/>
      <c r="AF473" s="586"/>
      <c r="AG473" s="586"/>
      <c r="AH473" s="586"/>
      <c r="AI473" s="586"/>
      <c r="AJ473" s="586"/>
      <c r="AK473" s="586"/>
      <c r="AL473" s="586"/>
      <c r="AM473" s="586"/>
      <c r="AN473" s="586"/>
      <c r="AO473" s="586"/>
      <c r="AP473" s="586"/>
      <c r="AQ473" s="586"/>
      <c r="AR473" s="586"/>
      <c r="AS473" s="586"/>
      <c r="AT473" s="586"/>
      <c r="AU473" s="586"/>
      <c r="AV473" s="586"/>
      <c r="AW473" s="586"/>
      <c r="AX473" s="586"/>
      <c r="AY473" s="586"/>
      <c r="AZ473" s="586"/>
      <c r="BA473" s="586"/>
      <c r="BB473" s="586"/>
      <c r="BC473" s="574"/>
    </row>
    <row r="474" spans="1:55" s="466" customFormat="1" hidden="1">
      <c r="A474" s="300"/>
      <c r="B474" s="571"/>
      <c r="G474" s="263"/>
      <c r="H474" s="263"/>
      <c r="I474" s="263"/>
      <c r="J474" s="263"/>
      <c r="K474" s="263"/>
      <c r="L474" s="263"/>
      <c r="M474" s="263"/>
      <c r="N474" s="263"/>
      <c r="O474" s="263"/>
      <c r="P474" s="263"/>
      <c r="Q474" s="263"/>
      <c r="R474" s="263"/>
      <c r="S474" s="263"/>
      <c r="T474" s="263"/>
      <c r="U474" s="263"/>
      <c r="V474" s="586"/>
      <c r="W474" s="586"/>
      <c r="X474" s="586"/>
      <c r="Y474" s="586"/>
      <c r="Z474" s="586"/>
      <c r="AA474" s="586"/>
      <c r="AB474" s="586"/>
      <c r="AC474" s="586"/>
      <c r="AD474" s="586"/>
      <c r="AE474" s="586"/>
      <c r="AF474" s="586"/>
      <c r="AG474" s="586"/>
      <c r="AH474" s="586"/>
      <c r="AI474" s="586"/>
      <c r="AJ474" s="586"/>
      <c r="AK474" s="586"/>
      <c r="AL474" s="586"/>
      <c r="AM474" s="586"/>
      <c r="AN474" s="586"/>
      <c r="AO474" s="586"/>
      <c r="AP474" s="586"/>
      <c r="AQ474" s="586"/>
      <c r="AR474" s="586"/>
      <c r="AS474" s="586"/>
      <c r="AT474" s="586"/>
      <c r="AU474" s="586"/>
      <c r="AV474" s="586"/>
      <c r="AW474" s="586"/>
      <c r="AX474" s="586"/>
      <c r="AY474" s="586"/>
      <c r="AZ474" s="586"/>
      <c r="BA474" s="586"/>
      <c r="BB474" s="586"/>
      <c r="BC474" s="574"/>
    </row>
    <row r="475" spans="1:55" s="466" customFormat="1" ht="13.5" hidden="1" customHeight="1">
      <c r="G475" s="263"/>
      <c r="H475" s="263"/>
      <c r="I475" s="263"/>
      <c r="J475" s="263"/>
      <c r="K475" s="263"/>
      <c r="L475" s="263"/>
      <c r="M475" s="263"/>
      <c r="N475" s="263"/>
      <c r="O475" s="263"/>
      <c r="P475" s="263"/>
      <c r="Q475" s="263"/>
      <c r="R475" s="263"/>
      <c r="S475" s="263"/>
      <c r="T475" s="263"/>
      <c r="U475" s="263"/>
      <c r="V475" s="586"/>
      <c r="W475" s="586"/>
      <c r="X475" s="586"/>
      <c r="Y475" s="586"/>
      <c r="Z475" s="586"/>
      <c r="AA475" s="586"/>
      <c r="AB475" s="586"/>
      <c r="AC475" s="586"/>
      <c r="AD475" s="586"/>
      <c r="AE475" s="586"/>
      <c r="AF475" s="586"/>
      <c r="AG475" s="586"/>
      <c r="AH475" s="586"/>
      <c r="AI475" s="586"/>
      <c r="AJ475" s="586"/>
      <c r="AK475" s="586"/>
      <c r="AL475" s="586"/>
      <c r="AM475" s="586"/>
      <c r="AN475" s="586"/>
      <c r="AO475" s="586"/>
      <c r="AP475" s="586"/>
      <c r="AQ475" s="586"/>
      <c r="AR475" s="586"/>
      <c r="AS475" s="586"/>
      <c r="AT475" s="586"/>
      <c r="AU475" s="586"/>
      <c r="AV475" s="586"/>
      <c r="AW475" s="586"/>
      <c r="AX475" s="586"/>
      <c r="AY475" s="586"/>
      <c r="AZ475" s="586"/>
      <c r="BA475" s="586"/>
      <c r="BB475" s="586"/>
      <c r="BC475" s="574"/>
    </row>
    <row r="476" spans="1:55" s="466" customFormat="1" hidden="1">
      <c r="A476" s="300"/>
      <c r="B476" s="468"/>
      <c r="D476" s="470"/>
      <c r="E476" s="569"/>
      <c r="F476" s="570"/>
      <c r="G476" s="263"/>
      <c r="H476" s="263"/>
      <c r="I476" s="263"/>
      <c r="J476" s="263"/>
      <c r="K476" s="263"/>
      <c r="L476" s="263"/>
      <c r="M476" s="263"/>
      <c r="N476" s="263"/>
      <c r="O476" s="263"/>
      <c r="P476" s="263"/>
      <c r="Q476" s="263"/>
      <c r="R476" s="263"/>
      <c r="S476" s="263"/>
      <c r="T476" s="263"/>
      <c r="U476" s="263"/>
      <c r="V476" s="586"/>
      <c r="W476" s="586"/>
      <c r="X476" s="586"/>
      <c r="Y476" s="586"/>
      <c r="Z476" s="586"/>
      <c r="AA476" s="586"/>
      <c r="AB476" s="586"/>
      <c r="AC476" s="586"/>
      <c r="AD476" s="586"/>
      <c r="AE476" s="586"/>
      <c r="AF476" s="586"/>
      <c r="AG476" s="586"/>
      <c r="AH476" s="586"/>
      <c r="AI476" s="586"/>
      <c r="AJ476" s="586"/>
      <c r="AK476" s="586"/>
      <c r="AL476" s="586"/>
      <c r="AM476" s="586"/>
      <c r="AN476" s="586"/>
      <c r="AO476" s="586"/>
      <c r="AP476" s="586"/>
      <c r="AQ476" s="586"/>
      <c r="AR476" s="586"/>
      <c r="AS476" s="586"/>
      <c r="AT476" s="586"/>
      <c r="AU476" s="586"/>
      <c r="AV476" s="586"/>
      <c r="AW476" s="586"/>
      <c r="AX476" s="586"/>
      <c r="AY476" s="586"/>
      <c r="AZ476" s="586"/>
      <c r="BA476" s="586"/>
      <c r="BB476" s="586"/>
      <c r="BC476" s="574"/>
    </row>
    <row r="477" spans="1:55" s="466" customFormat="1" hidden="1">
      <c r="A477" s="300"/>
      <c r="B477" s="571"/>
      <c r="G477" s="263"/>
      <c r="H477" s="263"/>
      <c r="I477" s="263"/>
      <c r="J477" s="263"/>
      <c r="K477" s="263"/>
      <c r="L477" s="263"/>
      <c r="M477" s="263"/>
      <c r="N477" s="263"/>
      <c r="O477" s="263"/>
      <c r="P477" s="263"/>
      <c r="Q477" s="263"/>
      <c r="R477" s="263"/>
      <c r="S477" s="263"/>
      <c r="T477" s="263"/>
      <c r="U477" s="263"/>
      <c r="V477" s="586"/>
      <c r="W477" s="586"/>
      <c r="X477" s="586"/>
      <c r="Y477" s="586"/>
      <c r="Z477" s="586"/>
      <c r="AA477" s="586"/>
      <c r="AB477" s="586"/>
      <c r="AC477" s="586"/>
      <c r="AD477" s="586"/>
      <c r="AE477" s="586"/>
      <c r="AF477" s="586"/>
      <c r="AG477" s="586"/>
      <c r="AH477" s="586"/>
      <c r="AI477" s="586"/>
      <c r="AJ477" s="586"/>
      <c r="AK477" s="586"/>
      <c r="AL477" s="586"/>
      <c r="AM477" s="586"/>
      <c r="AN477" s="586"/>
      <c r="AO477" s="586"/>
      <c r="AP477" s="586"/>
      <c r="AQ477" s="586"/>
      <c r="AR477" s="586"/>
      <c r="AS477" s="586"/>
      <c r="AT477" s="586"/>
      <c r="AU477" s="586"/>
      <c r="AV477" s="586"/>
      <c r="AW477" s="586"/>
      <c r="AX477" s="586"/>
      <c r="AY477" s="586"/>
      <c r="AZ477" s="586"/>
      <c r="BA477" s="586"/>
      <c r="BB477" s="586"/>
      <c r="BC477" s="574"/>
    </row>
    <row r="478" spans="1:55" s="466" customFormat="1" hidden="1">
      <c r="G478" s="263"/>
      <c r="H478" s="263"/>
      <c r="I478" s="263"/>
      <c r="J478" s="263"/>
      <c r="K478" s="263"/>
      <c r="L478" s="263"/>
      <c r="M478" s="263"/>
      <c r="N478" s="263"/>
      <c r="O478" s="263"/>
      <c r="P478" s="263"/>
      <c r="Q478" s="263"/>
      <c r="R478" s="263"/>
      <c r="S478" s="263"/>
      <c r="T478" s="263"/>
      <c r="U478" s="263"/>
      <c r="V478" s="586"/>
      <c r="W478" s="586"/>
      <c r="X478" s="586"/>
      <c r="Y478" s="586"/>
      <c r="Z478" s="586"/>
      <c r="AA478" s="586"/>
      <c r="AB478" s="586"/>
      <c r="AC478" s="586"/>
      <c r="AD478" s="586"/>
      <c r="AE478" s="586"/>
      <c r="AF478" s="586"/>
      <c r="AG478" s="586"/>
      <c r="AH478" s="586"/>
      <c r="AI478" s="586"/>
      <c r="AJ478" s="586"/>
      <c r="AK478" s="586"/>
      <c r="AL478" s="586"/>
      <c r="AM478" s="586"/>
      <c r="AN478" s="586"/>
      <c r="AO478" s="586"/>
      <c r="AP478" s="586"/>
      <c r="AQ478" s="586"/>
      <c r="AR478" s="586"/>
      <c r="AS478" s="586"/>
      <c r="AT478" s="586"/>
      <c r="AU478" s="586"/>
      <c r="AV478" s="586"/>
      <c r="AW478" s="586"/>
      <c r="AX478" s="586"/>
      <c r="AY478" s="586"/>
      <c r="AZ478" s="586"/>
      <c r="BA478" s="586"/>
      <c r="BB478" s="586"/>
      <c r="BC478" s="574"/>
    </row>
    <row r="479" spans="1:55" s="466" customFormat="1" hidden="1">
      <c r="A479" s="300"/>
      <c r="B479" s="468"/>
      <c r="D479" s="470"/>
      <c r="E479" s="569"/>
      <c r="F479" s="570"/>
      <c r="G479" s="263"/>
      <c r="H479" s="263"/>
      <c r="I479" s="263"/>
      <c r="J479" s="263"/>
      <c r="K479" s="263"/>
      <c r="L479" s="263"/>
      <c r="M479" s="263"/>
      <c r="N479" s="263"/>
      <c r="O479" s="263"/>
      <c r="P479" s="263"/>
      <c r="Q479" s="263"/>
      <c r="R479" s="263"/>
      <c r="S479" s="263"/>
      <c r="T479" s="263"/>
      <c r="U479" s="263"/>
      <c r="V479" s="586"/>
      <c r="W479" s="586"/>
      <c r="X479" s="586"/>
      <c r="Y479" s="586"/>
      <c r="Z479" s="586"/>
      <c r="AA479" s="586"/>
      <c r="AB479" s="586"/>
      <c r="AC479" s="586"/>
      <c r="AD479" s="586"/>
      <c r="AE479" s="586"/>
      <c r="AF479" s="586"/>
      <c r="AG479" s="586"/>
      <c r="AH479" s="586"/>
      <c r="AI479" s="586"/>
      <c r="AJ479" s="586"/>
      <c r="AK479" s="586"/>
      <c r="AL479" s="586"/>
      <c r="AM479" s="586"/>
      <c r="AN479" s="586"/>
      <c r="AO479" s="586"/>
      <c r="AP479" s="586"/>
      <c r="AQ479" s="586"/>
      <c r="AR479" s="586"/>
      <c r="AS479" s="586"/>
      <c r="AT479" s="586"/>
      <c r="AU479" s="586"/>
      <c r="AV479" s="586"/>
      <c r="AW479" s="586"/>
      <c r="AX479" s="586"/>
      <c r="AY479" s="586"/>
      <c r="AZ479" s="586"/>
      <c r="BA479" s="586"/>
      <c r="BB479" s="586"/>
      <c r="BC479" s="574"/>
    </row>
    <row r="480" spans="1:55" s="466" customFormat="1" hidden="1">
      <c r="A480" s="300"/>
      <c r="B480" s="571"/>
      <c r="G480" s="263"/>
      <c r="H480" s="263"/>
      <c r="I480" s="263"/>
      <c r="J480" s="263"/>
      <c r="K480" s="263"/>
      <c r="L480" s="263"/>
      <c r="M480" s="263"/>
      <c r="N480" s="263"/>
      <c r="O480" s="263"/>
      <c r="P480" s="263"/>
      <c r="Q480" s="263"/>
      <c r="R480" s="263"/>
      <c r="S480" s="263"/>
      <c r="T480" s="263"/>
      <c r="U480" s="263"/>
      <c r="V480" s="586"/>
      <c r="W480" s="586"/>
      <c r="X480" s="586"/>
      <c r="Y480" s="586"/>
      <c r="Z480" s="586"/>
      <c r="AA480" s="586"/>
      <c r="AB480" s="586"/>
      <c r="AC480" s="586"/>
      <c r="AD480" s="586"/>
      <c r="AE480" s="586"/>
      <c r="AF480" s="586"/>
      <c r="AG480" s="586"/>
      <c r="AH480" s="586"/>
      <c r="AI480" s="586"/>
      <c r="AJ480" s="586"/>
      <c r="AK480" s="586"/>
      <c r="AL480" s="586"/>
      <c r="AM480" s="586"/>
      <c r="AN480" s="586"/>
      <c r="AO480" s="586"/>
      <c r="AP480" s="586"/>
      <c r="AQ480" s="586"/>
      <c r="AR480" s="586"/>
      <c r="AS480" s="586"/>
      <c r="AT480" s="586"/>
      <c r="AU480" s="586"/>
      <c r="AV480" s="586"/>
      <c r="AW480" s="586"/>
      <c r="AX480" s="586"/>
      <c r="AY480" s="586"/>
      <c r="AZ480" s="586"/>
      <c r="BA480" s="586"/>
      <c r="BB480" s="586"/>
      <c r="BC480" s="574"/>
    </row>
    <row r="481" spans="1:55" s="466" customFormat="1" hidden="1">
      <c r="G481" s="263"/>
      <c r="H481" s="263"/>
      <c r="I481" s="263"/>
      <c r="J481" s="263"/>
      <c r="K481" s="263"/>
      <c r="L481" s="263"/>
      <c r="M481" s="263"/>
      <c r="N481" s="263"/>
      <c r="O481" s="263"/>
      <c r="P481" s="263"/>
      <c r="Q481" s="263"/>
      <c r="R481" s="263"/>
      <c r="S481" s="263"/>
      <c r="T481" s="263"/>
      <c r="U481" s="263"/>
      <c r="V481" s="586"/>
      <c r="W481" s="586"/>
      <c r="X481" s="586"/>
      <c r="Y481" s="586"/>
      <c r="Z481" s="586"/>
      <c r="AA481" s="586"/>
      <c r="AB481" s="586"/>
      <c r="AC481" s="586"/>
      <c r="AD481" s="586"/>
      <c r="AE481" s="586"/>
      <c r="AF481" s="586"/>
      <c r="AG481" s="586"/>
      <c r="AH481" s="586"/>
      <c r="AI481" s="586"/>
      <c r="AJ481" s="586"/>
      <c r="AK481" s="586"/>
      <c r="AL481" s="586"/>
      <c r="AM481" s="586"/>
      <c r="AN481" s="586"/>
      <c r="AO481" s="586"/>
      <c r="AP481" s="586"/>
      <c r="AQ481" s="586"/>
      <c r="AR481" s="586"/>
      <c r="AS481" s="586"/>
      <c r="AT481" s="586"/>
      <c r="AU481" s="586"/>
      <c r="AV481" s="586"/>
      <c r="AW481" s="586"/>
      <c r="AX481" s="586"/>
      <c r="AY481" s="586"/>
      <c r="AZ481" s="586"/>
      <c r="BA481" s="586"/>
      <c r="BB481" s="586"/>
      <c r="BC481" s="574"/>
    </row>
    <row r="482" spans="1:55" s="466" customFormat="1" hidden="1">
      <c r="A482" s="300"/>
      <c r="B482" s="468"/>
      <c r="D482" s="470"/>
      <c r="E482" s="569"/>
      <c r="F482" s="570"/>
      <c r="G482" s="263"/>
      <c r="H482" s="263"/>
      <c r="I482" s="263"/>
      <c r="J482" s="263"/>
      <c r="K482" s="263"/>
      <c r="L482" s="263"/>
      <c r="M482" s="263"/>
      <c r="N482" s="263"/>
      <c r="O482" s="263"/>
      <c r="P482" s="263"/>
      <c r="Q482" s="263"/>
      <c r="R482" s="263"/>
      <c r="S482" s="263"/>
      <c r="T482" s="263"/>
      <c r="U482" s="263"/>
      <c r="V482" s="586"/>
      <c r="W482" s="586"/>
      <c r="X482" s="586"/>
      <c r="Y482" s="586"/>
      <c r="Z482" s="586"/>
      <c r="AA482" s="586"/>
      <c r="AB482" s="586"/>
      <c r="AC482" s="586"/>
      <c r="AD482" s="586"/>
      <c r="AE482" s="586"/>
      <c r="AF482" s="586"/>
      <c r="AG482" s="586"/>
      <c r="AH482" s="586"/>
      <c r="AI482" s="586"/>
      <c r="AJ482" s="586"/>
      <c r="AK482" s="586"/>
      <c r="AL482" s="586"/>
      <c r="AM482" s="586"/>
      <c r="AN482" s="586"/>
      <c r="AO482" s="586"/>
      <c r="AP482" s="586"/>
      <c r="AQ482" s="586"/>
      <c r="AR482" s="586"/>
      <c r="AS482" s="586"/>
      <c r="AT482" s="586"/>
      <c r="AU482" s="586"/>
      <c r="AV482" s="586"/>
      <c r="AW482" s="586"/>
      <c r="AX482" s="586"/>
      <c r="AY482" s="586"/>
      <c r="AZ482" s="586"/>
      <c r="BA482" s="586"/>
      <c r="BB482" s="586"/>
      <c r="BC482" s="574"/>
    </row>
    <row r="483" spans="1:55" s="466" customFormat="1" hidden="1">
      <c r="A483" s="300"/>
      <c r="B483" s="571"/>
      <c r="G483" s="263"/>
      <c r="H483" s="263"/>
      <c r="I483" s="263"/>
      <c r="J483" s="263"/>
      <c r="K483" s="263"/>
      <c r="L483" s="263"/>
      <c r="M483" s="263"/>
      <c r="N483" s="263"/>
      <c r="O483" s="263"/>
      <c r="P483" s="263"/>
      <c r="Q483" s="263"/>
      <c r="R483" s="263"/>
      <c r="S483" s="263"/>
      <c r="T483" s="263"/>
      <c r="U483" s="263"/>
      <c r="V483" s="586"/>
      <c r="W483" s="586"/>
      <c r="X483" s="586"/>
      <c r="Y483" s="586"/>
      <c r="Z483" s="586"/>
      <c r="AA483" s="586"/>
      <c r="AB483" s="586"/>
      <c r="AC483" s="586"/>
      <c r="AD483" s="586"/>
      <c r="AE483" s="586"/>
      <c r="AF483" s="586"/>
      <c r="AG483" s="586"/>
      <c r="AH483" s="586"/>
      <c r="AI483" s="586"/>
      <c r="AJ483" s="586"/>
      <c r="AK483" s="586"/>
      <c r="AL483" s="586"/>
      <c r="AM483" s="586"/>
      <c r="AN483" s="586"/>
      <c r="AO483" s="586"/>
      <c r="AP483" s="586"/>
      <c r="AQ483" s="586"/>
      <c r="AR483" s="586"/>
      <c r="AS483" s="586"/>
      <c r="AT483" s="586"/>
      <c r="AU483" s="586"/>
      <c r="AV483" s="586"/>
      <c r="AW483" s="586"/>
      <c r="AX483" s="586"/>
      <c r="AY483" s="586"/>
      <c r="AZ483" s="586"/>
      <c r="BA483" s="586"/>
      <c r="BB483" s="586"/>
      <c r="BC483" s="574"/>
    </row>
    <row r="484" spans="1:55" s="466" customFormat="1" hidden="1">
      <c r="G484" s="263"/>
      <c r="H484" s="263"/>
      <c r="I484" s="263"/>
      <c r="J484" s="263"/>
      <c r="K484" s="263"/>
      <c r="L484" s="263"/>
      <c r="M484" s="263"/>
      <c r="N484" s="263"/>
      <c r="O484" s="263"/>
      <c r="P484" s="263"/>
      <c r="Q484" s="263"/>
      <c r="R484" s="263"/>
      <c r="S484" s="263"/>
      <c r="T484" s="263"/>
      <c r="U484" s="263"/>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586"/>
      <c r="AY484" s="586"/>
      <c r="AZ484" s="586"/>
      <c r="BA484" s="586"/>
      <c r="BB484" s="586"/>
      <c r="BC484" s="574"/>
    </row>
    <row r="485" spans="1:55" s="466" customFormat="1" hidden="1">
      <c r="A485" s="300"/>
      <c r="B485" s="468"/>
      <c r="D485" s="470"/>
      <c r="E485" s="569"/>
      <c r="F485" s="570"/>
      <c r="G485" s="263"/>
      <c r="H485" s="263"/>
      <c r="I485" s="263"/>
      <c r="J485" s="263"/>
      <c r="K485" s="263"/>
      <c r="L485" s="263"/>
      <c r="M485" s="263"/>
      <c r="N485" s="263"/>
      <c r="O485" s="263"/>
      <c r="P485" s="263"/>
      <c r="Q485" s="263"/>
      <c r="R485" s="263"/>
      <c r="S485" s="263"/>
      <c r="T485" s="263"/>
      <c r="U485" s="263"/>
      <c r="V485" s="586"/>
      <c r="W485" s="586"/>
      <c r="X485" s="586"/>
      <c r="Y485" s="586"/>
      <c r="Z485" s="586"/>
      <c r="AA485" s="586"/>
      <c r="AB485" s="586"/>
      <c r="AC485" s="586"/>
      <c r="AD485" s="586"/>
      <c r="AE485" s="586"/>
      <c r="AF485" s="586"/>
      <c r="AG485" s="586"/>
      <c r="AH485" s="586"/>
      <c r="AI485" s="586"/>
      <c r="AJ485" s="586"/>
      <c r="AK485" s="586"/>
      <c r="AL485" s="586"/>
      <c r="AM485" s="586"/>
      <c r="AN485" s="586"/>
      <c r="AO485" s="586"/>
      <c r="AP485" s="586"/>
      <c r="AQ485" s="586"/>
      <c r="AR485" s="586"/>
      <c r="AS485" s="586"/>
      <c r="AT485" s="586"/>
      <c r="AU485" s="586"/>
      <c r="AV485" s="586"/>
      <c r="AW485" s="586"/>
      <c r="AX485" s="586"/>
      <c r="AY485" s="586"/>
      <c r="AZ485" s="586"/>
      <c r="BA485" s="586"/>
      <c r="BB485" s="586"/>
      <c r="BC485" s="574"/>
    </row>
    <row r="486" spans="1:55" s="466" customFormat="1" hidden="1">
      <c r="A486" s="300"/>
      <c r="B486" s="571"/>
      <c r="G486" s="263"/>
      <c r="H486" s="263"/>
      <c r="I486" s="263"/>
      <c r="J486" s="263"/>
      <c r="K486" s="263"/>
      <c r="L486" s="263"/>
      <c r="M486" s="263"/>
      <c r="N486" s="263"/>
      <c r="O486" s="263"/>
      <c r="P486" s="263"/>
      <c r="Q486" s="263"/>
      <c r="R486" s="263"/>
      <c r="S486" s="263"/>
      <c r="T486" s="263"/>
      <c r="U486" s="263"/>
      <c r="V486" s="586"/>
      <c r="W486" s="586"/>
      <c r="X486" s="586"/>
      <c r="Y486" s="586"/>
      <c r="Z486" s="586"/>
      <c r="AA486" s="586"/>
      <c r="AB486" s="586"/>
      <c r="AC486" s="586"/>
      <c r="AD486" s="586"/>
      <c r="AE486" s="586"/>
      <c r="AF486" s="586"/>
      <c r="AG486" s="586"/>
      <c r="AH486" s="586"/>
      <c r="AI486" s="586"/>
      <c r="AJ486" s="586"/>
      <c r="AK486" s="586"/>
      <c r="AL486" s="586"/>
      <c r="AM486" s="586"/>
      <c r="AN486" s="586"/>
      <c r="AO486" s="586"/>
      <c r="AP486" s="586"/>
      <c r="AQ486" s="586"/>
      <c r="AR486" s="586"/>
      <c r="AS486" s="586"/>
      <c r="AT486" s="586"/>
      <c r="AU486" s="586"/>
      <c r="AV486" s="586"/>
      <c r="AW486" s="586"/>
      <c r="AX486" s="586"/>
      <c r="AY486" s="586"/>
      <c r="AZ486" s="586"/>
      <c r="BA486" s="586"/>
      <c r="BB486" s="586"/>
      <c r="BC486" s="574"/>
    </row>
    <row r="487" spans="1:55">
      <c r="B487" s="460" t="s">
        <v>1009</v>
      </c>
    </row>
    <row r="488" spans="1:55" ht="25.5">
      <c r="A488" s="300"/>
      <c r="B488" s="265" t="s">
        <v>991</v>
      </c>
      <c r="D488" s="463"/>
      <c r="E488" s="275"/>
      <c r="F488" s="264"/>
    </row>
    <row r="489" spans="1:55">
      <c r="A489" s="255"/>
      <c r="B489" s="276"/>
    </row>
    <row r="491" spans="1:55" ht="76.5">
      <c r="A491" s="300"/>
      <c r="B491" s="265" t="s">
        <v>1004</v>
      </c>
      <c r="D491" s="463"/>
      <c r="E491" s="275"/>
      <c r="F491" s="264"/>
    </row>
    <row r="492" spans="1:55">
      <c r="A492" s="255"/>
      <c r="B492" s="276"/>
    </row>
    <row r="494" spans="1:55" ht="25.5">
      <c r="A494" s="300"/>
      <c r="B494" s="265" t="s">
        <v>1000</v>
      </c>
      <c r="D494" s="463"/>
      <c r="E494" s="275"/>
      <c r="F494" s="264"/>
    </row>
    <row r="495" spans="1:55" hidden="1">
      <c r="A495" s="255"/>
      <c r="B495" s="276"/>
    </row>
    <row r="497" spans="1:6" ht="38.25">
      <c r="A497" s="300"/>
      <c r="B497" s="265" t="s">
        <v>1001</v>
      </c>
      <c r="D497" s="463"/>
      <c r="E497" s="275"/>
      <c r="F497" s="264"/>
    </row>
    <row r="498" spans="1:6" hidden="1">
      <c r="A498" s="255"/>
      <c r="B498" s="276"/>
    </row>
    <row r="499" spans="1:6" hidden="1"/>
    <row r="500" spans="1:6" hidden="1">
      <c r="A500" s="300"/>
      <c r="B500" s="265"/>
      <c r="D500" s="463"/>
      <c r="E500" s="275"/>
      <c r="F500" s="264"/>
    </row>
    <row r="501" spans="1:6" hidden="1">
      <c r="A501" s="255"/>
      <c r="B501" s="276"/>
    </row>
    <row r="502" spans="1:6" hidden="1"/>
    <row r="503" spans="1:6" hidden="1">
      <c r="A503" s="300"/>
      <c r="B503" s="265"/>
      <c r="D503" s="463"/>
      <c r="E503" s="275"/>
      <c r="F503" s="264"/>
    </row>
    <row r="504" spans="1:6" hidden="1">
      <c r="A504" s="255"/>
      <c r="B504" s="276"/>
    </row>
    <row r="505" spans="1:6" hidden="1"/>
    <row r="506" spans="1:6" ht="13.5" hidden="1" customHeight="1">
      <c r="A506" s="300"/>
      <c r="B506" s="265"/>
      <c r="D506" s="463"/>
      <c r="E506" s="275"/>
      <c r="F506" s="264"/>
    </row>
    <row r="507" spans="1:6" hidden="1">
      <c r="A507" s="255"/>
      <c r="B507" s="276"/>
    </row>
    <row r="508" spans="1:6" hidden="1"/>
    <row r="509" spans="1:6" ht="13.5" hidden="1" customHeight="1">
      <c r="A509" s="300"/>
      <c r="B509" s="265"/>
      <c r="D509" s="463"/>
      <c r="E509" s="275"/>
      <c r="F509" s="264"/>
    </row>
    <row r="510" spans="1:6" hidden="1">
      <c r="A510" s="255"/>
      <c r="B510" s="276"/>
    </row>
    <row r="511" spans="1:6" hidden="1"/>
    <row r="512" spans="1:6" ht="84.75" customHeight="1">
      <c r="A512" s="300"/>
      <c r="B512" s="265" t="s">
        <v>1005</v>
      </c>
      <c r="D512" s="463"/>
      <c r="E512" s="275"/>
      <c r="F512" s="264"/>
    </row>
    <row r="513" spans="1:6" hidden="1">
      <c r="A513" s="255"/>
      <c r="B513" s="276"/>
    </row>
    <row r="514" spans="1:6" ht="9.75" hidden="1" customHeight="1"/>
    <row r="515" spans="1:6" ht="38.25" hidden="1" customHeight="1">
      <c r="A515" s="300"/>
      <c r="B515" s="265"/>
      <c r="D515" s="463"/>
      <c r="E515" s="275"/>
      <c r="F515" s="264"/>
    </row>
    <row r="516" spans="1:6" hidden="1">
      <c r="A516" s="255"/>
      <c r="B516" s="276"/>
    </row>
    <row r="517" spans="1:6" hidden="1"/>
    <row r="518" spans="1:6" ht="140.25">
      <c r="A518" s="300"/>
      <c r="B518" s="265" t="s">
        <v>1008</v>
      </c>
      <c r="D518" s="463"/>
      <c r="E518" s="275"/>
      <c r="F518" s="264"/>
    </row>
    <row r="519" spans="1:6" hidden="1">
      <c r="A519" s="255"/>
      <c r="B519" s="276"/>
    </row>
    <row r="520" spans="1:6" hidden="1"/>
    <row r="521" spans="1:6" ht="38.25" hidden="1" customHeight="1">
      <c r="A521" s="300"/>
      <c r="B521" s="265"/>
      <c r="D521" s="463"/>
      <c r="E521" s="275"/>
      <c r="F521" s="264"/>
    </row>
    <row r="522" spans="1:6" hidden="1">
      <c r="A522" s="255"/>
      <c r="B522" s="276"/>
    </row>
    <row r="524" spans="1:6" ht="51">
      <c r="A524" s="300"/>
      <c r="B524" s="265" t="s">
        <v>1006</v>
      </c>
      <c r="D524" s="463"/>
      <c r="E524" s="275"/>
      <c r="F524" s="264"/>
    </row>
    <row r="525" spans="1:6" hidden="1">
      <c r="A525" s="255"/>
      <c r="B525" s="276"/>
    </row>
    <row r="526" spans="1:6" hidden="1"/>
    <row r="527" spans="1:6" ht="51">
      <c r="A527" s="300"/>
      <c r="B527" s="265" t="s">
        <v>1007</v>
      </c>
      <c r="D527" s="463"/>
      <c r="E527" s="275"/>
      <c r="F527" s="264"/>
    </row>
    <row r="528" spans="1:6" hidden="1">
      <c r="A528" s="255"/>
      <c r="B528" s="276"/>
    </row>
    <row r="530" spans="1:6" ht="38.25">
      <c r="A530" s="300"/>
      <c r="B530" s="265" t="s">
        <v>1012</v>
      </c>
      <c r="D530" s="463"/>
      <c r="E530" s="275"/>
      <c r="F530" s="264"/>
    </row>
    <row r="531" spans="1:6" hidden="1">
      <c r="A531" s="255"/>
      <c r="B531" s="276"/>
    </row>
    <row r="532" spans="1:6" hidden="1"/>
    <row r="533" spans="1:6" hidden="1">
      <c r="A533" s="300"/>
      <c r="B533" s="265"/>
      <c r="D533" s="463"/>
      <c r="E533" s="275"/>
      <c r="F533" s="264"/>
    </row>
    <row r="534" spans="1:6" hidden="1">
      <c r="A534" s="255"/>
      <c r="B534" s="276"/>
    </row>
    <row r="535" spans="1:6" hidden="1"/>
    <row r="536" spans="1:6" hidden="1">
      <c r="A536" s="300"/>
      <c r="B536" s="265"/>
      <c r="D536" s="463"/>
      <c r="E536" s="275"/>
      <c r="F536" s="264"/>
    </row>
    <row r="537" spans="1:6" hidden="1">
      <c r="A537" s="255"/>
      <c r="B537" s="276"/>
    </row>
    <row r="538" spans="1:6" hidden="1"/>
    <row r="539" spans="1:6" hidden="1">
      <c r="A539" s="300"/>
      <c r="B539" s="265"/>
      <c r="D539" s="463"/>
      <c r="E539" s="275"/>
      <c r="F539" s="264"/>
    </row>
    <row r="540" spans="1:6" hidden="1">
      <c r="A540" s="255"/>
      <c r="B540" s="276"/>
    </row>
    <row r="541" spans="1:6" hidden="1"/>
    <row r="542" spans="1:6" hidden="1">
      <c r="A542" s="300"/>
      <c r="B542" s="265"/>
      <c r="D542" s="463"/>
      <c r="E542" s="275"/>
      <c r="F542" s="264"/>
    </row>
    <row r="543" spans="1:6" hidden="1">
      <c r="A543" s="255"/>
      <c r="B543" s="276"/>
    </row>
    <row r="544" spans="1:6" hidden="1"/>
    <row r="545" spans="1:38" hidden="1">
      <c r="A545" s="300"/>
      <c r="B545" s="265"/>
      <c r="D545" s="463"/>
      <c r="E545" s="275"/>
      <c r="F545" s="264"/>
    </row>
    <row r="546" spans="1:38" hidden="1">
      <c r="A546" s="255"/>
      <c r="B546" s="276"/>
    </row>
    <row r="547" spans="1:38" hidden="1"/>
    <row r="548" spans="1:38" hidden="1">
      <c r="A548" s="300"/>
      <c r="B548" s="265"/>
      <c r="D548" s="463"/>
      <c r="E548" s="275"/>
      <c r="F548" s="264"/>
    </row>
    <row r="549" spans="1:38" hidden="1">
      <c r="A549" s="255"/>
      <c r="B549" s="276"/>
    </row>
    <row r="551" spans="1:38">
      <c r="B551" s="263" t="s">
        <v>1013</v>
      </c>
      <c r="Y551" s="588"/>
      <c r="Z551" s="588"/>
      <c r="AA551" s="588"/>
      <c r="AB551" s="588"/>
      <c r="AC551" s="588"/>
      <c r="AD551" s="588"/>
      <c r="AE551" s="588"/>
      <c r="AF551" s="588"/>
      <c r="AG551" s="588"/>
      <c r="AH551" s="588"/>
      <c r="AI551" s="588"/>
      <c r="AJ551" s="588"/>
      <c r="AK551" s="588"/>
      <c r="AL551" s="588"/>
    </row>
  </sheetData>
  <mergeCells count="2">
    <mergeCell ref="Y1:AL1"/>
    <mergeCell ref="AO1:BB1"/>
  </mergeCells>
  <pageMargins left="0.70866141732283472" right="0.70866141732283472" top="0.74803149606299213" bottom="0.74803149606299213" header="0.31496062992125984" footer="0.31496062992125984"/>
  <pageSetup paperSize="8" scale="68"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9">
    <tabColor rgb="FFC00000"/>
    <pageSetUpPr fitToPage="1"/>
  </sheetPr>
  <dimension ref="A1:AR241"/>
  <sheetViews>
    <sheetView zoomScale="70" zoomScaleNormal="70" zoomScaleSheetLayoutView="75" workbookViewId="0">
      <pane xSplit="10" ySplit="8" topLeftCell="AJ9" activePane="bottomRight" state="frozen"/>
      <selection activeCell="F444" sqref="F444"/>
      <selection pane="topRight" activeCell="F444" sqref="F444"/>
      <selection pane="bottomLeft" activeCell="F444" sqref="F444"/>
      <selection pane="bottomRight"/>
    </sheetView>
  </sheetViews>
  <sheetFormatPr defaultColWidth="9" defaultRowHeight="12.75" zeroHeight="1" outlineLevelCol="1"/>
  <cols>
    <col min="1" max="4" width="1.625" style="11" customWidth="1"/>
    <col min="5" max="5" width="50.625" style="11" customWidth="1"/>
    <col min="6" max="6" width="1.625" style="11" customWidth="1"/>
    <col min="7" max="7" width="12.625" style="11" customWidth="1"/>
    <col min="8" max="8" width="1.625" style="11" customWidth="1"/>
    <col min="9" max="9" width="10.625" style="11" customWidth="1"/>
    <col min="10" max="10" width="1.625" style="11" customWidth="1"/>
    <col min="11" max="29" width="10.625" style="11" hidden="1" customWidth="1" outlineLevel="1"/>
    <col min="30" max="31" width="10.625" style="158" hidden="1" customWidth="1" outlineLevel="1"/>
    <col min="32" max="35" width="10.625" style="11" hidden="1" customWidth="1" outlineLevel="1"/>
    <col min="36" max="36" width="10.625" style="11" customWidth="1" collapsed="1"/>
    <col min="37" max="43" width="10.625" style="11" customWidth="1"/>
    <col min="44" max="44" width="7.25" style="11" customWidth="1"/>
    <col min="45" max="16384" width="9" style="11"/>
  </cols>
  <sheetData>
    <row r="1" spans="1:44" s="47" customFormat="1" ht="15">
      <c r="A1" s="5" t="s">
        <v>245</v>
      </c>
      <c r="B1" s="6"/>
      <c r="C1" s="6"/>
      <c r="D1" s="6"/>
      <c r="E1" s="6"/>
      <c r="F1" s="6"/>
      <c r="G1" s="6"/>
      <c r="H1" s="6"/>
      <c r="I1" s="6"/>
      <c r="J1" s="46"/>
      <c r="K1" s="46"/>
      <c r="L1" s="46"/>
      <c r="M1" s="46"/>
      <c r="N1" s="46"/>
      <c r="O1" s="46"/>
      <c r="P1" s="46"/>
      <c r="Q1" s="46"/>
      <c r="R1" s="46"/>
      <c r="S1" s="46"/>
      <c r="T1" s="46"/>
      <c r="U1" s="46"/>
      <c r="V1" s="46"/>
      <c r="W1" s="46"/>
      <c r="X1" s="46"/>
      <c r="Y1" s="6"/>
      <c r="Z1" s="6"/>
      <c r="AA1" s="6"/>
      <c r="AB1" s="6"/>
      <c r="AC1" s="6"/>
      <c r="AD1" s="6"/>
      <c r="AE1" s="6"/>
      <c r="AF1" s="6"/>
      <c r="AG1" s="6"/>
      <c r="AH1" s="6"/>
      <c r="AI1" s="6"/>
      <c r="AJ1" s="6"/>
      <c r="AK1" s="6"/>
      <c r="AL1" s="6"/>
      <c r="AM1" s="6"/>
      <c r="AN1" s="6"/>
      <c r="AO1" s="6"/>
      <c r="AP1" s="6"/>
      <c r="AQ1" s="6"/>
    </row>
    <row r="2" spans="1:44" s="47" customForma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142" customForma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142" customForma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142" customForma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142" customFormat="1">
      <c r="A6" s="6"/>
      <c r="B6" s="8"/>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301"/>
      <c r="AK6" s="6"/>
      <c r="AL6" s="6"/>
      <c r="AM6" s="6"/>
      <c r="AN6" s="6"/>
      <c r="AO6" s="6"/>
      <c r="AP6" s="6"/>
      <c r="AQ6" s="6"/>
      <c r="AR6" s="6"/>
    </row>
    <row r="7" spans="1:44" s="47" customFormat="1">
      <c r="A7" s="6"/>
      <c r="B7" s="6"/>
      <c r="C7" s="6"/>
      <c r="D7" s="6"/>
      <c r="E7" s="9" t="s">
        <v>44</v>
      </c>
      <c r="F7" s="9"/>
      <c r="G7" s="9" t="s">
        <v>40</v>
      </c>
      <c r="H7" s="9"/>
      <c r="I7" s="9" t="s">
        <v>43</v>
      </c>
      <c r="J7" s="10"/>
      <c r="K7" s="10"/>
      <c r="L7" s="10"/>
      <c r="M7" s="10"/>
      <c r="N7" s="10"/>
      <c r="O7" s="10"/>
      <c r="P7" s="10"/>
      <c r="Q7" s="10"/>
      <c r="R7" s="10"/>
      <c r="S7" s="10"/>
      <c r="T7" s="10"/>
      <c r="U7" s="10"/>
      <c r="V7" s="10"/>
      <c r="W7" s="10"/>
      <c r="X7" s="10"/>
      <c r="Y7" s="10"/>
      <c r="Z7" s="10"/>
      <c r="AA7" s="10"/>
      <c r="AB7" s="10"/>
      <c r="AC7" s="10"/>
      <c r="AD7" s="10"/>
      <c r="AE7" s="10"/>
      <c r="AF7" s="10"/>
      <c r="AG7" s="10"/>
      <c r="AH7" s="10"/>
      <c r="AI7" s="10"/>
      <c r="AJ7" s="9" t="s">
        <v>41</v>
      </c>
      <c r="AK7" s="6"/>
      <c r="AL7" s="6"/>
      <c r="AM7" s="6"/>
      <c r="AN7" s="6"/>
      <c r="AO7" s="6"/>
      <c r="AP7" s="6"/>
      <c r="AQ7" s="6"/>
      <c r="AR7" s="6"/>
    </row>
    <row r="8" spans="1:44" s="47" customFormat="1">
      <c r="A8" s="6"/>
      <c r="B8" s="6"/>
      <c r="C8" s="6"/>
      <c r="D8" s="6"/>
      <c r="E8" s="6" t="s">
        <v>236</v>
      </c>
      <c r="F8" s="6"/>
      <c r="G8" s="182"/>
      <c r="H8" s="182"/>
      <c r="I8" s="183">
        <f>UserInterface!$G$17</f>
        <v>42460</v>
      </c>
      <c r="J8" s="182"/>
      <c r="K8" s="181">
        <v>33328</v>
      </c>
      <c r="L8" s="181">
        <v>33694</v>
      </c>
      <c r="M8" s="181">
        <v>34059</v>
      </c>
      <c r="N8" s="181">
        <v>34424</v>
      </c>
      <c r="O8" s="181">
        <v>34789</v>
      </c>
      <c r="P8" s="181">
        <v>35155</v>
      </c>
      <c r="Q8" s="181">
        <v>35520</v>
      </c>
      <c r="R8" s="181">
        <v>35885</v>
      </c>
      <c r="S8" s="181">
        <v>36250</v>
      </c>
      <c r="T8" s="181">
        <v>36616</v>
      </c>
      <c r="U8" s="181">
        <v>36981</v>
      </c>
      <c r="V8" s="181">
        <v>37346</v>
      </c>
      <c r="W8" s="181">
        <v>37711</v>
      </c>
      <c r="X8" s="181">
        <v>38077</v>
      </c>
      <c r="Y8" s="181">
        <v>38442</v>
      </c>
      <c r="Z8" s="181">
        <v>38807</v>
      </c>
      <c r="AA8" s="181">
        <v>39172</v>
      </c>
      <c r="AB8" s="181">
        <v>39538</v>
      </c>
      <c r="AC8" s="181">
        <v>39903</v>
      </c>
      <c r="AD8" s="181">
        <v>40268</v>
      </c>
      <c r="AE8" s="181">
        <v>40633</v>
      </c>
      <c r="AF8" s="181">
        <v>40999</v>
      </c>
      <c r="AG8" s="181">
        <v>41364</v>
      </c>
      <c r="AH8" s="181">
        <v>41729</v>
      </c>
      <c r="AI8" s="181">
        <v>42094</v>
      </c>
      <c r="AJ8" s="181">
        <v>42460</v>
      </c>
      <c r="AK8" s="181">
        <v>42825</v>
      </c>
      <c r="AL8" s="181">
        <v>43190</v>
      </c>
      <c r="AM8" s="181">
        <v>43555</v>
      </c>
      <c r="AN8" s="181">
        <v>43921</v>
      </c>
      <c r="AO8" s="181">
        <v>44286</v>
      </c>
      <c r="AP8" s="181">
        <v>44651</v>
      </c>
      <c r="AQ8" s="181">
        <v>45016</v>
      </c>
      <c r="AR8" s="6"/>
    </row>
    <row r="9" spans="1:44"/>
    <row r="10" spans="1:44" ht="15" customHeight="1">
      <c r="B10" s="15" t="s">
        <v>111</v>
      </c>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row>
    <row r="11" spans="1:44" ht="15" customHeight="1"/>
    <row r="12" spans="1:44" ht="15" customHeight="1">
      <c r="C12" s="17" t="s">
        <v>293</v>
      </c>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row>
    <row r="13" spans="1:44" s="158" customFormat="1" ht="15" customHeight="1">
      <c r="C13" s="166" t="s">
        <v>780</v>
      </c>
      <c r="D13" s="166"/>
      <c r="E13" s="166"/>
      <c r="F13" s="166"/>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row>
    <row r="14" spans="1:44" s="158" customFormat="1" ht="15" customHeight="1">
      <c r="C14" s="166" t="s">
        <v>382</v>
      </c>
      <c r="D14" s="166"/>
      <c r="E14" s="166"/>
      <c r="F14" s="166"/>
      <c r="G14" s="166"/>
      <c r="H14" s="166"/>
      <c r="I14" s="166"/>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row>
    <row r="15" spans="1:44" s="158" customFormat="1" ht="15" customHeight="1">
      <c r="C15" s="166" t="s">
        <v>385</v>
      </c>
      <c r="D15" s="166"/>
      <c r="E15" s="166"/>
      <c r="F15" s="166"/>
      <c r="G15" s="166"/>
      <c r="H15" s="166"/>
      <c r="I15" s="166"/>
      <c r="J15" s="166"/>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row>
    <row r="16" spans="1:44" s="158" customFormat="1" ht="15" customHeight="1">
      <c r="C16" s="220" t="s">
        <v>525</v>
      </c>
      <c r="D16" s="166"/>
      <c r="E16" s="166"/>
      <c r="F16" s="166"/>
      <c r="G16" s="166"/>
      <c r="H16" s="166"/>
      <c r="I16" s="166"/>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row>
    <row r="17" spans="3:43" s="158" customFormat="1" ht="15" customHeight="1">
      <c r="C17" s="220" t="s">
        <v>526</v>
      </c>
      <c r="D17" s="166"/>
      <c r="E17" s="166"/>
      <c r="F17" s="166"/>
      <c r="G17" s="166"/>
      <c r="H17" s="166"/>
      <c r="I17" s="166"/>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row>
    <row r="18" spans="3:43" s="158" customFormat="1" ht="15" customHeight="1">
      <c r="C18" s="220" t="s">
        <v>387</v>
      </c>
      <c r="D18" s="166"/>
      <c r="E18" s="166"/>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row>
    <row r="19" spans="3:43" s="158" customFormat="1" ht="15" customHeight="1">
      <c r="C19" s="220" t="s">
        <v>527</v>
      </c>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row>
    <row r="20" spans="3:43" s="158" customFormat="1" ht="15" customHeight="1">
      <c r="C20" s="166" t="s">
        <v>388</v>
      </c>
      <c r="D20" s="166"/>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row>
    <row r="21" spans="3:43" s="158" customFormat="1" ht="15" customHeight="1">
      <c r="I21" s="96"/>
      <c r="AK21" s="219"/>
    </row>
    <row r="22" spans="3:43" s="158" customFormat="1" ht="15" customHeight="1">
      <c r="I22" s="96"/>
    </row>
    <row r="23" spans="3:43" s="158" customFormat="1" ht="15" customHeight="1">
      <c r="I23" s="96"/>
    </row>
    <row r="24" spans="3:43" s="158" customFormat="1" ht="15" customHeight="1">
      <c r="I24" s="96"/>
    </row>
    <row r="25" spans="3:43" s="158" customFormat="1" ht="15" customHeight="1">
      <c r="I25" s="96"/>
    </row>
    <row r="26" spans="3:43" s="158" customFormat="1" ht="15" customHeight="1">
      <c r="E26" s="1" t="s">
        <v>292</v>
      </c>
    </row>
    <row r="27" spans="3:43" s="158" customFormat="1" ht="15" customHeight="1"/>
    <row r="28" spans="3:43" s="158" customFormat="1" ht="15" customHeight="1">
      <c r="I28" s="52"/>
    </row>
    <row r="29" spans="3:43" s="158" customFormat="1" ht="15" customHeight="1" thickBot="1">
      <c r="E29" s="1" t="s">
        <v>291</v>
      </c>
    </row>
    <row r="30" spans="3:43" s="158" customFormat="1" ht="15" customHeight="1">
      <c r="E30" s="204" t="s">
        <v>295</v>
      </c>
    </row>
    <row r="31" spans="3:43" s="158" customFormat="1" ht="15" customHeight="1" thickBot="1">
      <c r="E31" s="146" t="s">
        <v>528</v>
      </c>
    </row>
    <row r="32" spans="3:43" s="158" customFormat="1" ht="15" customHeight="1" thickBot="1">
      <c r="E32" s="318">
        <v>1</v>
      </c>
      <c r="I32" s="52"/>
    </row>
    <row r="33" spans="3:43" s="158" customFormat="1" ht="15" customHeight="1">
      <c r="E33" s="61" t="s">
        <v>383</v>
      </c>
      <c r="I33" s="52"/>
    </row>
    <row r="34" spans="3:43" s="158" customFormat="1" ht="15" customHeight="1">
      <c r="E34" s="180"/>
      <c r="I34" s="96"/>
    </row>
    <row r="35" spans="3:43" s="158" customFormat="1" ht="15" customHeight="1">
      <c r="E35" s="154"/>
    </row>
    <row r="36" spans="3:43" s="158" customFormat="1" ht="15" customHeight="1">
      <c r="E36" s="154"/>
      <c r="I36" s="52"/>
    </row>
    <row r="37" spans="3:43" s="158" customFormat="1" ht="15" customHeight="1">
      <c r="E37" s="154"/>
      <c r="I37" s="96"/>
    </row>
    <row r="38" spans="3:43" s="158" customFormat="1" ht="15" customHeight="1">
      <c r="E38" s="1" t="s">
        <v>304</v>
      </c>
      <c r="I38" s="96"/>
    </row>
    <row r="39" spans="3:43" s="158" customFormat="1" ht="15" customHeight="1">
      <c r="I39" s="52"/>
    </row>
    <row r="40" spans="3:43" s="158" customFormat="1" ht="15" customHeight="1">
      <c r="I40" s="96"/>
    </row>
    <row r="41" spans="3:43" s="158" customFormat="1" ht="15" customHeight="1">
      <c r="I41" s="96"/>
    </row>
    <row r="42" spans="3:43" s="158" customFormat="1" ht="15" customHeight="1">
      <c r="I42" s="52"/>
    </row>
    <row r="43" spans="3:43" s="158" customFormat="1" ht="15" customHeight="1">
      <c r="I43" s="52"/>
    </row>
    <row r="44" spans="3:43" s="44" customFormat="1">
      <c r="C44" s="17" t="s">
        <v>48</v>
      </c>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row>
    <row r="45" spans="3:43" s="158" customFormat="1"/>
    <row r="46" spans="3:43" s="158" customFormat="1">
      <c r="E46" s="158" t="s">
        <v>775</v>
      </c>
    </row>
    <row r="47" spans="3:43" s="158" customFormat="1"/>
    <row r="48" spans="3:43" s="158" customFormat="1">
      <c r="E48" s="195" t="s">
        <v>776</v>
      </c>
      <c r="G48" s="158" t="s">
        <v>844</v>
      </c>
      <c r="AJ48" s="157">
        <f>'Finance&amp;Tax'!AJ169 * Input!$AG$57 / Input!AJ$57</f>
        <v>61.111517192696965</v>
      </c>
      <c r="AK48" s="157">
        <f>'Finance&amp;Tax'!AK169 * Input!$AG$57 / Input!AK$57</f>
        <v>62.069053959115813</v>
      </c>
      <c r="AL48" s="157">
        <f>'Finance&amp;Tax'!AL169 * Input!$AG$57 / Input!AL$57</f>
        <v>63.404430381084545</v>
      </c>
      <c r="AM48" s="157">
        <f>'Finance&amp;Tax'!AM169 * Input!$AG$57 / Input!AM$57</f>
        <v>66.940009519445155</v>
      </c>
      <c r="AN48" s="157">
        <f>'Finance&amp;Tax'!AN169 * Input!$AG$57 / Input!AN$57</f>
        <v>72.548503741022998</v>
      </c>
      <c r="AO48" s="157">
        <f>'Finance&amp;Tax'!AO169 * Input!$AG$57 / Input!AO$57</f>
        <v>78.735596366552102</v>
      </c>
      <c r="AP48" s="157">
        <f>'Finance&amp;Tax'!AP169 * Input!$AG$57 / Input!AP$57</f>
        <v>87.305556762258476</v>
      </c>
      <c r="AQ48" s="157">
        <f>'Finance&amp;Tax'!AQ169 * Input!$AG$57 / Input!AQ$57</f>
        <v>95.325926004078042</v>
      </c>
    </row>
    <row r="49" spans="3:43" s="158" customFormat="1">
      <c r="E49" s="158" t="s">
        <v>85</v>
      </c>
      <c r="AJ49" s="165">
        <f>'Finance&amp;Tax'!AJ186</f>
        <v>0.2</v>
      </c>
      <c r="AK49" s="165">
        <f>'Finance&amp;Tax'!AK186</f>
        <v>0.2</v>
      </c>
      <c r="AL49" s="165">
        <f>'Finance&amp;Tax'!AL186</f>
        <v>0.2</v>
      </c>
      <c r="AM49" s="165">
        <f>'Finance&amp;Tax'!AM186</f>
        <v>0.2</v>
      </c>
      <c r="AN49" s="165">
        <f>'Finance&amp;Tax'!AN186</f>
        <v>0.2</v>
      </c>
      <c r="AO49" s="165">
        <f>'Finance&amp;Tax'!AO186</f>
        <v>0.2</v>
      </c>
      <c r="AP49" s="165">
        <f>'Finance&amp;Tax'!AP186</f>
        <v>0.2</v>
      </c>
      <c r="AQ49" s="165">
        <f>'Finance&amp;Tax'!AQ186</f>
        <v>0.2</v>
      </c>
    </row>
    <row r="50" spans="3:43" s="158" customFormat="1">
      <c r="E50" s="158" t="s">
        <v>875</v>
      </c>
      <c r="AJ50" s="469">
        <f>'Finance&amp;Tax'!AJ189</f>
        <v>1.25</v>
      </c>
      <c r="AK50" s="469">
        <f>'Finance&amp;Tax'!AK189</f>
        <v>1.25</v>
      </c>
      <c r="AL50" s="469">
        <f>'Finance&amp;Tax'!AL189</f>
        <v>1.25</v>
      </c>
      <c r="AM50" s="469">
        <f>'Finance&amp;Tax'!AM189</f>
        <v>1.25</v>
      </c>
      <c r="AN50" s="469">
        <f>'Finance&amp;Tax'!AN189</f>
        <v>1.25</v>
      </c>
      <c r="AO50" s="469">
        <f>'Finance&amp;Tax'!AO189</f>
        <v>1.25</v>
      </c>
      <c r="AP50" s="469">
        <f>'Finance&amp;Tax'!AP189</f>
        <v>1.25</v>
      </c>
      <c r="AQ50" s="469">
        <f>'Finance&amp;Tax'!AQ189</f>
        <v>1.25</v>
      </c>
    </row>
    <row r="51" spans="3:43" s="158" customFormat="1">
      <c r="E51" s="158" t="s">
        <v>777</v>
      </c>
      <c r="AJ51" s="167">
        <f>AJ49*AJ48*AJ50</f>
        <v>15.277879298174241</v>
      </c>
      <c r="AK51" s="167">
        <f t="shared" ref="AK51:AQ51" si="0">AK49*AK48*AK50</f>
        <v>15.517263489778955</v>
      </c>
      <c r="AL51" s="167">
        <f t="shared" si="0"/>
        <v>15.851107595271136</v>
      </c>
      <c r="AM51" s="167">
        <f t="shared" si="0"/>
        <v>16.735002379861289</v>
      </c>
      <c r="AN51" s="167">
        <f t="shared" si="0"/>
        <v>18.137125935255753</v>
      </c>
      <c r="AO51" s="167">
        <f t="shared" si="0"/>
        <v>19.683899091638025</v>
      </c>
      <c r="AP51" s="167">
        <f t="shared" si="0"/>
        <v>21.826389190564619</v>
      </c>
      <c r="AQ51" s="167">
        <f t="shared" si="0"/>
        <v>23.83148150101951</v>
      </c>
    </row>
    <row r="52" spans="3:43" s="158" customFormat="1"/>
    <row r="53" spans="3:43" s="158" customFormat="1">
      <c r="E53" s="158" t="s">
        <v>778</v>
      </c>
      <c r="AJ53" s="38">
        <f>AJ51</f>
        <v>15.277879298174241</v>
      </c>
      <c r="AK53" s="38">
        <f t="shared" ref="AK53:AQ53" si="1">AK51</f>
        <v>15.517263489778955</v>
      </c>
      <c r="AL53" s="38">
        <f t="shared" si="1"/>
        <v>15.851107595271136</v>
      </c>
      <c r="AM53" s="38">
        <f t="shared" si="1"/>
        <v>16.735002379861289</v>
      </c>
      <c r="AN53" s="38">
        <f t="shared" si="1"/>
        <v>18.137125935255753</v>
      </c>
      <c r="AO53" s="38">
        <f t="shared" si="1"/>
        <v>19.683899091638025</v>
      </c>
      <c r="AP53" s="38">
        <f t="shared" si="1"/>
        <v>21.826389190564619</v>
      </c>
      <c r="AQ53" s="38">
        <f t="shared" si="1"/>
        <v>23.83148150101951</v>
      </c>
    </row>
    <row r="54" spans="3:43" s="158" customFormat="1"/>
    <row r="55" spans="3:43" s="158" customFormat="1">
      <c r="I55" s="1" t="s">
        <v>294</v>
      </c>
    </row>
    <row r="56" spans="3:43">
      <c r="E56" s="11" t="s">
        <v>95</v>
      </c>
      <c r="G56" s="158" t="s">
        <v>844</v>
      </c>
      <c r="I56" s="149"/>
      <c r="AJ56" s="152">
        <f>AJ53</f>
        <v>15.277879298174241</v>
      </c>
      <c r="AK56" s="152">
        <f t="shared" ref="AK56:AQ56" si="2">AK53</f>
        <v>15.517263489778955</v>
      </c>
      <c r="AL56" s="152">
        <f t="shared" si="2"/>
        <v>15.851107595271136</v>
      </c>
      <c r="AM56" s="152">
        <f t="shared" si="2"/>
        <v>16.735002379861289</v>
      </c>
      <c r="AN56" s="152">
        <f t="shared" si="2"/>
        <v>18.137125935255753</v>
      </c>
      <c r="AO56" s="152">
        <f t="shared" si="2"/>
        <v>19.683899091638025</v>
      </c>
      <c r="AP56" s="152">
        <f t="shared" si="2"/>
        <v>21.826389190564619</v>
      </c>
      <c r="AQ56" s="152">
        <f t="shared" si="2"/>
        <v>23.83148150101951</v>
      </c>
    </row>
    <row r="57" spans="3:43">
      <c r="E57" s="158" t="s">
        <v>534</v>
      </c>
      <c r="G57" s="158" t="s">
        <v>844</v>
      </c>
      <c r="I57" s="149"/>
      <c r="AJ57" s="322">
        <f>AJ135</f>
        <v>0</v>
      </c>
      <c r="AK57" s="322">
        <f t="shared" ref="AK57:AQ57" si="3">AK135</f>
        <v>0</v>
      </c>
      <c r="AL57" s="322">
        <f t="shared" si="3"/>
        <v>0</v>
      </c>
      <c r="AM57" s="322">
        <f t="shared" si="3"/>
        <v>0</v>
      </c>
      <c r="AN57" s="322">
        <f t="shared" si="3"/>
        <v>0</v>
      </c>
      <c r="AO57" s="322">
        <f t="shared" si="3"/>
        <v>0</v>
      </c>
      <c r="AP57" s="322">
        <f t="shared" si="3"/>
        <v>0</v>
      </c>
      <c r="AQ57" s="322">
        <f t="shared" si="3"/>
        <v>0</v>
      </c>
    </row>
    <row r="58" spans="3:43">
      <c r="E58" s="158" t="s">
        <v>285</v>
      </c>
      <c r="G58" s="158" t="s">
        <v>844</v>
      </c>
      <c r="I58" s="149"/>
      <c r="AJ58" s="152">
        <f>AJ86</f>
        <v>0</v>
      </c>
      <c r="AK58" s="152">
        <f t="shared" ref="AK58:AQ58" si="4">AK86</f>
        <v>0</v>
      </c>
      <c r="AL58" s="152">
        <f t="shared" si="4"/>
        <v>0</v>
      </c>
      <c r="AM58" s="152">
        <f t="shared" si="4"/>
        <v>0</v>
      </c>
      <c r="AN58" s="152">
        <f t="shared" si="4"/>
        <v>0</v>
      </c>
      <c r="AO58" s="152">
        <f t="shared" si="4"/>
        <v>0</v>
      </c>
      <c r="AP58" s="152">
        <f t="shared" si="4"/>
        <v>0</v>
      </c>
      <c r="AQ58" s="152">
        <f t="shared" si="4"/>
        <v>0</v>
      </c>
    </row>
    <row r="59" spans="3:43" ht="13.5" thickBot="1">
      <c r="E59" s="158" t="s">
        <v>7</v>
      </c>
      <c r="G59" s="158" t="s">
        <v>844</v>
      </c>
      <c r="I59" s="153" t="str">
        <f>IF(m_tax_trigger_state = 1, "Copy cells --&gt;", "-")</f>
        <v>Copy cells --&gt;</v>
      </c>
      <c r="AJ59" s="319">
        <f t="shared" ref="AJ59:AQ59" si="5">SUM(AJ56:AJ58)</f>
        <v>15.277879298174241</v>
      </c>
      <c r="AK59" s="320">
        <f t="shared" si="5"/>
        <v>15.517263489778955</v>
      </c>
      <c r="AL59" s="320">
        <f t="shared" si="5"/>
        <v>15.851107595271136</v>
      </c>
      <c r="AM59" s="320">
        <f t="shared" si="5"/>
        <v>16.735002379861289</v>
      </c>
      <c r="AN59" s="320">
        <f t="shared" si="5"/>
        <v>18.137125935255753</v>
      </c>
      <c r="AO59" s="320">
        <f t="shared" si="5"/>
        <v>19.683899091638025</v>
      </c>
      <c r="AP59" s="320">
        <f t="shared" si="5"/>
        <v>21.826389190564619</v>
      </c>
      <c r="AQ59" s="321">
        <f t="shared" si="5"/>
        <v>23.83148150101951</v>
      </c>
    </row>
    <row r="60" spans="3:43" s="158" customFormat="1" ht="15" customHeight="1">
      <c r="G60" s="195"/>
      <c r="I60" s="52"/>
      <c r="AJ60" s="143" t="s">
        <v>384</v>
      </c>
      <c r="AK60" s="52"/>
      <c r="AL60" s="52"/>
      <c r="AM60" s="52"/>
      <c r="AN60" s="52"/>
      <c r="AO60" s="52"/>
      <c r="AP60" s="52"/>
      <c r="AQ60" s="52"/>
    </row>
    <row r="61" spans="3:43" s="158" customFormat="1" ht="15" customHeight="1">
      <c r="C61" s="17" t="s">
        <v>386</v>
      </c>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row>
    <row r="62" spans="3:43" s="158" customFormat="1">
      <c r="C62" s="166" t="s">
        <v>532</v>
      </c>
      <c r="D62" s="166"/>
      <c r="E62" s="166"/>
      <c r="F62" s="166"/>
      <c r="G62" s="166"/>
      <c r="H62" s="166"/>
      <c r="I62" s="166"/>
      <c r="J62" s="166"/>
      <c r="K62" s="166"/>
      <c r="L62" s="166"/>
      <c r="M62" s="166"/>
      <c r="N62" s="166"/>
      <c r="O62" s="166"/>
      <c r="P62" s="166"/>
      <c r="Q62" s="166"/>
      <c r="R62" s="166"/>
      <c r="S62" s="166"/>
      <c r="T62" s="166"/>
      <c r="U62" s="166"/>
      <c r="V62" s="166"/>
      <c r="W62" s="166"/>
      <c r="X62" s="166"/>
      <c r="Y62" s="166"/>
      <c r="Z62" s="166"/>
      <c r="AA62" s="166"/>
      <c r="AB62" s="166"/>
      <c r="AC62" s="166"/>
      <c r="AD62" s="166"/>
      <c r="AE62" s="166"/>
      <c r="AF62" s="166"/>
      <c r="AG62" s="166"/>
      <c r="AH62" s="166"/>
      <c r="AI62" s="166"/>
      <c r="AJ62" s="166"/>
      <c r="AK62" s="166"/>
      <c r="AL62" s="166"/>
      <c r="AM62" s="166"/>
      <c r="AN62" s="166"/>
      <c r="AO62" s="166"/>
      <c r="AP62" s="166"/>
      <c r="AQ62" s="166"/>
    </row>
    <row r="63" spans="3:43" s="158" customFormat="1" ht="15" customHeight="1">
      <c r="G63" s="195"/>
      <c r="I63" s="52"/>
      <c r="AJ63" s="52"/>
      <c r="AK63" s="52"/>
      <c r="AL63" s="52"/>
      <c r="AM63" s="52"/>
      <c r="AN63" s="52"/>
      <c r="AO63" s="52"/>
      <c r="AP63" s="52"/>
      <c r="AQ63" s="52"/>
    </row>
    <row r="64" spans="3:43" s="158" customFormat="1" ht="15" customHeight="1" thickBot="1">
      <c r="G64" s="195"/>
      <c r="I64" s="205" t="s">
        <v>294</v>
      </c>
      <c r="AJ64" s="52"/>
      <c r="AK64" s="52"/>
      <c r="AL64" s="52"/>
      <c r="AM64" s="52"/>
      <c r="AN64" s="52"/>
      <c r="AO64" s="52"/>
      <c r="AP64" s="52"/>
      <c r="AQ64" s="52"/>
    </row>
    <row r="65" spans="2:43" ht="15" customHeight="1" thickBot="1">
      <c r="E65" s="11" t="s">
        <v>96</v>
      </c>
      <c r="G65" s="195" t="s">
        <v>844</v>
      </c>
      <c r="I65" s="153" t="str">
        <f>IF( m_tax_trigger_state = 1, "Paste cells --&gt;","-")</f>
        <v>Paste cells --&gt;</v>
      </c>
      <c r="AI65" s="62" t="s">
        <v>97</v>
      </c>
      <c r="AJ65" s="270"/>
      <c r="AK65" s="271"/>
      <c r="AL65" s="271"/>
      <c r="AM65" s="271"/>
      <c r="AN65" s="271"/>
      <c r="AO65" s="271"/>
      <c r="AP65" s="271"/>
      <c r="AQ65" s="272"/>
    </row>
    <row r="66" spans="2:43" s="158" customFormat="1" ht="15" customHeight="1">
      <c r="G66" s="195"/>
      <c r="I66" s="151"/>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3" t="s">
        <v>533</v>
      </c>
      <c r="AK66" s="143"/>
      <c r="AL66" s="143"/>
      <c r="AM66" s="149"/>
      <c r="AN66" s="143"/>
      <c r="AO66" s="149"/>
      <c r="AP66" s="149"/>
      <c r="AQ66" s="149"/>
    </row>
    <row r="67" spans="2:43" s="158" customFormat="1" ht="15" customHeight="1">
      <c r="E67" s="158" t="s">
        <v>529</v>
      </c>
      <c r="G67" s="195" t="s">
        <v>844</v>
      </c>
      <c r="I67" s="153"/>
      <c r="J67" s="149"/>
      <c r="K67" s="149"/>
      <c r="L67" s="149"/>
      <c r="M67" s="149"/>
      <c r="N67" s="149"/>
      <c r="O67" s="149"/>
      <c r="P67" s="149"/>
      <c r="Q67" s="149"/>
      <c r="R67" s="149"/>
      <c r="S67" s="149"/>
      <c r="T67" s="149"/>
      <c r="U67" s="149"/>
      <c r="V67" s="149"/>
      <c r="W67" s="149"/>
      <c r="X67" s="149"/>
      <c r="Y67" s="149"/>
      <c r="Z67" s="149"/>
      <c r="AA67" s="149"/>
      <c r="AB67" s="149"/>
      <c r="AC67" s="149"/>
      <c r="AD67" s="149"/>
      <c r="AE67" s="149"/>
      <c r="AF67" s="149"/>
      <c r="AG67" s="149"/>
      <c r="AH67" s="149"/>
      <c r="AI67" s="149"/>
      <c r="AJ67" s="154">
        <f>AJ59</f>
        <v>15.277879298174241</v>
      </c>
      <c r="AK67" s="154">
        <f t="shared" ref="AK67:AQ67" si="6">AK59</f>
        <v>15.517263489778955</v>
      </c>
      <c r="AL67" s="154">
        <f t="shared" si="6"/>
        <v>15.851107595271136</v>
      </c>
      <c r="AM67" s="154">
        <f t="shared" si="6"/>
        <v>16.735002379861289</v>
      </c>
      <c r="AN67" s="154">
        <f t="shared" si="6"/>
        <v>18.137125935255753</v>
      </c>
      <c r="AO67" s="154">
        <f t="shared" si="6"/>
        <v>19.683899091638025</v>
      </c>
      <c r="AP67" s="154">
        <f t="shared" si="6"/>
        <v>21.826389190564619</v>
      </c>
      <c r="AQ67" s="154">
        <f t="shared" si="6"/>
        <v>23.83148150101951</v>
      </c>
    </row>
    <row r="68" spans="2:43" ht="15" customHeight="1">
      <c r="I68" s="52"/>
    </row>
    <row r="69" spans="2:43" s="158" customFormat="1" ht="15" customHeight="1">
      <c r="C69" s="160" t="s">
        <v>288</v>
      </c>
      <c r="D69" s="160"/>
      <c r="E69" s="160"/>
      <c r="F69" s="160"/>
      <c r="G69" s="160"/>
      <c r="H69" s="160"/>
      <c r="I69" s="160"/>
      <c r="J69" s="160"/>
      <c r="K69" s="160"/>
      <c r="L69" s="160"/>
      <c r="M69" s="160"/>
      <c r="N69" s="160"/>
      <c r="O69" s="160"/>
      <c r="P69" s="160"/>
      <c r="Q69" s="160"/>
      <c r="R69" s="160"/>
      <c r="S69" s="160"/>
      <c r="T69" s="160"/>
      <c r="U69" s="160"/>
      <c r="V69" s="160"/>
      <c r="W69" s="160"/>
      <c r="X69" s="160"/>
      <c r="Y69" s="160"/>
      <c r="Z69" s="160"/>
      <c r="AA69" s="160"/>
      <c r="AB69" s="160"/>
      <c r="AC69" s="160"/>
      <c r="AD69" s="160"/>
      <c r="AE69" s="160"/>
      <c r="AF69" s="160"/>
      <c r="AG69" s="160"/>
      <c r="AH69" s="160"/>
      <c r="AI69" s="160"/>
      <c r="AJ69" s="160"/>
      <c r="AK69" s="160"/>
      <c r="AL69" s="160"/>
      <c r="AM69" s="160"/>
      <c r="AN69" s="160"/>
      <c r="AO69" s="160"/>
      <c r="AP69" s="160"/>
      <c r="AQ69" s="160"/>
    </row>
    <row r="70" spans="2:43" s="158" customFormat="1" ht="15" customHeight="1">
      <c r="C70" s="166" t="s">
        <v>381</v>
      </c>
      <c r="D70" s="166"/>
      <c r="E70" s="166"/>
      <c r="F70" s="166"/>
      <c r="G70" s="166"/>
      <c r="H70" s="166"/>
      <c r="I70" s="166"/>
      <c r="J70" s="166"/>
      <c r="K70" s="166"/>
      <c r="L70" s="166"/>
      <c r="M70" s="166"/>
      <c r="N70" s="166"/>
      <c r="O70" s="166"/>
      <c r="P70" s="166"/>
      <c r="Q70" s="166"/>
      <c r="R70" s="166"/>
      <c r="S70" s="166"/>
      <c r="T70" s="166"/>
      <c r="U70" s="166"/>
      <c r="V70" s="166"/>
      <c r="W70" s="166"/>
      <c r="X70" s="166"/>
      <c r="Y70" s="166"/>
      <c r="Z70" s="166"/>
      <c r="AA70" s="166"/>
      <c r="AB70" s="166"/>
      <c r="AC70" s="166"/>
      <c r="AD70" s="166"/>
      <c r="AE70" s="166"/>
      <c r="AF70" s="166"/>
      <c r="AG70" s="166"/>
      <c r="AH70" s="166"/>
      <c r="AI70" s="166"/>
      <c r="AJ70" s="166"/>
      <c r="AK70" s="166"/>
      <c r="AL70" s="166"/>
      <c r="AM70" s="166"/>
      <c r="AN70" s="166"/>
      <c r="AO70" s="166"/>
      <c r="AP70" s="166"/>
      <c r="AQ70" s="166"/>
    </row>
    <row r="71" spans="2:43" s="158" customFormat="1" ht="15" customHeight="1">
      <c r="I71" s="52"/>
    </row>
    <row r="72" spans="2:43" s="158" customFormat="1">
      <c r="E72" s="158" t="s">
        <v>289</v>
      </c>
      <c r="G72" s="158" t="s">
        <v>844</v>
      </c>
      <c r="AJ72" s="51">
        <f t="shared" ref="AJ72:AQ72" si="7">IF(m_tax_trigger_state=2,IF(ABS((AJ56+AJ57)-AJ65)&gt; ABS(AJ86), AJ67 - AJ65, 0),0)</f>
        <v>0</v>
      </c>
      <c r="AK72" s="51">
        <f t="shared" si="7"/>
        <v>0</v>
      </c>
      <c r="AL72" s="51">
        <f t="shared" si="7"/>
        <v>0</v>
      </c>
      <c r="AM72" s="51">
        <f t="shared" si="7"/>
        <v>0</v>
      </c>
      <c r="AN72" s="51">
        <f t="shared" si="7"/>
        <v>0</v>
      </c>
      <c r="AO72" s="51">
        <f t="shared" si="7"/>
        <v>0</v>
      </c>
      <c r="AP72" s="51">
        <f t="shared" si="7"/>
        <v>0</v>
      </c>
      <c r="AQ72" s="51">
        <f t="shared" si="7"/>
        <v>0</v>
      </c>
    </row>
    <row r="73" spans="2:43" s="158" customFormat="1"/>
    <row r="74" spans="2:43">
      <c r="B74" s="15" t="s">
        <v>286</v>
      </c>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row>
    <row r="75" spans="2:43" s="158" customFormat="1">
      <c r="B75" s="166" t="s">
        <v>379</v>
      </c>
      <c r="C75" s="166"/>
      <c r="D75" s="166"/>
      <c r="E75" s="166"/>
      <c r="F75" s="166"/>
      <c r="G75" s="166"/>
      <c r="H75" s="166"/>
      <c r="I75" s="166"/>
      <c r="J75" s="166"/>
      <c r="K75" s="166"/>
      <c r="L75" s="166"/>
      <c r="M75" s="166"/>
      <c r="N75" s="166"/>
      <c r="O75" s="166"/>
      <c r="P75" s="166"/>
      <c r="Q75" s="166"/>
      <c r="R75" s="166"/>
      <c r="S75" s="166"/>
      <c r="T75" s="166"/>
      <c r="U75" s="166"/>
      <c r="V75" s="166"/>
      <c r="W75" s="166"/>
      <c r="X75" s="166"/>
      <c r="Y75" s="166"/>
      <c r="Z75" s="166"/>
      <c r="AA75" s="166"/>
      <c r="AB75" s="166"/>
      <c r="AC75" s="166"/>
      <c r="AD75" s="166"/>
      <c r="AE75" s="166"/>
      <c r="AF75" s="166"/>
      <c r="AG75" s="166"/>
      <c r="AH75" s="166"/>
      <c r="AI75" s="166"/>
      <c r="AJ75" s="166"/>
      <c r="AK75" s="166"/>
      <c r="AL75" s="166"/>
      <c r="AM75" s="166"/>
      <c r="AN75" s="166"/>
      <c r="AO75" s="166"/>
      <c r="AP75" s="166"/>
      <c r="AQ75" s="166"/>
    </row>
    <row r="76" spans="2:43" s="158" customFormat="1">
      <c r="B76" s="166" t="s">
        <v>380</v>
      </c>
      <c r="C76" s="166"/>
      <c r="D76" s="166"/>
      <c r="E76" s="166"/>
      <c r="F76" s="166"/>
      <c r="G76" s="166"/>
      <c r="H76" s="166"/>
      <c r="I76" s="166"/>
      <c r="J76" s="166"/>
      <c r="K76" s="166"/>
      <c r="L76" s="166"/>
      <c r="M76" s="166"/>
      <c r="N76" s="166"/>
      <c r="O76" s="166"/>
      <c r="P76" s="166"/>
      <c r="Q76" s="166"/>
      <c r="R76" s="166"/>
      <c r="S76" s="166"/>
      <c r="T76" s="166"/>
      <c r="U76" s="166"/>
      <c r="V76" s="166"/>
      <c r="W76" s="166"/>
      <c r="X76" s="166"/>
      <c r="Y76" s="166"/>
      <c r="Z76" s="166"/>
      <c r="AA76" s="166"/>
      <c r="AB76" s="166"/>
      <c r="AC76" s="166"/>
      <c r="AD76" s="166"/>
      <c r="AE76" s="166"/>
      <c r="AF76" s="166"/>
      <c r="AG76" s="166"/>
      <c r="AH76" s="166"/>
      <c r="AI76" s="166"/>
      <c r="AJ76" s="166"/>
      <c r="AK76" s="166"/>
      <c r="AL76" s="166"/>
      <c r="AM76" s="166"/>
      <c r="AN76" s="166"/>
      <c r="AO76" s="166"/>
      <c r="AP76" s="166"/>
      <c r="AQ76" s="166"/>
    </row>
    <row r="77" spans="2:43"/>
    <row r="78" spans="2:43" s="158" customFormat="1">
      <c r="C78" s="17" t="s">
        <v>290</v>
      </c>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row>
    <row r="79" spans="2:43" s="158" customFormat="1"/>
    <row r="80" spans="2:43">
      <c r="E80" s="158" t="s">
        <v>287</v>
      </c>
      <c r="G80" s="11" t="s">
        <v>47</v>
      </c>
      <c r="I80" s="52"/>
      <c r="AJ80" s="151" t="b">
        <f t="shared" ref="AJ80:AQ80" si="8">IF(AND(AJ$8 &lt;= $I8, m_tax_trigger_state = 2), TRUE, FALSE)</f>
        <v>0</v>
      </c>
      <c r="AK80" s="151" t="b">
        <f t="shared" si="8"/>
        <v>0</v>
      </c>
      <c r="AL80" s="151" t="b">
        <f t="shared" si="8"/>
        <v>0</v>
      </c>
      <c r="AM80" s="151" t="b">
        <f t="shared" si="8"/>
        <v>0</v>
      </c>
      <c r="AN80" s="151" t="b">
        <f t="shared" si="8"/>
        <v>0</v>
      </c>
      <c r="AO80" s="151" t="b">
        <f t="shared" si="8"/>
        <v>0</v>
      </c>
      <c r="AP80" s="151" t="b">
        <f t="shared" si="8"/>
        <v>0</v>
      </c>
      <c r="AQ80" s="151" t="b">
        <f t="shared" si="8"/>
        <v>0</v>
      </c>
    </row>
    <row r="81" spans="3:43" s="158" customFormat="1"/>
    <row r="82" spans="3:43" ht="15" customHeight="1">
      <c r="C82" s="17" t="s">
        <v>91</v>
      </c>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row>
    <row r="83" spans="3:43" ht="15" customHeight="1"/>
    <row r="84" spans="3:43">
      <c r="E84" s="158" t="s">
        <v>94</v>
      </c>
      <c r="G84" s="158" t="s">
        <v>844</v>
      </c>
      <c r="AJ84" s="157">
        <f t="shared" ref="AJ84:AQ84" si="9">CHOOSE(m_identity,AJ139,AJ140,AJ141,AJ142,AJ143,AJ144,AJ145,AJ146,AJ147,AJ148,AJ149,AJ150,AJ151,AJ152)</f>
        <v>0</v>
      </c>
      <c r="AK84" s="157">
        <f t="shared" si="9"/>
        <v>0</v>
      </c>
      <c r="AL84" s="157">
        <f t="shared" si="9"/>
        <v>0</v>
      </c>
      <c r="AM84" s="157">
        <f t="shared" si="9"/>
        <v>0</v>
      </c>
      <c r="AN84" s="157">
        <f t="shared" si="9"/>
        <v>0</v>
      </c>
      <c r="AO84" s="157">
        <f t="shared" si="9"/>
        <v>0</v>
      </c>
      <c r="AP84" s="157">
        <f t="shared" si="9"/>
        <v>0</v>
      </c>
      <c r="AQ84" s="157">
        <f t="shared" si="9"/>
        <v>0</v>
      </c>
    </row>
    <row r="85" spans="3:43">
      <c r="AJ85" s="52"/>
      <c r="AK85" s="52"/>
      <c r="AL85" s="52"/>
      <c r="AM85" s="52"/>
      <c r="AN85" s="52"/>
      <c r="AO85" s="52"/>
      <c r="AP85" s="52"/>
      <c r="AQ85" s="52"/>
    </row>
    <row r="86" spans="3:43">
      <c r="E86" s="158" t="s">
        <v>530</v>
      </c>
      <c r="G86" s="158" t="s">
        <v>844</v>
      </c>
      <c r="T86" s="12"/>
      <c r="U86" s="12"/>
      <c r="V86" s="12"/>
      <c r="W86" s="12"/>
      <c r="X86" s="12"/>
      <c r="Y86" s="12"/>
      <c r="Z86" s="12"/>
      <c r="AA86" s="12"/>
      <c r="AJ86" s="51">
        <f>IF(OR((AJ56+AJ57) = AJ65, AJ65 = ""), 0, IF(AJ65 &lt; (AJ56+AJ57), -AJ84, +AJ84))</f>
        <v>0</v>
      </c>
      <c r="AK86" s="51">
        <f t="shared" ref="AK86:AQ86" si="10">IF(OR((AK56+AK57) = AK65, AK65 = ""), 0, IF(AK65 &lt; (AK56+AK57), -AK84, +AK84))</f>
        <v>0</v>
      </c>
      <c r="AL86" s="51">
        <f t="shared" si="10"/>
        <v>0</v>
      </c>
      <c r="AM86" s="51">
        <f t="shared" si="10"/>
        <v>0</v>
      </c>
      <c r="AN86" s="51">
        <f t="shared" si="10"/>
        <v>0</v>
      </c>
      <c r="AO86" s="51">
        <f t="shared" si="10"/>
        <v>0</v>
      </c>
      <c r="AP86" s="51">
        <f t="shared" si="10"/>
        <v>0</v>
      </c>
      <c r="AQ86" s="51">
        <f t="shared" si="10"/>
        <v>0</v>
      </c>
    </row>
    <row r="87" spans="3:43" ht="15" customHeight="1"/>
    <row r="88" spans="3:43" s="44" customFormat="1" ht="15" customHeight="1">
      <c r="C88" s="428" t="s">
        <v>85</v>
      </c>
      <c r="D88" s="428"/>
      <c r="E88" s="428"/>
      <c r="F88" s="428"/>
      <c r="G88" s="428"/>
      <c r="H88" s="428"/>
      <c r="I88" s="428"/>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row>
    <row r="89" spans="3:43" s="44" customFormat="1" ht="15" customHeight="1">
      <c r="C89" s="156"/>
      <c r="D89" s="156"/>
      <c r="E89" s="157"/>
      <c r="F89" s="157"/>
      <c r="G89" s="157"/>
      <c r="H89" s="157"/>
      <c r="I89" s="157"/>
      <c r="J89" s="33"/>
      <c r="K89" s="33"/>
      <c r="L89" s="33"/>
      <c r="M89" s="33"/>
      <c r="N89" s="33"/>
      <c r="O89" s="33"/>
      <c r="P89" s="33"/>
      <c r="Q89" s="33"/>
      <c r="R89" s="33"/>
      <c r="S89" s="33"/>
      <c r="T89" s="33"/>
      <c r="U89" s="33"/>
      <c r="V89" s="33"/>
      <c r="W89" s="33"/>
      <c r="X89" s="33"/>
      <c r="AD89" s="156"/>
      <c r="AE89" s="156"/>
      <c r="AL89" s="102"/>
      <c r="AM89" s="85"/>
      <c r="AN89" s="103"/>
      <c r="AO89" s="103"/>
      <c r="AP89" s="103"/>
      <c r="AQ89" s="103"/>
    </row>
    <row r="90" spans="3:43" s="44" customFormat="1" ht="15" customHeight="1">
      <c r="C90" s="156"/>
      <c r="D90" s="156"/>
      <c r="E90" s="157" t="s">
        <v>134</v>
      </c>
      <c r="F90" s="157"/>
      <c r="G90" s="157" t="s">
        <v>61</v>
      </c>
      <c r="H90" s="157"/>
      <c r="I90" s="157"/>
      <c r="J90" s="33"/>
      <c r="K90" s="33"/>
      <c r="L90" s="33"/>
      <c r="M90" s="33"/>
      <c r="N90" s="33"/>
      <c r="O90" s="33"/>
      <c r="P90" s="33"/>
      <c r="Q90" s="33"/>
      <c r="R90" s="33"/>
      <c r="S90" s="33"/>
      <c r="T90" s="33"/>
      <c r="U90" s="33"/>
      <c r="V90" s="33"/>
      <c r="W90" s="33"/>
      <c r="X90" s="33"/>
      <c r="AD90" s="156"/>
      <c r="AE90" s="156"/>
      <c r="AI90" s="49"/>
      <c r="AJ90" s="151" t="b">
        <f t="shared" ref="AJ90:AQ90" si="11">AJ$80 = FALSE()</f>
        <v>1</v>
      </c>
      <c r="AK90" s="151" t="b">
        <f t="shared" si="11"/>
        <v>1</v>
      </c>
      <c r="AL90" s="151" t="b">
        <f t="shared" si="11"/>
        <v>1</v>
      </c>
      <c r="AM90" s="151" t="b">
        <f t="shared" si="11"/>
        <v>1</v>
      </c>
      <c r="AN90" s="151" t="b">
        <f t="shared" si="11"/>
        <v>1</v>
      </c>
      <c r="AO90" s="151" t="b">
        <f t="shared" si="11"/>
        <v>1</v>
      </c>
      <c r="AP90" s="151" t="b">
        <f t="shared" si="11"/>
        <v>1</v>
      </c>
      <c r="AQ90" s="151" t="b">
        <f t="shared" si="11"/>
        <v>1</v>
      </c>
    </row>
    <row r="91" spans="3:43" s="44" customFormat="1" ht="15" customHeight="1">
      <c r="C91" s="156"/>
      <c r="D91" s="156"/>
      <c r="E91" s="157" t="s">
        <v>133</v>
      </c>
      <c r="F91" s="157"/>
      <c r="G91" s="157" t="s">
        <v>49</v>
      </c>
      <c r="H91" s="157"/>
      <c r="I91" s="157"/>
      <c r="J91" s="92" t="s">
        <v>56</v>
      </c>
      <c r="K91" s="33"/>
      <c r="L91" s="33"/>
      <c r="M91" s="33"/>
      <c r="N91" s="33"/>
      <c r="O91" s="33"/>
      <c r="P91" s="33"/>
      <c r="Q91" s="33"/>
      <c r="R91" s="33"/>
      <c r="S91" s="33"/>
      <c r="T91" s="33"/>
      <c r="U91" s="33"/>
      <c r="V91" s="33"/>
      <c r="W91" s="33"/>
      <c r="X91" s="33"/>
      <c r="Y91" s="156"/>
      <c r="Z91" s="156"/>
      <c r="AA91" s="156"/>
      <c r="AB91" s="156"/>
      <c r="AC91" s="156"/>
      <c r="AD91" s="156"/>
      <c r="AE91" s="156"/>
      <c r="AF91" s="156"/>
      <c r="AG91" s="156"/>
      <c r="AH91" s="156"/>
      <c r="AI91" s="156"/>
      <c r="AJ91" s="41">
        <f>Input!AJ343</f>
        <v>0.2</v>
      </c>
      <c r="AK91" s="41">
        <f>Input!AK343</f>
        <v>0.2</v>
      </c>
      <c r="AL91" s="41">
        <f>Input!AL343</f>
        <v>0.2</v>
      </c>
      <c r="AM91" s="41">
        <f>Input!AM343</f>
        <v>0.2</v>
      </c>
      <c r="AN91" s="41">
        <f>Input!AN343</f>
        <v>0.2</v>
      </c>
      <c r="AO91" s="41">
        <f>Input!AO343</f>
        <v>0.2</v>
      </c>
      <c r="AP91" s="41">
        <f>Input!AP343</f>
        <v>0.2</v>
      </c>
      <c r="AQ91" s="41">
        <f>Input!AQ343</f>
        <v>0.2</v>
      </c>
    </row>
    <row r="92" spans="3:43" s="44" customFormat="1" ht="15" customHeight="1">
      <c r="C92" s="156"/>
      <c r="D92" s="156"/>
      <c r="E92" s="157"/>
      <c r="F92" s="157"/>
      <c r="G92" s="157"/>
      <c r="H92" s="157"/>
      <c r="I92" s="157"/>
      <c r="J92" s="33"/>
      <c r="K92" s="33"/>
      <c r="L92" s="33"/>
      <c r="M92" s="33"/>
      <c r="N92" s="33"/>
      <c r="O92" s="33"/>
      <c r="P92" s="33"/>
      <c r="Q92" s="33"/>
      <c r="R92" s="33"/>
      <c r="S92" s="33"/>
      <c r="T92" s="33"/>
      <c r="U92" s="33"/>
      <c r="V92" s="33"/>
      <c r="W92" s="33"/>
      <c r="X92" s="33"/>
      <c r="Y92" s="156"/>
      <c r="Z92" s="156"/>
      <c r="AA92" s="156"/>
      <c r="AB92" s="156"/>
      <c r="AC92" s="156"/>
      <c r="AD92" s="156"/>
      <c r="AE92" s="156"/>
      <c r="AF92" s="156"/>
      <c r="AG92" s="156"/>
      <c r="AH92" s="156"/>
      <c r="AI92" s="156"/>
      <c r="AJ92" s="48"/>
      <c r="AK92" s="48"/>
      <c r="AL92" s="48"/>
      <c r="AM92" s="48"/>
      <c r="AN92" s="48"/>
      <c r="AO92" s="48"/>
      <c r="AP92" s="48"/>
      <c r="AQ92" s="48"/>
    </row>
    <row r="93" spans="3:43" s="44" customFormat="1" ht="15" customHeight="1">
      <c r="C93" s="156"/>
      <c r="D93" s="156"/>
      <c r="E93" s="157" t="s">
        <v>134</v>
      </c>
      <c r="F93" s="157"/>
      <c r="G93" s="157" t="s">
        <v>61</v>
      </c>
      <c r="H93" s="157"/>
      <c r="I93" s="157"/>
      <c r="J93" s="33"/>
      <c r="K93" s="33"/>
      <c r="L93" s="33"/>
      <c r="M93" s="33"/>
      <c r="N93" s="33"/>
      <c r="O93" s="33"/>
      <c r="P93" s="33"/>
      <c r="Q93" s="33"/>
      <c r="R93" s="33"/>
      <c r="S93" s="33"/>
      <c r="T93" s="33"/>
      <c r="U93" s="33"/>
      <c r="V93" s="33"/>
      <c r="W93" s="33"/>
      <c r="X93" s="33"/>
      <c r="Y93" s="156"/>
      <c r="Z93" s="156"/>
      <c r="AA93" s="156"/>
      <c r="AB93" s="156"/>
      <c r="AC93" s="156"/>
      <c r="AD93" s="156"/>
      <c r="AE93" s="156"/>
      <c r="AF93" s="156"/>
      <c r="AG93" s="156"/>
      <c r="AH93" s="156"/>
      <c r="AI93" s="156"/>
      <c r="AJ93" s="12" t="b">
        <f t="shared" ref="AJ93:AQ93" si="12">AJ$80</f>
        <v>0</v>
      </c>
      <c r="AK93" s="151" t="b">
        <f t="shared" si="12"/>
        <v>0</v>
      </c>
      <c r="AL93" s="151" t="b">
        <f t="shared" si="12"/>
        <v>0</v>
      </c>
      <c r="AM93" s="151" t="b">
        <f t="shared" si="12"/>
        <v>0</v>
      </c>
      <c r="AN93" s="151" t="b">
        <f t="shared" si="12"/>
        <v>0</v>
      </c>
      <c r="AO93" s="151" t="b">
        <f t="shared" si="12"/>
        <v>0</v>
      </c>
      <c r="AP93" s="151" t="b">
        <f t="shared" si="12"/>
        <v>0</v>
      </c>
      <c r="AQ93" s="151" t="b">
        <f t="shared" si="12"/>
        <v>0</v>
      </c>
    </row>
    <row r="94" spans="3:43" s="44" customFormat="1" ht="15" customHeight="1">
      <c r="C94" s="156"/>
      <c r="D94" s="156"/>
      <c r="E94" s="157" t="s">
        <v>64</v>
      </c>
      <c r="F94" s="157"/>
      <c r="G94" s="157" t="s">
        <v>49</v>
      </c>
      <c r="H94" s="157"/>
      <c r="I94" s="157"/>
      <c r="J94" s="33"/>
      <c r="K94" s="33"/>
      <c r="L94" s="33"/>
      <c r="M94" s="33"/>
      <c r="N94" s="33"/>
      <c r="O94" s="33"/>
      <c r="P94" s="33"/>
      <c r="Q94" s="33"/>
      <c r="R94" s="33"/>
      <c r="S94" s="33"/>
      <c r="T94" s="33"/>
      <c r="U94" s="33"/>
      <c r="V94" s="33"/>
      <c r="W94" s="33"/>
      <c r="X94" s="33"/>
      <c r="Y94" s="156"/>
      <c r="Z94" s="156"/>
      <c r="AA94" s="156"/>
      <c r="AB94" s="156"/>
      <c r="AC94" s="156"/>
      <c r="AD94" s="156"/>
      <c r="AE94" s="156"/>
      <c r="AF94" s="156"/>
      <c r="AG94" s="156"/>
      <c r="AH94" s="156"/>
      <c r="AI94" s="156"/>
      <c r="AJ94" s="73">
        <f t="shared" ref="AJ94:AQ94" si="13">AJ91</f>
        <v>0.2</v>
      </c>
      <c r="AK94" s="73">
        <f t="shared" si="13"/>
        <v>0.2</v>
      </c>
      <c r="AL94" s="73">
        <f t="shared" si="13"/>
        <v>0.2</v>
      </c>
      <c r="AM94" s="73">
        <f t="shared" si="13"/>
        <v>0.2</v>
      </c>
      <c r="AN94" s="73">
        <f t="shared" si="13"/>
        <v>0.2</v>
      </c>
      <c r="AO94" s="73">
        <f t="shared" si="13"/>
        <v>0.2</v>
      </c>
      <c r="AP94" s="73">
        <f t="shared" si="13"/>
        <v>0.2</v>
      </c>
      <c r="AQ94" s="73">
        <f t="shared" si="13"/>
        <v>0.2</v>
      </c>
    </row>
    <row r="95" spans="3:43" s="44" customFormat="1" ht="15" customHeight="1">
      <c r="C95" s="156"/>
      <c r="D95" s="156"/>
      <c r="E95" s="157"/>
      <c r="F95" s="157"/>
      <c r="G95" s="157"/>
      <c r="H95" s="157"/>
      <c r="I95" s="157"/>
      <c r="J95" s="33"/>
      <c r="K95" s="33"/>
      <c r="L95" s="33"/>
      <c r="M95" s="33"/>
      <c r="N95" s="33"/>
      <c r="O95" s="33"/>
      <c r="P95" s="33"/>
      <c r="Q95" s="33"/>
      <c r="R95" s="33"/>
      <c r="S95" s="33"/>
      <c r="T95" s="33"/>
      <c r="U95" s="33"/>
      <c r="V95" s="33"/>
      <c r="W95" s="33"/>
      <c r="X95" s="33"/>
      <c r="Y95" s="156"/>
      <c r="Z95" s="156"/>
      <c r="AA95" s="156"/>
      <c r="AB95" s="156"/>
      <c r="AC95" s="156"/>
      <c r="AD95" s="156"/>
      <c r="AE95" s="156"/>
      <c r="AF95" s="156"/>
      <c r="AG95" s="156"/>
      <c r="AH95" s="156"/>
      <c r="AI95" s="156"/>
      <c r="AL95" s="102"/>
      <c r="AM95" s="85"/>
      <c r="AN95" s="103"/>
      <c r="AO95" s="103"/>
      <c r="AP95" s="103"/>
      <c r="AQ95" s="103"/>
    </row>
    <row r="96" spans="3:43" s="44" customFormat="1" ht="15" customHeight="1">
      <c r="C96" s="156"/>
      <c r="D96" s="156"/>
      <c r="E96" s="157" t="s">
        <v>68</v>
      </c>
      <c r="F96" s="157"/>
      <c r="G96" s="157" t="s">
        <v>49</v>
      </c>
      <c r="H96" s="157"/>
      <c r="I96" s="157"/>
      <c r="J96" s="92" t="s">
        <v>56</v>
      </c>
      <c r="K96" s="92"/>
      <c r="L96" s="92"/>
      <c r="M96" s="92"/>
      <c r="N96" s="92"/>
      <c r="O96" s="92"/>
      <c r="P96" s="92"/>
      <c r="Q96" s="92"/>
      <c r="R96" s="92"/>
      <c r="S96" s="92"/>
      <c r="T96" s="92"/>
      <c r="U96" s="92"/>
      <c r="V96" s="33"/>
      <c r="W96" s="33"/>
      <c r="X96" s="33"/>
      <c r="Y96" s="156"/>
      <c r="Z96" s="156"/>
      <c r="AA96" s="156"/>
      <c r="AB96" s="156"/>
      <c r="AC96" s="156"/>
      <c r="AD96" s="156"/>
      <c r="AE96" s="156"/>
      <c r="AF96" s="156"/>
      <c r="AG96" s="156"/>
      <c r="AH96" s="156"/>
      <c r="AI96" s="156"/>
      <c r="AJ96" s="323">
        <f>(AJ90 * AJ91) + (AJ93 * AJ94)</f>
        <v>0.2</v>
      </c>
      <c r="AK96" s="323">
        <f t="shared" ref="AK96:AQ96" si="14">(AK90 * AK91) + (AK93 * AK94)</f>
        <v>0.2</v>
      </c>
      <c r="AL96" s="323">
        <f t="shared" si="14"/>
        <v>0.2</v>
      </c>
      <c r="AM96" s="323">
        <f t="shared" si="14"/>
        <v>0.2</v>
      </c>
      <c r="AN96" s="323">
        <f t="shared" si="14"/>
        <v>0.2</v>
      </c>
      <c r="AO96" s="323">
        <f t="shared" si="14"/>
        <v>0.2</v>
      </c>
      <c r="AP96" s="323">
        <f t="shared" si="14"/>
        <v>0.2</v>
      </c>
      <c r="AQ96" s="323">
        <f t="shared" si="14"/>
        <v>0.2</v>
      </c>
    </row>
    <row r="97" spans="3:43" s="44" customFormat="1" ht="15" customHeight="1">
      <c r="C97" s="156"/>
      <c r="D97" s="156"/>
      <c r="E97" s="157"/>
      <c r="F97" s="157"/>
      <c r="G97" s="157"/>
      <c r="H97" s="157"/>
      <c r="I97" s="157"/>
      <c r="J97" s="33"/>
      <c r="K97" s="33"/>
      <c r="L97" s="33"/>
      <c r="M97" s="33"/>
      <c r="N97" s="33"/>
      <c r="O97" s="33"/>
      <c r="P97" s="33"/>
      <c r="Q97" s="33"/>
      <c r="R97" s="33"/>
      <c r="S97" s="33"/>
      <c r="T97" s="33"/>
      <c r="U97" s="33"/>
      <c r="V97" s="33"/>
      <c r="W97" s="33"/>
      <c r="X97" s="33"/>
      <c r="Y97" s="156"/>
      <c r="Z97" s="156"/>
      <c r="AA97" s="156"/>
      <c r="AB97" s="156"/>
      <c r="AC97" s="156"/>
      <c r="AD97" s="156"/>
      <c r="AE97" s="156"/>
      <c r="AF97" s="156"/>
      <c r="AG97" s="156"/>
      <c r="AH97" s="156"/>
      <c r="AI97" s="156"/>
      <c r="AL97" s="102"/>
      <c r="AM97" s="85"/>
      <c r="AN97" s="103"/>
      <c r="AO97" s="103"/>
      <c r="AP97" s="103"/>
      <c r="AQ97" s="103"/>
    </row>
    <row r="98" spans="3:43" s="44" customFormat="1" ht="15" customHeight="1">
      <c r="C98" s="428" t="s">
        <v>26</v>
      </c>
      <c r="D98" s="428"/>
      <c r="E98" s="428"/>
      <c r="F98" s="428"/>
      <c r="G98" s="428"/>
      <c r="H98" s="428"/>
      <c r="I98" s="428"/>
      <c r="J98" s="17"/>
      <c r="K98" s="17"/>
      <c r="L98" s="17"/>
      <c r="M98" s="17"/>
      <c r="N98" s="17"/>
      <c r="O98" s="17"/>
      <c r="P98" s="17"/>
      <c r="Q98" s="17"/>
      <c r="R98" s="17"/>
      <c r="S98" s="17"/>
      <c r="T98" s="17"/>
      <c r="U98" s="17"/>
      <c r="V98" s="33"/>
      <c r="W98" s="33"/>
      <c r="X98" s="33"/>
      <c r="Y98" s="156"/>
      <c r="Z98" s="156"/>
      <c r="AA98" s="156"/>
      <c r="AB98" s="156"/>
      <c r="AC98" s="156"/>
      <c r="AD98" s="156"/>
      <c r="AE98" s="156"/>
      <c r="AF98" s="156"/>
      <c r="AG98" s="156"/>
      <c r="AH98" s="156"/>
      <c r="AI98" s="156"/>
      <c r="AJ98" s="17"/>
      <c r="AK98" s="17"/>
      <c r="AL98" s="17"/>
      <c r="AM98" s="17"/>
      <c r="AN98" s="17"/>
      <c r="AO98" s="17"/>
      <c r="AP98" s="17"/>
      <c r="AQ98" s="17"/>
    </row>
    <row r="99" spans="3:43" s="44" customFormat="1" ht="15" customHeight="1">
      <c r="C99" s="156"/>
      <c r="D99" s="156"/>
      <c r="E99" s="157"/>
      <c r="F99" s="157"/>
      <c r="G99" s="157"/>
      <c r="H99" s="157"/>
      <c r="I99" s="157"/>
      <c r="J99" s="33"/>
      <c r="K99" s="33"/>
      <c r="L99" s="33"/>
      <c r="M99" s="33"/>
      <c r="N99" s="33"/>
      <c r="O99" s="33"/>
      <c r="P99" s="33"/>
      <c r="Q99" s="33"/>
      <c r="R99" s="33"/>
      <c r="S99" s="33"/>
      <c r="T99" s="33"/>
      <c r="U99" s="33"/>
      <c r="V99" s="33"/>
      <c r="W99" s="33"/>
      <c r="X99" s="33"/>
      <c r="Y99" s="156"/>
      <c r="Z99" s="156"/>
      <c r="AA99" s="156"/>
      <c r="AB99" s="156"/>
      <c r="AC99" s="156"/>
      <c r="AD99" s="156"/>
      <c r="AE99" s="156"/>
      <c r="AF99" s="156"/>
      <c r="AG99" s="156"/>
      <c r="AH99" s="156"/>
      <c r="AI99" s="156"/>
      <c r="AL99" s="102"/>
      <c r="AM99" s="85"/>
      <c r="AN99" s="103"/>
      <c r="AO99" s="103"/>
      <c r="AP99" s="103"/>
      <c r="AQ99" s="103"/>
    </row>
    <row r="100" spans="3:43" s="44" customFormat="1" ht="15" customHeight="1">
      <c r="C100" s="156"/>
      <c r="D100" s="298" t="s">
        <v>30</v>
      </c>
      <c r="E100" s="298"/>
      <c r="F100" s="298"/>
      <c r="G100" s="298"/>
      <c r="H100" s="298"/>
      <c r="I100" s="298"/>
      <c r="J100" s="36"/>
      <c r="K100" s="36"/>
      <c r="L100" s="36"/>
      <c r="M100" s="36"/>
      <c r="N100" s="36"/>
      <c r="O100" s="36"/>
      <c r="P100" s="36"/>
      <c r="Q100" s="36"/>
      <c r="R100" s="36"/>
      <c r="S100" s="36"/>
      <c r="T100" s="36"/>
      <c r="U100" s="36"/>
      <c r="V100" s="33"/>
      <c r="W100" s="33"/>
      <c r="X100" s="33"/>
      <c r="Y100" s="156"/>
      <c r="Z100" s="156"/>
      <c r="AA100" s="156"/>
      <c r="AB100" s="156"/>
      <c r="AC100" s="156"/>
      <c r="AD100" s="156"/>
      <c r="AE100" s="156"/>
      <c r="AF100" s="156"/>
      <c r="AG100" s="156"/>
      <c r="AH100" s="156"/>
      <c r="AI100" s="156"/>
      <c r="AJ100" s="36"/>
      <c r="AK100" s="36"/>
      <c r="AL100" s="36"/>
      <c r="AM100" s="36"/>
      <c r="AN100" s="36"/>
      <c r="AO100" s="36"/>
      <c r="AP100" s="36"/>
      <c r="AQ100" s="36"/>
    </row>
    <row r="101" spans="3:43" s="44" customFormat="1" ht="15" customHeight="1">
      <c r="C101" s="156"/>
      <c r="D101" s="156"/>
      <c r="E101" s="157"/>
      <c r="F101" s="157"/>
      <c r="G101" s="157"/>
      <c r="H101" s="157"/>
      <c r="I101" s="157"/>
      <c r="J101" s="33"/>
      <c r="K101" s="33"/>
      <c r="L101" s="33"/>
      <c r="M101" s="33"/>
      <c r="N101" s="33"/>
      <c r="O101" s="33"/>
      <c r="P101" s="33"/>
      <c r="Q101" s="33"/>
      <c r="R101" s="33"/>
      <c r="S101" s="33"/>
      <c r="T101" s="33"/>
      <c r="U101" s="33"/>
      <c r="V101" s="33"/>
      <c r="W101" s="33"/>
      <c r="X101" s="33"/>
      <c r="Y101" s="156"/>
      <c r="Z101" s="156"/>
      <c r="AA101" s="156"/>
      <c r="AB101" s="156"/>
      <c r="AC101" s="156"/>
      <c r="AD101" s="156"/>
      <c r="AE101" s="156"/>
      <c r="AF101" s="156"/>
      <c r="AG101" s="156"/>
      <c r="AH101" s="156"/>
      <c r="AI101" s="156"/>
      <c r="AL101" s="102"/>
      <c r="AM101" s="85"/>
      <c r="AN101" s="103"/>
      <c r="AO101" s="103"/>
      <c r="AP101" s="103"/>
      <c r="AQ101" s="103"/>
    </row>
    <row r="102" spans="3:43" s="44" customFormat="1" ht="15" customHeight="1">
      <c r="C102" s="156"/>
      <c r="D102" s="156"/>
      <c r="E102" s="157" t="s">
        <v>134</v>
      </c>
      <c r="F102" s="157"/>
      <c r="G102" s="157" t="s">
        <v>61</v>
      </c>
      <c r="H102" s="157"/>
      <c r="I102" s="157"/>
      <c r="J102" s="33"/>
      <c r="K102" s="33"/>
      <c r="L102" s="33"/>
      <c r="M102" s="33"/>
      <c r="N102" s="33"/>
      <c r="O102" s="33"/>
      <c r="P102" s="33"/>
      <c r="Q102" s="33"/>
      <c r="R102" s="33"/>
      <c r="S102" s="33"/>
      <c r="T102" s="33"/>
      <c r="U102" s="33"/>
      <c r="V102" s="33"/>
      <c r="W102" s="33"/>
      <c r="X102" s="33"/>
      <c r="Y102" s="156"/>
      <c r="Z102" s="156"/>
      <c r="AA102" s="156"/>
      <c r="AB102" s="156"/>
      <c r="AC102" s="156"/>
      <c r="AD102" s="156"/>
      <c r="AE102" s="156"/>
      <c r="AF102" s="156"/>
      <c r="AG102" s="156"/>
      <c r="AH102" s="156"/>
      <c r="AI102" s="156"/>
      <c r="AJ102" s="151" t="b">
        <f t="shared" ref="AJ102:AQ102" si="15">AJ$80 = FALSE()</f>
        <v>1</v>
      </c>
      <c r="AK102" s="151" t="b">
        <f t="shared" si="15"/>
        <v>1</v>
      </c>
      <c r="AL102" s="151" t="b">
        <f t="shared" si="15"/>
        <v>1</v>
      </c>
      <c r="AM102" s="151" t="b">
        <f t="shared" si="15"/>
        <v>1</v>
      </c>
      <c r="AN102" s="151" t="b">
        <f t="shared" si="15"/>
        <v>1</v>
      </c>
      <c r="AO102" s="151" t="b">
        <f t="shared" si="15"/>
        <v>1</v>
      </c>
      <c r="AP102" s="151" t="b">
        <f t="shared" si="15"/>
        <v>1</v>
      </c>
      <c r="AQ102" s="151" t="b">
        <f t="shared" si="15"/>
        <v>1</v>
      </c>
    </row>
    <row r="103" spans="3:43" s="44" customFormat="1" ht="15" customHeight="1">
      <c r="C103" s="156"/>
      <c r="D103" s="156"/>
      <c r="E103" s="157" t="s">
        <v>133</v>
      </c>
      <c r="F103" s="157"/>
      <c r="G103" s="157" t="s">
        <v>49</v>
      </c>
      <c r="H103" s="157"/>
      <c r="I103" s="157"/>
      <c r="J103" s="92"/>
      <c r="K103" s="33"/>
      <c r="L103" s="33"/>
      <c r="M103" s="33"/>
      <c r="N103" s="33"/>
      <c r="O103" s="33"/>
      <c r="P103" s="33"/>
      <c r="Q103" s="33"/>
      <c r="R103" s="33"/>
      <c r="S103" s="33"/>
      <c r="T103" s="33"/>
      <c r="U103" s="33"/>
      <c r="V103" s="33"/>
      <c r="W103" s="33"/>
      <c r="X103" s="33"/>
      <c r="Y103" s="156"/>
      <c r="Z103" s="156"/>
      <c r="AA103" s="156"/>
      <c r="AB103" s="156"/>
      <c r="AC103" s="156"/>
      <c r="AD103" s="156"/>
      <c r="AE103" s="156"/>
      <c r="AF103" s="156"/>
      <c r="AG103" s="156"/>
      <c r="AH103" s="156"/>
      <c r="AI103" s="156"/>
      <c r="AJ103" s="41">
        <f>Input!AJ345</f>
        <v>0.18000000000000002</v>
      </c>
      <c r="AK103" s="41">
        <f>Input!AK345</f>
        <v>0.18000000000000002</v>
      </c>
      <c r="AL103" s="41">
        <f>Input!AL345</f>
        <v>0.18000000000000002</v>
      </c>
      <c r="AM103" s="41">
        <f>Input!AM345</f>
        <v>0.18000000000000002</v>
      </c>
      <c r="AN103" s="41">
        <f>Input!AN345</f>
        <v>0.18000000000000002</v>
      </c>
      <c r="AO103" s="41">
        <f>Input!AO345</f>
        <v>0.18000000000000002</v>
      </c>
      <c r="AP103" s="41">
        <f>Input!AP345</f>
        <v>0.18000000000000002</v>
      </c>
      <c r="AQ103" s="41">
        <f>Input!AQ345</f>
        <v>0.18000000000000002</v>
      </c>
    </row>
    <row r="104" spans="3:43" s="44" customFormat="1" ht="15" customHeight="1">
      <c r="C104" s="156"/>
      <c r="D104" s="156"/>
      <c r="E104" s="157"/>
      <c r="F104" s="157"/>
      <c r="G104" s="157"/>
      <c r="H104" s="157"/>
      <c r="I104" s="157"/>
      <c r="J104" s="33"/>
      <c r="K104" s="33"/>
      <c r="L104" s="33"/>
      <c r="M104" s="33"/>
      <c r="N104" s="33"/>
      <c r="O104" s="33"/>
      <c r="P104" s="33"/>
      <c r="Q104" s="33"/>
      <c r="R104" s="33"/>
      <c r="S104" s="33"/>
      <c r="T104" s="33"/>
      <c r="U104" s="33"/>
      <c r="V104" s="33"/>
      <c r="W104" s="33"/>
      <c r="X104" s="33"/>
      <c r="Y104" s="156"/>
      <c r="Z104" s="156"/>
      <c r="AA104" s="156"/>
      <c r="AB104" s="156"/>
      <c r="AC104" s="156"/>
      <c r="AD104" s="156"/>
      <c r="AE104" s="156"/>
      <c r="AF104" s="156"/>
      <c r="AG104" s="156"/>
      <c r="AH104" s="156"/>
      <c r="AI104" s="156"/>
      <c r="AJ104" s="48"/>
      <c r="AK104" s="48"/>
      <c r="AL104" s="48"/>
      <c r="AM104" s="48"/>
      <c r="AN104" s="48"/>
      <c r="AO104" s="48"/>
      <c r="AP104" s="48"/>
      <c r="AQ104" s="48"/>
    </row>
    <row r="105" spans="3:43" s="44" customFormat="1" ht="15" customHeight="1">
      <c r="C105" s="156"/>
      <c r="D105" s="156"/>
      <c r="E105" s="157" t="s">
        <v>134</v>
      </c>
      <c r="F105" s="157"/>
      <c r="G105" s="157" t="s">
        <v>61</v>
      </c>
      <c r="H105" s="157"/>
      <c r="I105" s="157"/>
      <c r="J105" s="33"/>
      <c r="K105" s="33"/>
      <c r="L105" s="33"/>
      <c r="M105" s="33"/>
      <c r="N105" s="33"/>
      <c r="O105" s="33"/>
      <c r="P105" s="33"/>
      <c r="Q105" s="33"/>
      <c r="R105" s="33"/>
      <c r="S105" s="33"/>
      <c r="T105" s="33"/>
      <c r="U105" s="33"/>
      <c r="V105" s="33"/>
      <c r="W105" s="33"/>
      <c r="X105" s="33"/>
      <c r="Y105" s="156"/>
      <c r="Z105" s="156"/>
      <c r="AA105" s="156"/>
      <c r="AB105" s="156"/>
      <c r="AC105" s="156"/>
      <c r="AD105" s="156"/>
      <c r="AE105" s="156"/>
      <c r="AF105" s="156"/>
      <c r="AG105" s="156"/>
      <c r="AH105" s="156"/>
      <c r="AI105" s="156"/>
      <c r="AJ105" s="151" t="b">
        <f t="shared" ref="AJ105:AQ105" si="16">AJ$80</f>
        <v>0</v>
      </c>
      <c r="AK105" s="151" t="b">
        <f t="shared" si="16"/>
        <v>0</v>
      </c>
      <c r="AL105" s="151" t="b">
        <f t="shared" si="16"/>
        <v>0</v>
      </c>
      <c r="AM105" s="151" t="b">
        <f t="shared" si="16"/>
        <v>0</v>
      </c>
      <c r="AN105" s="151" t="b">
        <f t="shared" si="16"/>
        <v>0</v>
      </c>
      <c r="AO105" s="151" t="b">
        <f t="shared" si="16"/>
        <v>0</v>
      </c>
      <c r="AP105" s="151" t="b">
        <f t="shared" si="16"/>
        <v>0</v>
      </c>
      <c r="AQ105" s="151" t="b">
        <f t="shared" si="16"/>
        <v>0</v>
      </c>
    </row>
    <row r="106" spans="3:43" s="44" customFormat="1" ht="15" customHeight="1">
      <c r="C106" s="156"/>
      <c r="D106" s="156"/>
      <c r="E106" s="157" t="s">
        <v>64</v>
      </c>
      <c r="F106" s="157"/>
      <c r="G106" s="157" t="s">
        <v>49</v>
      </c>
      <c r="H106" s="157"/>
      <c r="I106" s="157"/>
      <c r="J106" s="33"/>
      <c r="K106" s="33"/>
      <c r="L106" s="33"/>
      <c r="M106" s="33"/>
      <c r="N106" s="33"/>
      <c r="O106" s="33"/>
      <c r="P106" s="33"/>
      <c r="Q106" s="33"/>
      <c r="R106" s="33"/>
      <c r="S106" s="33"/>
      <c r="T106" s="33"/>
      <c r="U106" s="33"/>
      <c r="V106" s="33"/>
      <c r="W106" s="33"/>
      <c r="X106" s="33"/>
      <c r="Y106" s="156"/>
      <c r="Z106" s="156"/>
      <c r="AA106" s="156"/>
      <c r="AB106" s="156"/>
      <c r="AC106" s="156"/>
      <c r="AD106" s="156"/>
      <c r="AE106" s="156"/>
      <c r="AF106" s="156"/>
      <c r="AG106" s="156"/>
      <c r="AH106" s="156"/>
      <c r="AI106" s="156"/>
      <c r="AJ106" s="73">
        <f>AJ103</f>
        <v>0.18000000000000002</v>
      </c>
      <c r="AK106" s="73">
        <f t="shared" ref="AK106:AQ106" si="17">AK103</f>
        <v>0.18000000000000002</v>
      </c>
      <c r="AL106" s="73">
        <f t="shared" si="17"/>
        <v>0.18000000000000002</v>
      </c>
      <c r="AM106" s="73">
        <f t="shared" si="17"/>
        <v>0.18000000000000002</v>
      </c>
      <c r="AN106" s="73">
        <f t="shared" si="17"/>
        <v>0.18000000000000002</v>
      </c>
      <c r="AO106" s="73">
        <f t="shared" si="17"/>
        <v>0.18000000000000002</v>
      </c>
      <c r="AP106" s="73">
        <f t="shared" si="17"/>
        <v>0.18000000000000002</v>
      </c>
      <c r="AQ106" s="73">
        <f t="shared" si="17"/>
        <v>0.18000000000000002</v>
      </c>
    </row>
    <row r="107" spans="3:43" s="44" customFormat="1" ht="15" customHeight="1">
      <c r="C107" s="156"/>
      <c r="D107" s="156"/>
      <c r="E107" s="157"/>
      <c r="F107" s="157"/>
      <c r="G107" s="157"/>
      <c r="H107" s="157"/>
      <c r="I107" s="157"/>
      <c r="J107" s="33"/>
      <c r="K107" s="33"/>
      <c r="L107" s="33"/>
      <c r="M107" s="33"/>
      <c r="N107" s="33"/>
      <c r="O107" s="33"/>
      <c r="P107" s="33"/>
      <c r="Q107" s="33"/>
      <c r="R107" s="33"/>
      <c r="S107" s="33"/>
      <c r="T107" s="33"/>
      <c r="U107" s="33"/>
      <c r="V107" s="33"/>
      <c r="W107" s="33"/>
      <c r="X107" s="33"/>
      <c r="Y107" s="156"/>
      <c r="Z107" s="156"/>
      <c r="AA107" s="156"/>
      <c r="AB107" s="156"/>
      <c r="AC107" s="156"/>
      <c r="AD107" s="156"/>
      <c r="AE107" s="156"/>
      <c r="AF107" s="156"/>
      <c r="AG107" s="156"/>
      <c r="AH107" s="156"/>
      <c r="AI107" s="156"/>
      <c r="AL107" s="102"/>
      <c r="AM107" s="85"/>
      <c r="AN107" s="103"/>
      <c r="AO107" s="103"/>
      <c r="AP107" s="103"/>
      <c r="AQ107" s="103"/>
    </row>
    <row r="108" spans="3:43" s="44" customFormat="1" ht="15" customHeight="1">
      <c r="C108" s="156"/>
      <c r="D108" s="156"/>
      <c r="E108" s="157" t="s">
        <v>68</v>
      </c>
      <c r="F108" s="157"/>
      <c r="G108" s="157" t="s">
        <v>49</v>
      </c>
      <c r="H108" s="157"/>
      <c r="I108" s="157"/>
      <c r="J108" s="3"/>
      <c r="K108" s="3"/>
      <c r="L108" s="3"/>
      <c r="M108" s="3"/>
      <c r="N108" s="3"/>
      <c r="O108" s="3"/>
      <c r="P108" s="3"/>
      <c r="Q108" s="3"/>
      <c r="R108" s="3"/>
      <c r="S108" s="3"/>
      <c r="T108" s="3"/>
      <c r="U108" s="3"/>
      <c r="V108" s="33"/>
      <c r="W108" s="33"/>
      <c r="X108" s="33"/>
      <c r="Y108" s="156"/>
      <c r="Z108" s="156"/>
      <c r="AA108" s="156"/>
      <c r="AB108" s="156"/>
      <c r="AC108" s="156"/>
      <c r="AD108" s="156"/>
      <c r="AE108" s="156"/>
      <c r="AF108" s="156"/>
      <c r="AG108" s="156"/>
      <c r="AH108" s="156"/>
      <c r="AI108" s="156"/>
      <c r="AJ108" s="324">
        <f t="shared" ref="AJ108:AQ108" si="18">(AJ102 * AJ103) + (AJ105 * AJ106)</f>
        <v>0.18000000000000002</v>
      </c>
      <c r="AK108" s="323">
        <f t="shared" si="18"/>
        <v>0.18000000000000002</v>
      </c>
      <c r="AL108" s="323">
        <f t="shared" si="18"/>
        <v>0.18000000000000002</v>
      </c>
      <c r="AM108" s="323">
        <f t="shared" si="18"/>
        <v>0.18000000000000002</v>
      </c>
      <c r="AN108" s="323">
        <f t="shared" si="18"/>
        <v>0.18000000000000002</v>
      </c>
      <c r="AO108" s="323">
        <f t="shared" si="18"/>
        <v>0.18000000000000002</v>
      </c>
      <c r="AP108" s="323">
        <f t="shared" si="18"/>
        <v>0.18000000000000002</v>
      </c>
      <c r="AQ108" s="323">
        <f t="shared" si="18"/>
        <v>0.18000000000000002</v>
      </c>
    </row>
    <row r="109" spans="3:43" s="44" customFormat="1" ht="15" customHeight="1">
      <c r="C109" s="156"/>
      <c r="D109" s="156"/>
      <c r="E109" s="157"/>
      <c r="F109" s="157"/>
      <c r="G109" s="157"/>
      <c r="H109" s="157"/>
      <c r="I109" s="157"/>
      <c r="J109" s="33"/>
      <c r="K109" s="33"/>
      <c r="L109" s="33"/>
      <c r="M109" s="33"/>
      <c r="N109" s="33"/>
      <c r="O109" s="33"/>
      <c r="P109" s="33"/>
      <c r="Q109" s="33"/>
      <c r="R109" s="33"/>
      <c r="S109" s="33"/>
      <c r="T109" s="33"/>
      <c r="U109" s="33"/>
      <c r="V109" s="33"/>
      <c r="W109" s="33"/>
      <c r="X109" s="33"/>
      <c r="Y109" s="156"/>
      <c r="Z109" s="156"/>
      <c r="AA109" s="156"/>
      <c r="AB109" s="156"/>
      <c r="AC109" s="156"/>
      <c r="AD109" s="156"/>
      <c r="AE109" s="156"/>
      <c r="AF109" s="156"/>
      <c r="AG109" s="156"/>
      <c r="AH109" s="156"/>
      <c r="AI109" s="156"/>
      <c r="AL109" s="102"/>
      <c r="AM109" s="85"/>
      <c r="AN109" s="103"/>
      <c r="AO109" s="103"/>
      <c r="AP109" s="103"/>
      <c r="AQ109" s="103"/>
    </row>
    <row r="110" spans="3:43" s="44" customFormat="1" ht="15" customHeight="1">
      <c r="C110" s="156"/>
      <c r="D110" s="298" t="s">
        <v>479</v>
      </c>
      <c r="E110" s="298"/>
      <c r="F110" s="298"/>
      <c r="G110" s="298"/>
      <c r="H110" s="298"/>
      <c r="I110" s="298"/>
      <c r="J110" s="36"/>
      <c r="K110" s="36"/>
      <c r="L110" s="36"/>
      <c r="M110" s="36"/>
      <c r="N110" s="36"/>
      <c r="O110" s="36"/>
      <c r="P110" s="36"/>
      <c r="Q110" s="36"/>
      <c r="R110" s="36"/>
      <c r="S110" s="36"/>
      <c r="T110" s="36"/>
      <c r="U110" s="36"/>
      <c r="V110" s="33"/>
      <c r="W110" s="33"/>
      <c r="X110" s="33"/>
      <c r="Y110" s="156"/>
      <c r="Z110" s="156"/>
      <c r="AA110" s="156"/>
      <c r="AB110" s="156"/>
      <c r="AC110" s="156"/>
      <c r="AD110" s="156"/>
      <c r="AE110" s="156"/>
      <c r="AF110" s="156"/>
      <c r="AG110" s="156"/>
      <c r="AH110" s="156"/>
      <c r="AI110" s="156"/>
      <c r="AJ110" s="36"/>
      <c r="AK110" s="36"/>
      <c r="AL110" s="36"/>
      <c r="AM110" s="36"/>
      <c r="AN110" s="36"/>
      <c r="AO110" s="36"/>
      <c r="AP110" s="36"/>
      <c r="AQ110" s="36"/>
    </row>
    <row r="111" spans="3:43" s="44" customFormat="1" ht="15" customHeight="1">
      <c r="C111" s="156"/>
      <c r="D111" s="156"/>
      <c r="E111" s="157"/>
      <c r="F111" s="157"/>
      <c r="G111" s="157"/>
      <c r="H111" s="157"/>
      <c r="I111" s="157"/>
      <c r="J111" s="33"/>
      <c r="K111" s="33"/>
      <c r="L111" s="33"/>
      <c r="M111" s="33"/>
      <c r="N111" s="33"/>
      <c r="O111" s="33"/>
      <c r="P111" s="33"/>
      <c r="Q111" s="33"/>
      <c r="R111" s="33"/>
      <c r="S111" s="33"/>
      <c r="T111" s="33"/>
      <c r="U111" s="33"/>
      <c r="V111" s="33"/>
      <c r="W111" s="33"/>
      <c r="X111" s="33"/>
      <c r="Y111" s="156"/>
      <c r="Z111" s="156"/>
      <c r="AA111" s="156"/>
      <c r="AB111" s="156"/>
      <c r="AC111" s="156"/>
      <c r="AD111" s="156"/>
      <c r="AE111" s="156"/>
      <c r="AF111" s="156"/>
      <c r="AG111" s="156"/>
      <c r="AH111" s="156"/>
      <c r="AI111" s="156"/>
      <c r="AL111" s="102"/>
      <c r="AM111" s="85"/>
      <c r="AN111" s="103"/>
      <c r="AO111" s="103"/>
      <c r="AP111" s="103"/>
      <c r="AQ111" s="103"/>
    </row>
    <row r="112" spans="3:43" s="44" customFormat="1" ht="15" customHeight="1">
      <c r="C112" s="156"/>
      <c r="D112" s="156"/>
      <c r="E112" s="157" t="s">
        <v>134</v>
      </c>
      <c r="F112" s="157"/>
      <c r="G112" s="157" t="s">
        <v>61</v>
      </c>
      <c r="H112" s="157"/>
      <c r="I112" s="157"/>
      <c r="J112" s="33"/>
      <c r="K112" s="33"/>
      <c r="L112" s="33"/>
      <c r="M112" s="33"/>
      <c r="N112" s="33"/>
      <c r="O112" s="33"/>
      <c r="P112" s="33"/>
      <c r="Q112" s="33"/>
      <c r="R112" s="33"/>
      <c r="S112" s="33"/>
      <c r="T112" s="33"/>
      <c r="U112" s="33"/>
      <c r="V112" s="33"/>
      <c r="W112" s="33"/>
      <c r="X112" s="33"/>
      <c r="Y112" s="156"/>
      <c r="Z112" s="156"/>
      <c r="AA112" s="156"/>
      <c r="AB112" s="156"/>
      <c r="AC112" s="156"/>
      <c r="AD112" s="156"/>
      <c r="AE112" s="156"/>
      <c r="AF112" s="156"/>
      <c r="AG112" s="156"/>
      <c r="AH112" s="156"/>
      <c r="AI112" s="156"/>
      <c r="AJ112" s="151" t="b">
        <f t="shared" ref="AJ112:AQ112" si="19">AJ$80 = FALSE()</f>
        <v>1</v>
      </c>
      <c r="AK112" s="151" t="b">
        <f t="shared" si="19"/>
        <v>1</v>
      </c>
      <c r="AL112" s="151" t="b">
        <f t="shared" si="19"/>
        <v>1</v>
      </c>
      <c r="AM112" s="151" t="b">
        <f t="shared" si="19"/>
        <v>1</v>
      </c>
      <c r="AN112" s="151" t="b">
        <f t="shared" si="19"/>
        <v>1</v>
      </c>
      <c r="AO112" s="151" t="b">
        <f t="shared" si="19"/>
        <v>1</v>
      </c>
      <c r="AP112" s="151" t="b">
        <f t="shared" si="19"/>
        <v>1</v>
      </c>
      <c r="AQ112" s="151" t="b">
        <f t="shared" si="19"/>
        <v>1</v>
      </c>
    </row>
    <row r="113" spans="3:43" s="44" customFormat="1" ht="15" customHeight="1">
      <c r="C113" s="156"/>
      <c r="D113" s="156"/>
      <c r="E113" s="157" t="s">
        <v>133</v>
      </c>
      <c r="F113" s="157"/>
      <c r="G113" s="157" t="s">
        <v>49</v>
      </c>
      <c r="H113" s="157"/>
      <c r="I113" s="157"/>
      <c r="J113" s="92" t="s">
        <v>56</v>
      </c>
      <c r="K113" s="33"/>
      <c r="L113" s="33"/>
      <c r="M113" s="33"/>
      <c r="N113" s="33"/>
      <c r="O113" s="33"/>
      <c r="P113" s="33"/>
      <c r="Q113" s="33"/>
      <c r="R113" s="33"/>
      <c r="S113" s="33"/>
      <c r="T113" s="33"/>
      <c r="U113" s="33"/>
      <c r="V113" s="33"/>
      <c r="W113" s="33"/>
      <c r="X113" s="33"/>
      <c r="Y113" s="156"/>
      <c r="Z113" s="156"/>
      <c r="AA113" s="156"/>
      <c r="AB113" s="156"/>
      <c r="AC113" s="156"/>
      <c r="AD113" s="156"/>
      <c r="AE113" s="156"/>
      <c r="AF113" s="156"/>
      <c r="AG113" s="156"/>
      <c r="AH113" s="156"/>
      <c r="AI113" s="156"/>
      <c r="AJ113" s="41">
        <f>Input!AJ346</f>
        <v>0.08</v>
      </c>
      <c r="AK113" s="41">
        <f>Input!AK346</f>
        <v>0.08</v>
      </c>
      <c r="AL113" s="41">
        <f>Input!AL346</f>
        <v>0.08</v>
      </c>
      <c r="AM113" s="41">
        <f>Input!AM346</f>
        <v>0.08</v>
      </c>
      <c r="AN113" s="41">
        <f>Input!AN346</f>
        <v>0.08</v>
      </c>
      <c r="AO113" s="41">
        <f>Input!AO346</f>
        <v>0.08</v>
      </c>
      <c r="AP113" s="41">
        <f>Input!AP346</f>
        <v>0.08</v>
      </c>
      <c r="AQ113" s="41">
        <f>Input!AQ346</f>
        <v>0.08</v>
      </c>
    </row>
    <row r="114" spans="3:43" s="44" customFormat="1" ht="15" customHeight="1">
      <c r="C114" s="156"/>
      <c r="D114" s="156"/>
      <c r="E114" s="157"/>
      <c r="F114" s="157"/>
      <c r="G114" s="157"/>
      <c r="H114" s="157"/>
      <c r="I114" s="157"/>
      <c r="J114" s="33"/>
      <c r="K114" s="33"/>
      <c r="L114" s="33"/>
      <c r="M114" s="33"/>
      <c r="N114" s="33"/>
      <c r="O114" s="33"/>
      <c r="P114" s="33"/>
      <c r="Q114" s="33"/>
      <c r="R114" s="33"/>
      <c r="S114" s="33"/>
      <c r="T114" s="33"/>
      <c r="U114" s="33"/>
      <c r="V114" s="33"/>
      <c r="W114" s="33"/>
      <c r="X114" s="33"/>
      <c r="Y114" s="156"/>
      <c r="Z114" s="156"/>
      <c r="AA114" s="156"/>
      <c r="AB114" s="156"/>
      <c r="AC114" s="156"/>
      <c r="AD114" s="156"/>
      <c r="AE114" s="156"/>
      <c r="AF114" s="156"/>
      <c r="AG114" s="156"/>
      <c r="AH114" s="156"/>
      <c r="AI114" s="156"/>
      <c r="AJ114" s="48"/>
      <c r="AK114" s="48"/>
      <c r="AL114" s="48"/>
      <c r="AM114" s="48"/>
      <c r="AN114" s="48"/>
      <c r="AO114" s="48"/>
      <c r="AP114" s="48"/>
      <c r="AQ114" s="48"/>
    </row>
    <row r="115" spans="3:43" s="44" customFormat="1" ht="15" customHeight="1">
      <c r="C115" s="156"/>
      <c r="D115" s="156"/>
      <c r="E115" s="157" t="s">
        <v>134</v>
      </c>
      <c r="F115" s="157"/>
      <c r="G115" s="157" t="s">
        <v>61</v>
      </c>
      <c r="H115" s="157"/>
      <c r="I115" s="157"/>
      <c r="J115" s="33"/>
      <c r="K115" s="33"/>
      <c r="L115" s="33"/>
      <c r="M115" s="33"/>
      <c r="N115" s="33"/>
      <c r="O115" s="33"/>
      <c r="P115" s="33"/>
      <c r="Q115" s="33"/>
      <c r="R115" s="33"/>
      <c r="S115" s="33"/>
      <c r="T115" s="33"/>
      <c r="U115" s="33"/>
      <c r="V115" s="33"/>
      <c r="W115" s="33"/>
      <c r="X115" s="33"/>
      <c r="Y115" s="156"/>
      <c r="Z115" s="156"/>
      <c r="AA115" s="156"/>
      <c r="AB115" s="156"/>
      <c r="AC115" s="156"/>
      <c r="AD115" s="156"/>
      <c r="AE115" s="156"/>
      <c r="AF115" s="156"/>
      <c r="AG115" s="156"/>
      <c r="AH115" s="156"/>
      <c r="AI115" s="156"/>
      <c r="AJ115" s="151" t="b">
        <f t="shared" ref="AJ115:AQ115" si="20">AJ$80</f>
        <v>0</v>
      </c>
      <c r="AK115" s="151" t="b">
        <f t="shared" si="20"/>
        <v>0</v>
      </c>
      <c r="AL115" s="151" t="b">
        <f t="shared" si="20"/>
        <v>0</v>
      </c>
      <c r="AM115" s="151" t="b">
        <f t="shared" si="20"/>
        <v>0</v>
      </c>
      <c r="AN115" s="151" t="b">
        <f t="shared" si="20"/>
        <v>0</v>
      </c>
      <c r="AO115" s="151" t="b">
        <f t="shared" si="20"/>
        <v>0</v>
      </c>
      <c r="AP115" s="151" t="b">
        <f t="shared" si="20"/>
        <v>0</v>
      </c>
      <c r="AQ115" s="151" t="b">
        <f t="shared" si="20"/>
        <v>0</v>
      </c>
    </row>
    <row r="116" spans="3:43" s="44" customFormat="1" ht="15" customHeight="1">
      <c r="C116" s="156"/>
      <c r="D116" s="156"/>
      <c r="E116" s="157" t="s">
        <v>64</v>
      </c>
      <c r="F116" s="157"/>
      <c r="G116" s="157" t="s">
        <v>49</v>
      </c>
      <c r="H116" s="157"/>
      <c r="I116" s="157"/>
      <c r="J116" s="33"/>
      <c r="K116" s="33"/>
      <c r="L116" s="33"/>
      <c r="M116" s="33"/>
      <c r="N116" s="33"/>
      <c r="O116" s="33"/>
      <c r="P116" s="33"/>
      <c r="Q116" s="33"/>
      <c r="R116" s="33"/>
      <c r="S116" s="33"/>
      <c r="T116" s="33"/>
      <c r="U116" s="33"/>
      <c r="V116" s="33"/>
      <c r="W116" s="33"/>
      <c r="X116" s="33"/>
      <c r="Y116" s="156"/>
      <c r="Z116" s="156"/>
      <c r="AA116" s="156"/>
      <c r="AB116" s="156"/>
      <c r="AC116" s="156"/>
      <c r="AD116" s="156"/>
      <c r="AE116" s="156"/>
      <c r="AF116" s="156"/>
      <c r="AG116" s="156"/>
      <c r="AH116" s="156"/>
      <c r="AI116" s="156"/>
      <c r="AJ116" s="73">
        <f>AJ113</f>
        <v>0.08</v>
      </c>
      <c r="AK116" s="73">
        <f t="shared" ref="AK116:AQ116" si="21">AK113</f>
        <v>0.08</v>
      </c>
      <c r="AL116" s="73">
        <f t="shared" si="21"/>
        <v>0.08</v>
      </c>
      <c r="AM116" s="73">
        <f t="shared" si="21"/>
        <v>0.08</v>
      </c>
      <c r="AN116" s="73">
        <f t="shared" si="21"/>
        <v>0.08</v>
      </c>
      <c r="AO116" s="73">
        <f t="shared" si="21"/>
        <v>0.08</v>
      </c>
      <c r="AP116" s="73">
        <f t="shared" si="21"/>
        <v>0.08</v>
      </c>
      <c r="AQ116" s="73">
        <f t="shared" si="21"/>
        <v>0.08</v>
      </c>
    </row>
    <row r="117" spans="3:43" s="44" customFormat="1" ht="15" customHeight="1">
      <c r="C117" s="156"/>
      <c r="D117" s="156"/>
      <c r="E117" s="157"/>
      <c r="F117" s="157"/>
      <c r="G117" s="157"/>
      <c r="H117" s="157"/>
      <c r="I117" s="157"/>
      <c r="J117" s="33"/>
      <c r="K117" s="33"/>
      <c r="L117" s="33"/>
      <c r="M117" s="33"/>
      <c r="N117" s="33"/>
      <c r="O117" s="33"/>
      <c r="P117" s="33"/>
      <c r="Q117" s="33"/>
      <c r="R117" s="33"/>
      <c r="S117" s="33"/>
      <c r="T117" s="33"/>
      <c r="U117" s="33"/>
      <c r="V117" s="33"/>
      <c r="W117" s="33"/>
      <c r="X117" s="33"/>
      <c r="Y117" s="156"/>
      <c r="Z117" s="156"/>
      <c r="AA117" s="156"/>
      <c r="AB117" s="156"/>
      <c r="AC117" s="156"/>
      <c r="AD117" s="156"/>
      <c r="AE117" s="156"/>
      <c r="AF117" s="156"/>
      <c r="AG117" s="156"/>
      <c r="AH117" s="156"/>
      <c r="AI117" s="156"/>
      <c r="AL117" s="102"/>
      <c r="AM117" s="85"/>
      <c r="AN117" s="103"/>
      <c r="AO117" s="103"/>
      <c r="AP117" s="103"/>
      <c r="AQ117" s="103"/>
    </row>
    <row r="118" spans="3:43" s="44" customFormat="1" ht="15" customHeight="1">
      <c r="C118" s="156"/>
      <c r="D118" s="156"/>
      <c r="E118" s="157" t="s">
        <v>68</v>
      </c>
      <c r="F118" s="157"/>
      <c r="G118" s="157" t="s">
        <v>49</v>
      </c>
      <c r="H118" s="157"/>
      <c r="I118" s="157"/>
      <c r="J118" s="92" t="s">
        <v>56</v>
      </c>
      <c r="K118" s="45"/>
      <c r="L118" s="45"/>
      <c r="M118" s="45"/>
      <c r="N118" s="45"/>
      <c r="O118" s="45"/>
      <c r="P118" s="45"/>
      <c r="Q118" s="45"/>
      <c r="R118" s="45"/>
      <c r="S118" s="45"/>
      <c r="T118" s="45"/>
      <c r="U118" s="45"/>
      <c r="V118" s="33"/>
      <c r="W118" s="33"/>
      <c r="X118" s="33"/>
      <c r="Y118" s="156"/>
      <c r="Z118" s="156"/>
      <c r="AA118" s="156"/>
      <c r="AB118" s="156"/>
      <c r="AC118" s="156"/>
      <c r="AD118" s="156"/>
      <c r="AE118" s="156"/>
      <c r="AF118" s="156"/>
      <c r="AG118" s="156"/>
      <c r="AH118" s="156"/>
      <c r="AI118" s="156"/>
      <c r="AJ118" s="323">
        <f t="shared" ref="AJ118:AQ118" si="22">(AJ112 * AJ113) + (AJ115 * AJ116)</f>
        <v>0.08</v>
      </c>
      <c r="AK118" s="323">
        <f t="shared" si="22"/>
        <v>0.08</v>
      </c>
      <c r="AL118" s="323">
        <f t="shared" si="22"/>
        <v>0.08</v>
      </c>
      <c r="AM118" s="323">
        <f t="shared" si="22"/>
        <v>0.08</v>
      </c>
      <c r="AN118" s="323">
        <f t="shared" si="22"/>
        <v>0.08</v>
      </c>
      <c r="AO118" s="323">
        <f t="shared" si="22"/>
        <v>0.08</v>
      </c>
      <c r="AP118" s="323">
        <f t="shared" si="22"/>
        <v>0.08</v>
      </c>
      <c r="AQ118" s="323">
        <f t="shared" si="22"/>
        <v>0.08</v>
      </c>
    </row>
    <row r="119" spans="3:43" s="44" customFormat="1" ht="15" customHeight="1">
      <c r="C119" s="156"/>
      <c r="D119" s="156"/>
      <c r="E119" s="157"/>
      <c r="F119" s="157"/>
      <c r="G119" s="157"/>
      <c r="H119" s="157"/>
      <c r="I119" s="157"/>
      <c r="J119" s="33"/>
      <c r="K119" s="33"/>
      <c r="L119" s="33"/>
      <c r="M119" s="33"/>
      <c r="N119" s="33"/>
      <c r="O119" s="33"/>
      <c r="P119" s="33"/>
      <c r="Q119" s="33"/>
      <c r="R119" s="33"/>
      <c r="S119" s="33"/>
      <c r="T119" s="33"/>
      <c r="U119" s="33"/>
      <c r="V119" s="33"/>
      <c r="W119" s="33"/>
      <c r="X119" s="33"/>
      <c r="Y119" s="156"/>
      <c r="Z119" s="156"/>
      <c r="AA119" s="156"/>
      <c r="AB119" s="156"/>
      <c r="AC119" s="156"/>
      <c r="AD119" s="156"/>
      <c r="AE119" s="156"/>
      <c r="AF119" s="156"/>
      <c r="AG119" s="156"/>
      <c r="AH119" s="156"/>
      <c r="AI119" s="156"/>
      <c r="AL119" s="102"/>
      <c r="AM119" s="85"/>
      <c r="AN119" s="103"/>
      <c r="AO119" s="103"/>
      <c r="AP119" s="103"/>
      <c r="AQ119" s="103"/>
    </row>
    <row r="120" spans="3:43" s="44" customFormat="1" ht="15" customHeight="1">
      <c r="C120" s="156"/>
      <c r="D120" s="298" t="s">
        <v>135</v>
      </c>
      <c r="E120" s="298"/>
      <c r="F120" s="298"/>
      <c r="G120" s="298"/>
      <c r="H120" s="298"/>
      <c r="I120" s="298"/>
      <c r="J120" s="36"/>
      <c r="K120" s="36"/>
      <c r="L120" s="36"/>
      <c r="M120" s="36"/>
      <c r="N120" s="36"/>
      <c r="O120" s="36"/>
      <c r="P120" s="36"/>
      <c r="Q120" s="36"/>
      <c r="R120" s="36"/>
      <c r="S120" s="36"/>
      <c r="T120" s="36"/>
      <c r="U120" s="36"/>
      <c r="V120" s="33"/>
      <c r="W120" s="33"/>
      <c r="X120" s="33"/>
      <c r="Y120" s="156"/>
      <c r="Z120" s="156"/>
      <c r="AA120" s="156"/>
      <c r="AB120" s="156"/>
      <c r="AC120" s="156"/>
      <c r="AD120" s="156"/>
      <c r="AE120" s="156"/>
      <c r="AF120" s="156"/>
      <c r="AG120" s="156"/>
      <c r="AH120" s="156"/>
      <c r="AI120" s="156"/>
      <c r="AJ120" s="36"/>
      <c r="AK120" s="36"/>
      <c r="AL120" s="36"/>
      <c r="AM120" s="36"/>
      <c r="AN120" s="36"/>
      <c r="AO120" s="36"/>
      <c r="AP120" s="36"/>
      <c r="AQ120" s="36"/>
    </row>
    <row r="121" spans="3:43" s="44" customFormat="1" ht="15" customHeight="1">
      <c r="C121" s="156"/>
      <c r="D121" s="156"/>
      <c r="E121" s="157"/>
      <c r="F121" s="157"/>
      <c r="G121" s="157"/>
      <c r="H121" s="157"/>
      <c r="I121" s="157"/>
      <c r="J121" s="33"/>
      <c r="K121" s="33"/>
      <c r="L121" s="33"/>
      <c r="M121" s="33"/>
      <c r="N121" s="33"/>
      <c r="O121" s="33"/>
      <c r="P121" s="33"/>
      <c r="Q121" s="33"/>
      <c r="R121" s="33"/>
      <c r="S121" s="33"/>
      <c r="T121" s="33"/>
      <c r="U121" s="33"/>
      <c r="V121" s="33"/>
      <c r="W121" s="33"/>
      <c r="X121" s="33"/>
      <c r="Y121" s="156"/>
      <c r="Z121" s="156"/>
      <c r="AA121" s="156"/>
      <c r="AB121" s="156"/>
      <c r="AC121" s="156"/>
      <c r="AD121" s="156"/>
      <c r="AE121" s="156"/>
      <c r="AF121" s="156"/>
      <c r="AG121" s="156"/>
      <c r="AH121" s="156"/>
      <c r="AI121" s="156"/>
      <c r="AL121" s="102"/>
      <c r="AM121" s="85"/>
      <c r="AN121" s="103"/>
      <c r="AO121" s="103"/>
      <c r="AP121" s="103"/>
      <c r="AQ121" s="103"/>
    </row>
    <row r="122" spans="3:43" s="44" customFormat="1" ht="15" customHeight="1">
      <c r="C122" s="156"/>
      <c r="D122" s="156"/>
      <c r="E122" s="157" t="s">
        <v>134</v>
      </c>
      <c r="F122" s="157"/>
      <c r="G122" s="157" t="s">
        <v>61</v>
      </c>
      <c r="H122" s="157"/>
      <c r="I122" s="157"/>
      <c r="J122" s="33"/>
      <c r="K122" s="33"/>
      <c r="L122" s="33"/>
      <c r="M122" s="33"/>
      <c r="N122" s="33"/>
      <c r="O122" s="33"/>
      <c r="P122" s="33"/>
      <c r="Q122" s="33"/>
      <c r="R122" s="33"/>
      <c r="S122" s="33"/>
      <c r="T122" s="33"/>
      <c r="U122" s="33"/>
      <c r="V122" s="33"/>
      <c r="W122" s="33"/>
      <c r="X122" s="33"/>
      <c r="Y122" s="156"/>
      <c r="Z122" s="156"/>
      <c r="AA122" s="156"/>
      <c r="AB122" s="156"/>
      <c r="AC122" s="156"/>
      <c r="AD122" s="156"/>
      <c r="AE122" s="156"/>
      <c r="AF122" s="156"/>
      <c r="AG122" s="156"/>
      <c r="AH122" s="156"/>
      <c r="AI122" s="156"/>
      <c r="AJ122" s="151" t="b">
        <f t="shared" ref="AJ122:AQ122" si="23">AJ$80 = FALSE()</f>
        <v>1</v>
      </c>
      <c r="AK122" s="151" t="b">
        <f t="shared" si="23"/>
        <v>1</v>
      </c>
      <c r="AL122" s="151" t="b">
        <f t="shared" si="23"/>
        <v>1</v>
      </c>
      <c r="AM122" s="151" t="b">
        <f t="shared" si="23"/>
        <v>1</v>
      </c>
      <c r="AN122" s="151" t="b">
        <f t="shared" si="23"/>
        <v>1</v>
      </c>
      <c r="AO122" s="151" t="b">
        <f t="shared" si="23"/>
        <v>1</v>
      </c>
      <c r="AP122" s="151" t="b">
        <f t="shared" si="23"/>
        <v>1</v>
      </c>
      <c r="AQ122" s="151" t="b">
        <f t="shared" si="23"/>
        <v>1</v>
      </c>
    </row>
    <row r="123" spans="3:43" s="44" customFormat="1" ht="15" customHeight="1">
      <c r="C123" s="156"/>
      <c r="D123" s="156"/>
      <c r="E123" s="157" t="s">
        <v>133</v>
      </c>
      <c r="F123" s="157"/>
      <c r="G123" s="157" t="s">
        <v>49</v>
      </c>
      <c r="H123" s="157"/>
      <c r="I123" s="157"/>
      <c r="J123" s="179" t="s">
        <v>56</v>
      </c>
      <c r="K123" s="33"/>
      <c r="L123" s="33"/>
      <c r="M123" s="33"/>
      <c r="N123" s="33"/>
      <c r="O123" s="33"/>
      <c r="P123" s="33"/>
      <c r="Q123" s="33"/>
      <c r="R123" s="33"/>
      <c r="S123" s="33"/>
      <c r="T123" s="33"/>
      <c r="U123" s="33"/>
      <c r="V123" s="33"/>
      <c r="W123" s="33"/>
      <c r="X123" s="33"/>
      <c r="Y123" s="156"/>
      <c r="Z123" s="156"/>
      <c r="AA123" s="156"/>
      <c r="AB123" s="156"/>
      <c r="AC123" s="156"/>
      <c r="AD123" s="156"/>
      <c r="AE123" s="156"/>
      <c r="AF123" s="156"/>
      <c r="AG123" s="156"/>
      <c r="AH123" s="156"/>
      <c r="AI123" s="156"/>
      <c r="AJ123" s="41">
        <f>Input!AJ347</f>
        <v>2.2200000000000001E-2</v>
      </c>
      <c r="AK123" s="41">
        <f>Input!AK347</f>
        <v>2.2200000000000001E-2</v>
      </c>
      <c r="AL123" s="41">
        <f>Input!AL347</f>
        <v>2.2200000000000001E-2</v>
      </c>
      <c r="AM123" s="41">
        <f>Input!AM347</f>
        <v>2.2200000000000001E-2</v>
      </c>
      <c r="AN123" s="41">
        <f>Input!AN347</f>
        <v>2.2200000000000001E-2</v>
      </c>
      <c r="AO123" s="41">
        <f>Input!AO347</f>
        <v>2.2200000000000001E-2</v>
      </c>
      <c r="AP123" s="41">
        <f>Input!AP347</f>
        <v>2.2200000000000001E-2</v>
      </c>
      <c r="AQ123" s="41">
        <f>Input!AQ347</f>
        <v>2.2200000000000001E-2</v>
      </c>
    </row>
    <row r="124" spans="3:43" s="44" customFormat="1" ht="15" customHeight="1">
      <c r="C124" s="156"/>
      <c r="D124" s="156"/>
      <c r="E124" s="157"/>
      <c r="F124" s="157"/>
      <c r="G124" s="157"/>
      <c r="H124" s="157"/>
      <c r="I124" s="157"/>
      <c r="J124" s="33"/>
      <c r="K124" s="33"/>
      <c r="L124" s="33"/>
      <c r="M124" s="33"/>
      <c r="N124" s="33"/>
      <c r="O124" s="33"/>
      <c r="P124" s="33"/>
      <c r="Q124" s="33"/>
      <c r="R124" s="33"/>
      <c r="S124" s="33"/>
      <c r="T124" s="33"/>
      <c r="U124" s="33"/>
      <c r="V124" s="33"/>
      <c r="W124" s="33"/>
      <c r="X124" s="33"/>
      <c r="Y124" s="156"/>
      <c r="Z124" s="156"/>
      <c r="AA124" s="156"/>
      <c r="AB124" s="156"/>
      <c r="AC124" s="156"/>
      <c r="AD124" s="156"/>
      <c r="AE124" s="156"/>
      <c r="AF124" s="156"/>
      <c r="AG124" s="156"/>
      <c r="AH124" s="156"/>
      <c r="AI124" s="156"/>
      <c r="AJ124" s="48"/>
      <c r="AK124" s="48"/>
      <c r="AL124" s="48"/>
      <c r="AM124" s="48"/>
      <c r="AN124" s="48"/>
      <c r="AO124" s="48"/>
      <c r="AP124" s="48"/>
      <c r="AQ124" s="48"/>
    </row>
    <row r="125" spans="3:43" s="44" customFormat="1" ht="15" customHeight="1">
      <c r="C125" s="156"/>
      <c r="D125" s="156"/>
      <c r="E125" s="157" t="s">
        <v>134</v>
      </c>
      <c r="F125" s="157"/>
      <c r="G125" s="157" t="s">
        <v>61</v>
      </c>
      <c r="H125" s="157"/>
      <c r="I125" s="157"/>
      <c r="J125" s="33"/>
      <c r="K125" s="33"/>
      <c r="L125" s="33"/>
      <c r="M125" s="33"/>
      <c r="N125" s="33"/>
      <c r="O125" s="33"/>
      <c r="P125" s="33"/>
      <c r="Q125" s="33"/>
      <c r="R125" s="33"/>
      <c r="S125" s="33"/>
      <c r="T125" s="33"/>
      <c r="U125" s="33"/>
      <c r="V125" s="33"/>
      <c r="W125" s="33"/>
      <c r="X125" s="33"/>
      <c r="Y125" s="156"/>
      <c r="Z125" s="156"/>
      <c r="AA125" s="156"/>
      <c r="AB125" s="156"/>
      <c r="AC125" s="156"/>
      <c r="AD125" s="156"/>
      <c r="AE125" s="156"/>
      <c r="AF125" s="156"/>
      <c r="AG125" s="156"/>
      <c r="AH125" s="156"/>
      <c r="AI125" s="156"/>
      <c r="AJ125" s="151" t="b">
        <f t="shared" ref="AJ125:AQ125" si="24">AJ$80</f>
        <v>0</v>
      </c>
      <c r="AK125" s="151" t="b">
        <f t="shared" si="24"/>
        <v>0</v>
      </c>
      <c r="AL125" s="151" t="b">
        <f t="shared" si="24"/>
        <v>0</v>
      </c>
      <c r="AM125" s="151" t="b">
        <f t="shared" si="24"/>
        <v>0</v>
      </c>
      <c r="AN125" s="151" t="b">
        <f t="shared" si="24"/>
        <v>0</v>
      </c>
      <c r="AO125" s="151" t="b">
        <f t="shared" si="24"/>
        <v>0</v>
      </c>
      <c r="AP125" s="151" t="b">
        <f t="shared" si="24"/>
        <v>0</v>
      </c>
      <c r="AQ125" s="151" t="b">
        <f t="shared" si="24"/>
        <v>0</v>
      </c>
    </row>
    <row r="126" spans="3:43" s="44" customFormat="1" ht="15" customHeight="1">
      <c r="C126" s="156"/>
      <c r="D126" s="156"/>
      <c r="E126" s="157" t="s">
        <v>64</v>
      </c>
      <c r="F126" s="157"/>
      <c r="G126" s="157" t="s">
        <v>49</v>
      </c>
      <c r="H126" s="157"/>
      <c r="I126" s="157"/>
      <c r="J126" s="33"/>
      <c r="K126" s="33"/>
      <c r="L126" s="33"/>
      <c r="M126" s="33"/>
      <c r="N126" s="33"/>
      <c r="O126" s="33"/>
      <c r="P126" s="33"/>
      <c r="Q126" s="33"/>
      <c r="R126" s="33"/>
      <c r="S126" s="33"/>
      <c r="T126" s="33"/>
      <c r="U126" s="33"/>
      <c r="V126" s="33"/>
      <c r="W126" s="33"/>
      <c r="X126" s="33"/>
      <c r="Y126" s="156"/>
      <c r="Z126" s="156"/>
      <c r="AA126" s="156"/>
      <c r="AB126" s="156"/>
      <c r="AC126" s="156"/>
      <c r="AD126" s="156"/>
      <c r="AE126" s="156"/>
      <c r="AF126" s="156"/>
      <c r="AG126" s="156"/>
      <c r="AH126" s="156"/>
      <c r="AI126" s="156"/>
      <c r="AJ126" s="73">
        <f>AJ123</f>
        <v>2.2200000000000001E-2</v>
      </c>
      <c r="AK126" s="73">
        <f t="shared" ref="AK126:AQ126" si="25">AK123</f>
        <v>2.2200000000000001E-2</v>
      </c>
      <c r="AL126" s="73">
        <f t="shared" si="25"/>
        <v>2.2200000000000001E-2</v>
      </c>
      <c r="AM126" s="73">
        <f t="shared" si="25"/>
        <v>2.2200000000000001E-2</v>
      </c>
      <c r="AN126" s="73">
        <f t="shared" si="25"/>
        <v>2.2200000000000001E-2</v>
      </c>
      <c r="AO126" s="73">
        <f t="shared" si="25"/>
        <v>2.2200000000000001E-2</v>
      </c>
      <c r="AP126" s="73">
        <f t="shared" si="25"/>
        <v>2.2200000000000001E-2</v>
      </c>
      <c r="AQ126" s="73">
        <f t="shared" si="25"/>
        <v>2.2200000000000001E-2</v>
      </c>
    </row>
    <row r="127" spans="3:43" s="44" customFormat="1" ht="15" customHeight="1">
      <c r="C127" s="156"/>
      <c r="D127" s="156"/>
      <c r="E127" s="157"/>
      <c r="F127" s="157"/>
      <c r="G127" s="157"/>
      <c r="H127" s="157"/>
      <c r="I127" s="157"/>
      <c r="J127" s="33"/>
      <c r="K127" s="33"/>
      <c r="L127" s="33"/>
      <c r="M127" s="33"/>
      <c r="N127" s="33"/>
      <c r="O127" s="33"/>
      <c r="P127" s="33"/>
      <c r="Q127" s="33"/>
      <c r="R127" s="33"/>
      <c r="S127" s="33"/>
      <c r="T127" s="33"/>
      <c r="U127" s="33"/>
      <c r="V127" s="33"/>
      <c r="W127" s="33"/>
      <c r="X127" s="33"/>
      <c r="Y127" s="156"/>
      <c r="Z127" s="156"/>
      <c r="AA127" s="156"/>
      <c r="AB127" s="156"/>
      <c r="AC127" s="156"/>
      <c r="AD127" s="156"/>
      <c r="AE127" s="156"/>
      <c r="AF127" s="156"/>
      <c r="AG127" s="156"/>
      <c r="AH127" s="156"/>
      <c r="AI127" s="156"/>
      <c r="AL127" s="102"/>
      <c r="AM127" s="85"/>
      <c r="AN127" s="103"/>
      <c r="AO127" s="103"/>
      <c r="AP127" s="103"/>
      <c r="AQ127" s="103"/>
    </row>
    <row r="128" spans="3:43" s="44" customFormat="1" ht="15" customHeight="1">
      <c r="C128" s="156"/>
      <c r="D128" s="156"/>
      <c r="E128" s="157" t="s">
        <v>68</v>
      </c>
      <c r="F128" s="157"/>
      <c r="G128" s="157" t="s">
        <v>49</v>
      </c>
      <c r="H128" s="157"/>
      <c r="I128" s="157"/>
      <c r="J128" s="157" t="s">
        <v>56</v>
      </c>
      <c r="K128" s="3"/>
      <c r="L128" s="3"/>
      <c r="M128" s="3"/>
      <c r="N128" s="3"/>
      <c r="O128" s="3"/>
      <c r="P128" s="3"/>
      <c r="Q128" s="3"/>
      <c r="R128" s="3"/>
      <c r="S128" s="3"/>
      <c r="T128" s="3"/>
      <c r="U128" s="3"/>
      <c r="V128" s="33"/>
      <c r="W128" s="33"/>
      <c r="X128" s="33"/>
      <c r="Y128" s="156"/>
      <c r="Z128" s="156"/>
      <c r="AA128" s="156"/>
      <c r="AB128" s="156"/>
      <c r="AC128" s="156"/>
      <c r="AD128" s="156"/>
      <c r="AE128" s="156"/>
      <c r="AF128" s="156"/>
      <c r="AG128" s="156"/>
      <c r="AH128" s="156"/>
      <c r="AI128" s="156"/>
      <c r="AJ128" s="324">
        <f t="shared" ref="AJ128:AQ128" si="26">(AJ122 * AJ123) + (AJ125 * AJ126)</f>
        <v>2.2200000000000001E-2</v>
      </c>
      <c r="AK128" s="323">
        <f t="shared" si="26"/>
        <v>2.2200000000000001E-2</v>
      </c>
      <c r="AL128" s="323">
        <f t="shared" si="26"/>
        <v>2.2200000000000001E-2</v>
      </c>
      <c r="AM128" s="323">
        <f t="shared" si="26"/>
        <v>2.2200000000000001E-2</v>
      </c>
      <c r="AN128" s="323">
        <f t="shared" si="26"/>
        <v>2.2200000000000001E-2</v>
      </c>
      <c r="AO128" s="323">
        <f t="shared" si="26"/>
        <v>2.2200000000000001E-2</v>
      </c>
      <c r="AP128" s="323">
        <f t="shared" si="26"/>
        <v>2.2200000000000001E-2</v>
      </c>
      <c r="AQ128" s="323">
        <f t="shared" si="26"/>
        <v>2.2200000000000001E-2</v>
      </c>
    </row>
    <row r="129" spans="2:44" s="44" customFormat="1" ht="15" customHeight="1">
      <c r="E129" s="3"/>
      <c r="F129" s="3"/>
      <c r="G129" s="3"/>
      <c r="H129" s="3"/>
      <c r="I129" s="3"/>
      <c r="J129" s="33"/>
      <c r="K129" s="33"/>
      <c r="L129" s="33"/>
      <c r="M129" s="33"/>
      <c r="N129" s="33"/>
      <c r="O129" s="33"/>
      <c r="P129" s="33"/>
      <c r="Q129" s="33"/>
      <c r="R129" s="33"/>
      <c r="S129" s="33"/>
      <c r="T129" s="33"/>
      <c r="U129" s="33"/>
      <c r="V129" s="33"/>
      <c r="W129" s="33"/>
      <c r="X129" s="33"/>
      <c r="AD129" s="156"/>
      <c r="AE129" s="156"/>
      <c r="AL129" s="102"/>
      <c r="AM129" s="85"/>
      <c r="AN129" s="103"/>
      <c r="AO129" s="103"/>
      <c r="AP129" s="103"/>
      <c r="AQ129" s="103"/>
    </row>
    <row r="130" spans="2:44" s="44" customFormat="1" ht="15" customHeight="1">
      <c r="C130" s="17" t="s">
        <v>534</v>
      </c>
      <c r="D130" s="17"/>
      <c r="E130" s="17"/>
      <c r="F130" s="17"/>
      <c r="G130" s="17"/>
      <c r="H130" s="17"/>
      <c r="I130" s="17"/>
      <c r="J130" s="17"/>
      <c r="K130" s="17"/>
      <c r="L130" s="17"/>
      <c r="M130" s="17"/>
      <c r="N130" s="17"/>
      <c r="O130" s="17"/>
      <c r="P130" s="17"/>
      <c r="Q130" s="17"/>
      <c r="R130" s="17"/>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17"/>
      <c r="AP130" s="17"/>
      <c r="AQ130" s="17"/>
    </row>
    <row r="131" spans="2:44" s="44" customFormat="1" ht="15" customHeight="1">
      <c r="E131" s="3"/>
      <c r="F131" s="3"/>
      <c r="G131" s="3"/>
      <c r="H131" s="3"/>
      <c r="I131" s="3"/>
      <c r="J131" s="33"/>
      <c r="K131" s="33"/>
      <c r="L131" s="33"/>
      <c r="M131" s="33"/>
      <c r="N131" s="33"/>
      <c r="O131" s="33"/>
      <c r="P131" s="33"/>
      <c r="Q131" s="33"/>
      <c r="R131" s="33"/>
      <c r="S131" s="33"/>
      <c r="T131" s="33"/>
      <c r="U131" s="33"/>
      <c r="V131" s="33"/>
      <c r="W131" s="33"/>
      <c r="X131" s="33"/>
      <c r="AD131" s="156"/>
      <c r="AE131" s="156"/>
      <c r="AL131" s="102"/>
      <c r="AM131" s="85"/>
      <c r="AN131" s="103"/>
      <c r="AO131" s="103"/>
      <c r="AP131" s="103"/>
      <c r="AQ131" s="103"/>
    </row>
    <row r="132" spans="2:44" s="44" customFormat="1" ht="15" customHeight="1">
      <c r="E132" s="3" t="s">
        <v>134</v>
      </c>
      <c r="F132" s="3"/>
      <c r="G132" s="3" t="s">
        <v>61</v>
      </c>
      <c r="H132" s="3"/>
      <c r="I132" s="3"/>
      <c r="J132" s="33"/>
      <c r="K132" s="33"/>
      <c r="L132" s="33"/>
      <c r="M132" s="33"/>
      <c r="N132" s="33"/>
      <c r="O132" s="33"/>
      <c r="P132" s="33"/>
      <c r="Q132" s="33"/>
      <c r="R132" s="33"/>
      <c r="S132" s="33"/>
      <c r="T132" s="33"/>
      <c r="U132" s="33"/>
      <c r="V132" s="33"/>
      <c r="W132" s="33"/>
      <c r="X132" s="33"/>
      <c r="AD132" s="156"/>
      <c r="AE132" s="156"/>
      <c r="AJ132" s="151" t="b">
        <f t="shared" ref="AJ132:AQ132" si="27">AJ$80</f>
        <v>0</v>
      </c>
      <c r="AK132" s="151" t="b">
        <f t="shared" si="27"/>
        <v>0</v>
      </c>
      <c r="AL132" s="151" t="b">
        <f t="shared" si="27"/>
        <v>0</v>
      </c>
      <c r="AM132" s="151" t="b">
        <f t="shared" si="27"/>
        <v>0</v>
      </c>
      <c r="AN132" s="151" t="b">
        <f t="shared" si="27"/>
        <v>0</v>
      </c>
      <c r="AO132" s="151" t="b">
        <f t="shared" si="27"/>
        <v>0</v>
      </c>
      <c r="AP132" s="151" t="b">
        <f t="shared" si="27"/>
        <v>0</v>
      </c>
      <c r="AQ132" s="151" t="b">
        <f t="shared" si="27"/>
        <v>0</v>
      </c>
    </row>
    <row r="133" spans="2:44" s="44" customFormat="1" ht="15" customHeight="1">
      <c r="E133" s="3" t="s">
        <v>64</v>
      </c>
      <c r="F133" s="3"/>
      <c r="G133" s="157" t="s">
        <v>844</v>
      </c>
      <c r="H133" s="3"/>
      <c r="I133" s="3"/>
      <c r="J133" s="33"/>
      <c r="K133" s="33"/>
      <c r="L133" s="33"/>
      <c r="M133" s="33"/>
      <c r="N133" s="33"/>
      <c r="O133" s="33"/>
      <c r="P133" s="33"/>
      <c r="Q133" s="33"/>
      <c r="R133" s="33"/>
      <c r="S133" s="33"/>
      <c r="T133" s="33"/>
      <c r="U133" s="33"/>
      <c r="V133" s="33"/>
      <c r="W133" s="33"/>
      <c r="X133" s="33"/>
      <c r="AD133" s="156"/>
      <c r="AE133" s="156"/>
      <c r="AJ133" s="236">
        <v>0</v>
      </c>
      <c r="AK133" s="236">
        <v>0</v>
      </c>
      <c r="AL133" s="236">
        <v>0</v>
      </c>
      <c r="AM133" s="236">
        <v>0</v>
      </c>
      <c r="AN133" s="236">
        <v>0</v>
      </c>
      <c r="AO133" s="236">
        <v>0</v>
      </c>
      <c r="AP133" s="236">
        <v>0</v>
      </c>
      <c r="AQ133" s="236">
        <v>0</v>
      </c>
    </row>
    <row r="134" spans="2:44" s="44" customFormat="1" ht="15" customHeight="1">
      <c r="E134" s="3"/>
      <c r="F134" s="3"/>
      <c r="G134" s="3"/>
      <c r="H134" s="3"/>
      <c r="I134" s="3"/>
      <c r="J134" s="33"/>
      <c r="K134" s="33"/>
      <c r="L134" s="33"/>
      <c r="M134" s="33"/>
      <c r="N134" s="33"/>
      <c r="O134" s="33"/>
      <c r="P134" s="33"/>
      <c r="Q134" s="33"/>
      <c r="R134" s="33"/>
      <c r="S134" s="33"/>
      <c r="T134" s="33"/>
      <c r="U134" s="33"/>
      <c r="V134" s="33"/>
      <c r="W134" s="33"/>
      <c r="X134" s="33"/>
      <c r="AD134" s="156"/>
      <c r="AE134" s="156"/>
      <c r="AL134" s="102"/>
      <c r="AM134" s="85"/>
      <c r="AN134" s="103"/>
      <c r="AO134" s="103"/>
      <c r="AP134" s="103"/>
      <c r="AQ134" s="103"/>
    </row>
    <row r="135" spans="2:44">
      <c r="E135" s="3" t="s">
        <v>68</v>
      </c>
      <c r="F135" s="3"/>
      <c r="G135" s="157" t="s">
        <v>844</v>
      </c>
      <c r="AJ135" s="32">
        <f>AJ132 * AJ133</f>
        <v>0</v>
      </c>
      <c r="AK135" s="32">
        <f t="shared" ref="AK135:AQ135" si="28">AK132 * AK133</f>
        <v>0</v>
      </c>
      <c r="AL135" s="32">
        <f t="shared" si="28"/>
        <v>0</v>
      </c>
      <c r="AM135" s="32">
        <f t="shared" si="28"/>
        <v>0</v>
      </c>
      <c r="AN135" s="32">
        <f t="shared" si="28"/>
        <v>0</v>
      </c>
      <c r="AO135" s="32">
        <f t="shared" si="28"/>
        <v>0</v>
      </c>
      <c r="AP135" s="32">
        <f t="shared" si="28"/>
        <v>0</v>
      </c>
      <c r="AQ135" s="32">
        <f t="shared" si="28"/>
        <v>0</v>
      </c>
      <c r="AR135" s="149"/>
    </row>
    <row r="136" spans="2:44" s="44" customFormat="1" ht="15" customHeight="1">
      <c r="E136" s="3"/>
      <c r="F136" s="3"/>
      <c r="G136" s="3"/>
      <c r="H136" s="3"/>
      <c r="I136" s="3"/>
      <c r="J136" s="33"/>
      <c r="K136" s="33"/>
      <c r="L136" s="33"/>
      <c r="M136" s="33"/>
      <c r="N136" s="33"/>
      <c r="O136" s="33"/>
      <c r="P136" s="33"/>
      <c r="Q136" s="33"/>
      <c r="R136" s="33"/>
      <c r="S136" s="33"/>
      <c r="T136" s="33"/>
      <c r="U136" s="33"/>
      <c r="V136" s="33"/>
      <c r="W136" s="33"/>
      <c r="X136" s="33"/>
      <c r="AD136" s="156"/>
      <c r="AE136" s="156"/>
      <c r="AL136" s="102"/>
      <c r="AM136" s="85"/>
      <c r="AN136" s="103"/>
      <c r="AO136" s="103"/>
      <c r="AP136" s="103"/>
      <c r="AQ136" s="103"/>
    </row>
    <row r="137" spans="2:44" s="156" customFormat="1" ht="15" customHeight="1">
      <c r="B137" s="17"/>
      <c r="C137" s="17" t="s">
        <v>616</v>
      </c>
      <c r="D137" s="17"/>
      <c r="E137" s="17"/>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row>
    <row r="138" spans="2:44"/>
    <row r="139" spans="2:44">
      <c r="E139" s="11" t="s">
        <v>625</v>
      </c>
      <c r="AJ139" s="158">
        <f>ENWL!AJ$442</f>
        <v>0</v>
      </c>
      <c r="AK139" s="158">
        <f>ENWL!AK$442</f>
        <v>0</v>
      </c>
      <c r="AL139" s="158">
        <f>ENWL!AL$442</f>
        <v>0</v>
      </c>
      <c r="AM139" s="158">
        <f>ENWL!AM$442</f>
        <v>0</v>
      </c>
      <c r="AN139" s="158">
        <f>ENWL!AN$442</f>
        <v>0</v>
      </c>
      <c r="AO139" s="158">
        <f>ENWL!AO$442</f>
        <v>0</v>
      </c>
      <c r="AP139" s="158">
        <f>ENWL!AP$442</f>
        <v>0</v>
      </c>
      <c r="AQ139" s="158">
        <f>ENWL!AQ$442</f>
        <v>0</v>
      </c>
    </row>
    <row r="140" spans="2:44" ht="17.25" customHeight="1">
      <c r="E140" s="11" t="s">
        <v>626</v>
      </c>
      <c r="AJ140" s="158">
        <f>NPgN!AJ$442</f>
        <v>0</v>
      </c>
      <c r="AK140" s="158">
        <f>NPgN!AK$442</f>
        <v>0</v>
      </c>
      <c r="AL140" s="158">
        <f>NPgN!AL$442</f>
        <v>0</v>
      </c>
      <c r="AM140" s="158">
        <f>NPgN!AM$442</f>
        <v>0</v>
      </c>
      <c r="AN140" s="158">
        <f>NPgN!AN$442</f>
        <v>0</v>
      </c>
      <c r="AO140" s="158">
        <f>NPgN!AO$442</f>
        <v>0</v>
      </c>
      <c r="AP140" s="158">
        <f>NPgN!AP$442</f>
        <v>0</v>
      </c>
      <c r="AQ140" s="158">
        <f>NPgN!AQ$442</f>
        <v>0</v>
      </c>
    </row>
    <row r="141" spans="2:44">
      <c r="E141" s="11" t="s">
        <v>627</v>
      </c>
      <c r="AJ141" s="158">
        <f>NPgY!AJ$442</f>
        <v>0</v>
      </c>
      <c r="AK141" s="158">
        <f>NPgY!AK$442</f>
        <v>0</v>
      </c>
      <c r="AL141" s="158">
        <f>NPgY!AL$442</f>
        <v>0</v>
      </c>
      <c r="AM141" s="158">
        <f>NPgY!AM$442</f>
        <v>0</v>
      </c>
      <c r="AN141" s="158">
        <f>NPgY!AN$442</f>
        <v>0</v>
      </c>
      <c r="AO141" s="158">
        <f>NPgY!AO$442</f>
        <v>0</v>
      </c>
      <c r="AP141" s="158">
        <f>NPgY!AP$442</f>
        <v>0</v>
      </c>
      <c r="AQ141" s="158">
        <f>NPgY!AQ$442</f>
        <v>0</v>
      </c>
    </row>
    <row r="142" spans="2:44">
      <c r="E142" s="11" t="s">
        <v>628</v>
      </c>
      <c r="AJ142" s="158">
        <f>WMID!AJ$442</f>
        <v>0</v>
      </c>
      <c r="AK142" s="158">
        <f>WMID!AK$442</f>
        <v>0</v>
      </c>
      <c r="AL142" s="158">
        <f>WMID!AL$442</f>
        <v>0</v>
      </c>
      <c r="AM142" s="158">
        <f>WMID!AM$442</f>
        <v>0</v>
      </c>
      <c r="AN142" s="158">
        <f>WMID!AN$442</f>
        <v>0</v>
      </c>
      <c r="AO142" s="158">
        <f>WMID!AO$442</f>
        <v>0</v>
      </c>
      <c r="AP142" s="158">
        <f>WMID!AP$442</f>
        <v>0</v>
      </c>
      <c r="AQ142" s="158">
        <f>WMID!AQ$442</f>
        <v>0</v>
      </c>
    </row>
    <row r="143" spans="2:44">
      <c r="E143" s="11" t="s">
        <v>629</v>
      </c>
      <c r="AJ143" s="158">
        <f>EMID!AJ$442</f>
        <v>0</v>
      </c>
      <c r="AK143" s="158">
        <f>EMID!AK$442</f>
        <v>0</v>
      </c>
      <c r="AL143" s="158">
        <f>EMID!AL$442</f>
        <v>0</v>
      </c>
      <c r="AM143" s="158">
        <f>EMID!AM$442</f>
        <v>0</v>
      </c>
      <c r="AN143" s="158">
        <f>EMID!AN$442</f>
        <v>0</v>
      </c>
      <c r="AO143" s="158">
        <f>EMID!AO$442</f>
        <v>0</v>
      </c>
      <c r="AP143" s="158">
        <f>EMID!AP$442</f>
        <v>0</v>
      </c>
      <c r="AQ143" s="158">
        <f>EMID!AQ$442</f>
        <v>0</v>
      </c>
    </row>
    <row r="144" spans="2:44">
      <c r="E144" s="11" t="s">
        <v>630</v>
      </c>
      <c r="AJ144" s="158">
        <f>SWALES!AJ$442</f>
        <v>0</v>
      </c>
      <c r="AK144" s="158">
        <f>SWALES!AK$442</f>
        <v>0</v>
      </c>
      <c r="AL144" s="158">
        <f>SWALES!AL$442</f>
        <v>0</v>
      </c>
      <c r="AM144" s="158">
        <f>SWALES!AM$442</f>
        <v>0</v>
      </c>
      <c r="AN144" s="158">
        <f>SWALES!AN$442</f>
        <v>0</v>
      </c>
      <c r="AO144" s="158">
        <f>SWALES!AO$442</f>
        <v>0</v>
      </c>
      <c r="AP144" s="158">
        <f>SWALES!AP$442</f>
        <v>0</v>
      </c>
      <c r="AQ144" s="158">
        <f>SWALES!AQ$442</f>
        <v>0</v>
      </c>
    </row>
    <row r="145" spans="5:43">
      <c r="E145" s="11" t="s">
        <v>631</v>
      </c>
      <c r="AJ145" s="158">
        <f>SWEST!AJ$442</f>
        <v>0</v>
      </c>
      <c r="AK145" s="158">
        <f>SWEST!AK$442</f>
        <v>0</v>
      </c>
      <c r="AL145" s="158">
        <f>SWEST!AL$442</f>
        <v>0</v>
      </c>
      <c r="AM145" s="158">
        <f>SWEST!AM$442</f>
        <v>0</v>
      </c>
      <c r="AN145" s="158">
        <f>SWEST!AN$442</f>
        <v>0</v>
      </c>
      <c r="AO145" s="158">
        <f>SWEST!AO$442</f>
        <v>0</v>
      </c>
      <c r="AP145" s="158">
        <f>SWEST!AP$442</f>
        <v>0</v>
      </c>
      <c r="AQ145" s="158">
        <f>SWEST!AQ$442</f>
        <v>0</v>
      </c>
    </row>
    <row r="146" spans="5:43">
      <c r="E146" s="11" t="s">
        <v>632</v>
      </c>
      <c r="AJ146" s="158">
        <f>LPN!AJ$442</f>
        <v>0</v>
      </c>
      <c r="AK146" s="158">
        <f>LPN!AK$442</f>
        <v>0</v>
      </c>
      <c r="AL146" s="158">
        <f>LPN!AL$442</f>
        <v>0</v>
      </c>
      <c r="AM146" s="158">
        <f>LPN!AM$442</f>
        <v>0</v>
      </c>
      <c r="AN146" s="158">
        <f>LPN!AN$442</f>
        <v>0</v>
      </c>
      <c r="AO146" s="158">
        <f>LPN!AO$442</f>
        <v>0</v>
      </c>
      <c r="AP146" s="158">
        <f>LPN!AP$442</f>
        <v>0</v>
      </c>
      <c r="AQ146" s="158">
        <f>LPN!AQ$442</f>
        <v>0</v>
      </c>
    </row>
    <row r="147" spans="5:43">
      <c r="E147" s="11" t="s">
        <v>633</v>
      </c>
      <c r="AJ147" s="158">
        <f>SPN!AJ$442</f>
        <v>0</v>
      </c>
      <c r="AK147" s="158">
        <f>SPN!AK$442</f>
        <v>0</v>
      </c>
      <c r="AL147" s="158">
        <f>SPN!AL$442</f>
        <v>0</v>
      </c>
      <c r="AM147" s="158">
        <f>SPN!AM$442</f>
        <v>0</v>
      </c>
      <c r="AN147" s="158">
        <f>SPN!AN$442</f>
        <v>0</v>
      </c>
      <c r="AO147" s="158">
        <f>SPN!AO$442</f>
        <v>0</v>
      </c>
      <c r="AP147" s="158">
        <f>SPN!AP$442</f>
        <v>0</v>
      </c>
      <c r="AQ147" s="158">
        <f>SPN!AQ$442</f>
        <v>0</v>
      </c>
    </row>
    <row r="148" spans="5:43">
      <c r="E148" s="11" t="s">
        <v>634</v>
      </c>
      <c r="AJ148" s="158">
        <f>EPN!AJ$442</f>
        <v>0</v>
      </c>
      <c r="AK148" s="158">
        <f>EPN!AK$442</f>
        <v>0</v>
      </c>
      <c r="AL148" s="158">
        <f>EPN!AL$442</f>
        <v>0</v>
      </c>
      <c r="AM148" s="158">
        <f>EPN!AM$442</f>
        <v>0</v>
      </c>
      <c r="AN148" s="158">
        <f>EPN!AN$442</f>
        <v>0</v>
      </c>
      <c r="AO148" s="158">
        <f>EPN!AO$442</f>
        <v>0</v>
      </c>
      <c r="AP148" s="158">
        <f>EPN!AP$442</f>
        <v>0</v>
      </c>
      <c r="AQ148" s="158">
        <f>EPN!AQ$442</f>
        <v>0</v>
      </c>
    </row>
    <row r="149" spans="5:43">
      <c r="E149" s="11" t="s">
        <v>635</v>
      </c>
      <c r="AJ149" s="158">
        <f>SPD!AJ$442</f>
        <v>0</v>
      </c>
      <c r="AK149" s="158">
        <f>SPD!AK$442</f>
        <v>0</v>
      </c>
      <c r="AL149" s="158">
        <f>SPD!AL$442</f>
        <v>0</v>
      </c>
      <c r="AM149" s="158">
        <f>SPD!AM$442</f>
        <v>0</v>
      </c>
      <c r="AN149" s="158">
        <f>SPD!AN$442</f>
        <v>0</v>
      </c>
      <c r="AO149" s="158">
        <f>SPD!AO$442</f>
        <v>0</v>
      </c>
      <c r="AP149" s="158">
        <f>SPD!AP$442</f>
        <v>0</v>
      </c>
      <c r="AQ149" s="158">
        <f>SPD!AQ$442</f>
        <v>0</v>
      </c>
    </row>
    <row r="150" spans="5:43">
      <c r="E150" s="11" t="s">
        <v>636</v>
      </c>
      <c r="AJ150" s="158">
        <f>SPMW!AJ$442</f>
        <v>0</v>
      </c>
      <c r="AK150" s="158">
        <f>SPMW!AK$442</f>
        <v>0</v>
      </c>
      <c r="AL150" s="158">
        <f>SPMW!AL$442</f>
        <v>0</v>
      </c>
      <c r="AM150" s="158">
        <f>SPMW!AM$442</f>
        <v>0</v>
      </c>
      <c r="AN150" s="158">
        <f>SPMW!AN$442</f>
        <v>0</v>
      </c>
      <c r="AO150" s="158">
        <f>SPMW!AO$442</f>
        <v>0</v>
      </c>
      <c r="AP150" s="158">
        <f>SPMW!AP$442</f>
        <v>0</v>
      </c>
      <c r="AQ150" s="158">
        <f>SPMW!AQ$442</f>
        <v>0</v>
      </c>
    </row>
    <row r="151" spans="5:43">
      <c r="E151" s="11" t="s">
        <v>637</v>
      </c>
      <c r="AJ151" s="158">
        <f>SSEH!AJ$442</f>
        <v>0</v>
      </c>
      <c r="AK151" s="158">
        <f>SSEH!AK$442</f>
        <v>0</v>
      </c>
      <c r="AL151" s="158">
        <f>SSEH!AL$442</f>
        <v>0</v>
      </c>
      <c r="AM151" s="158">
        <f>SSEH!AM$442</f>
        <v>0</v>
      </c>
      <c r="AN151" s="158">
        <f>SSEH!AN$442</f>
        <v>0</v>
      </c>
      <c r="AO151" s="158">
        <f>SSEH!AO$442</f>
        <v>0</v>
      </c>
      <c r="AP151" s="158">
        <f>SSEH!AP$442</f>
        <v>0</v>
      </c>
      <c r="AQ151" s="158">
        <f>SSEH!AQ$442</f>
        <v>0</v>
      </c>
    </row>
    <row r="152" spans="5:43">
      <c r="E152" s="11" t="s">
        <v>638</v>
      </c>
      <c r="AJ152" s="158">
        <f>SSES!AJ$442</f>
        <v>0</v>
      </c>
      <c r="AK152" s="158">
        <f>SSES!AK$442</f>
        <v>0</v>
      </c>
      <c r="AL152" s="158">
        <f>SSES!AL$442</f>
        <v>0</v>
      </c>
      <c r="AM152" s="158">
        <f>SSES!AM$442</f>
        <v>0</v>
      </c>
      <c r="AN152" s="158">
        <f>SSES!AN$442</f>
        <v>0</v>
      </c>
      <c r="AO152" s="158">
        <f>SSES!AO$442</f>
        <v>0</v>
      </c>
      <c r="AP152" s="158">
        <f>SSES!AP$442</f>
        <v>0</v>
      </c>
      <c r="AQ152" s="158">
        <f>SSES!AQ$442</f>
        <v>0</v>
      </c>
    </row>
    <row r="153" spans="5:43"/>
    <row r="154" spans="5:43"/>
    <row r="155" spans="5:43"/>
    <row r="156" spans="5:43"/>
    <row r="157" spans="5:43"/>
    <row r="158" spans="5:43"/>
    <row r="159" spans="5:43"/>
    <row r="160" spans="5:43"/>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sheetData>
  <conditionalFormatting sqref="AJ132:AQ132 AJ105:AQ105 AJ102:AQ102 AJ93:AQ93 AJ115:AQ115 AJ125:AQ125 AJ90:AQ90 AJ112:AQ112 AJ122:AQ122 I66 AJ80:AQ80">
    <cfRule type="cellIs" dxfId="95" priority="34" operator="equal">
      <formula>FALSE()</formula>
    </cfRule>
  </conditionalFormatting>
  <pageMargins left="0.23622047244094491" right="0.23622047244094491" top="0.74803149606299213" bottom="0.74803149606299213" header="0.31496062992125984" footer="0.31496062992125984"/>
  <pageSetup paperSize="8" scale="70"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9003" r:id="rId4" name="Drop Down 43">
              <controlPr defaultSize="0" autoLine="0" autoPict="0">
                <anchor moveWithCells="1">
                  <from>
                    <xdr:col>4</xdr:col>
                    <xdr:colOff>0</xdr:colOff>
                    <xdr:row>26</xdr:row>
                    <xdr:rowOff>9525</xdr:rowOff>
                  </from>
                  <to>
                    <xdr:col>5</xdr:col>
                    <xdr:colOff>9525</xdr:colOff>
                    <xdr:row>27</xdr:row>
                    <xdr:rowOff>133350</xdr:rowOff>
                  </to>
                </anchor>
              </controlPr>
            </control>
          </mc:Choice>
        </mc:AlternateContent>
        <mc:AlternateContent xmlns:mc="http://schemas.openxmlformats.org/markup-compatibility/2006">
          <mc:Choice Requires="x14">
            <control shapeId="169024" r:id="rId5" name="Button 64">
              <controlPr defaultSize="0" autoFill="0" autoPict="0" macro="[0]!TaxTrigger">
                <anchor moveWithCells="1" sizeWithCells="1">
                  <from>
                    <xdr:col>4</xdr:col>
                    <xdr:colOff>9525</xdr:colOff>
                    <xdr:row>38</xdr:row>
                    <xdr:rowOff>0</xdr:rowOff>
                  </from>
                  <to>
                    <xdr:col>5</xdr:col>
                    <xdr:colOff>0</xdr:colOff>
                    <xdr:row>42</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7" tint="0.59999389629810485"/>
    <pageSetUpPr fitToPage="1"/>
  </sheetPr>
  <dimension ref="A1:XEQ642"/>
  <sheetViews>
    <sheetView zoomScale="75" zoomScaleNormal="75" workbookViewId="0">
      <pane xSplit="10" ySplit="7" topLeftCell="K8" activePane="bottomRight" state="frozen"/>
      <selection activeCell="F444" sqref="F444"/>
      <selection pane="topRight" activeCell="F444" sqref="F444"/>
      <selection pane="bottomLeft" activeCell="F444" sqref="F444"/>
      <selection pane="bottomRight"/>
    </sheetView>
  </sheetViews>
  <sheetFormatPr defaultColWidth="0" defaultRowHeight="15" customHeight="1" zeroHeight="1" outlineLevelCol="1"/>
  <cols>
    <col min="1" max="4" width="1.625" style="158" customWidth="1"/>
    <col min="5" max="5" width="50.625" style="158" customWidth="1"/>
    <col min="6" max="6" width="1.625" style="158" customWidth="1"/>
    <col min="7" max="7" width="12.625" style="158" customWidth="1"/>
    <col min="8" max="8" width="1.625" style="158" customWidth="1"/>
    <col min="9" max="9" width="10.625" style="158" customWidth="1"/>
    <col min="10" max="10" width="1.625" style="158" customWidth="1"/>
    <col min="11" max="35" width="10.625" style="158" hidden="1" customWidth="1" outlineLevel="1"/>
    <col min="36" max="36" width="10.625" style="158" customWidth="1" collapsed="1"/>
    <col min="37" max="43" width="10.625" style="158" customWidth="1"/>
    <col min="44" max="44" width="1.625" style="158" customWidth="1"/>
    <col min="45" max="49" width="0" style="158" hidden="1"/>
    <col min="50" max="16371" width="9" style="158" hidden="1"/>
    <col min="16372" max="16384" width="0" style="158" hidden="1"/>
  </cols>
  <sheetData>
    <row r="1" spans="1:44" s="142" customFormat="1">
      <c r="A1" s="5" t="s">
        <v>60</v>
      </c>
      <c r="B1" s="6"/>
      <c r="C1" s="6"/>
      <c r="D1" s="6"/>
      <c r="E1" s="6"/>
      <c r="F1" s="6"/>
      <c r="G1" s="6"/>
      <c r="H1" s="6"/>
      <c r="I1" s="6"/>
      <c r="J1" s="46"/>
      <c r="K1" s="46"/>
      <c r="L1" s="46"/>
      <c r="M1" s="46"/>
      <c r="N1" s="46"/>
      <c r="O1" s="46"/>
      <c r="P1" s="46"/>
      <c r="Q1" s="46"/>
      <c r="R1" s="46"/>
      <c r="S1" s="46"/>
      <c r="T1" s="46"/>
      <c r="U1" s="46"/>
      <c r="V1" s="46"/>
      <c r="W1" s="46"/>
      <c r="X1" s="46"/>
      <c r="Y1" s="6"/>
      <c r="Z1" s="6"/>
      <c r="AA1" s="6"/>
      <c r="AB1" s="6"/>
      <c r="AC1" s="6"/>
      <c r="AD1" s="6"/>
      <c r="AE1" s="6"/>
      <c r="AF1" s="6"/>
      <c r="AG1" s="6"/>
      <c r="AH1" s="6"/>
      <c r="AI1" s="6"/>
      <c r="AJ1" s="6"/>
      <c r="AM1" s="6"/>
      <c r="AN1" s="6"/>
      <c r="AO1" s="6"/>
      <c r="AP1" s="6"/>
      <c r="AQ1" s="6"/>
    </row>
    <row r="2" spans="1:44" s="142" customFormat="1" ht="15" customHeigh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142" customFormat="1" ht="15" customHeigh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142" customFormat="1" ht="15" customHeigh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142" customFormat="1" ht="15" customHeigh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142" customFormat="1" ht="15" customHeight="1">
      <c r="A6" s="6"/>
      <c r="B6" s="6"/>
      <c r="C6" s="6"/>
      <c r="D6" s="6"/>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6"/>
      <c r="AL6" s="6"/>
      <c r="AM6" s="6"/>
      <c r="AN6" s="6"/>
      <c r="AO6" s="6"/>
      <c r="AP6" s="6"/>
      <c r="AQ6" s="6"/>
      <c r="AR6" s="6"/>
    </row>
    <row r="7" spans="1:44" s="142" customFormat="1" ht="15" customHeight="1">
      <c r="A7" s="6"/>
      <c r="B7" s="6"/>
      <c r="C7" s="6"/>
      <c r="D7" s="6"/>
      <c r="E7" s="6" t="s">
        <v>236</v>
      </c>
      <c r="F7" s="6"/>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c r="AR7" s="6"/>
    </row>
    <row r="8" spans="1:44" ht="15" customHeight="1"/>
    <row r="9" spans="1:44" ht="15" customHeight="1">
      <c r="E9" s="158" t="str">
        <f>UserInterface!E17</f>
        <v>Year t selected:</v>
      </c>
      <c r="G9" s="312">
        <f>UserInterface!G17</f>
        <v>42460</v>
      </c>
    </row>
    <row r="10" spans="1:44" ht="15" customHeight="1"/>
    <row r="11" spans="1:44" ht="15" customHeight="1">
      <c r="E11" s="158" t="str">
        <f>Revenue!E67</f>
        <v>Final Proposals base revenue</v>
      </c>
      <c r="AJ11" s="157">
        <f ca="1">Revenue!AJ67</f>
        <v>323.7309128936057</v>
      </c>
      <c r="AK11" s="157">
        <f ca="1">Revenue!AK67</f>
        <v>332.40781423117181</v>
      </c>
      <c r="AL11" s="157">
        <f ca="1">Revenue!AL67</f>
        <v>341.31505459405861</v>
      </c>
      <c r="AM11" s="157">
        <f ca="1">Revenue!AM67</f>
        <v>350.45998981954432</v>
      </c>
      <c r="AN11" s="157">
        <f ca="1">Revenue!AN67</f>
        <v>359.81208446899649</v>
      </c>
      <c r="AO11" s="157">
        <f ca="1">Revenue!AO67</f>
        <v>369.46987031601776</v>
      </c>
      <c r="AP11" s="157">
        <f ca="1">Revenue!AP67</f>
        <v>379.39211558636464</v>
      </c>
      <c r="AQ11" s="157">
        <f ca="1">Revenue!AQ67</f>
        <v>389.58313512585039</v>
      </c>
    </row>
    <row r="12" spans="1:44" ht="15" customHeight="1">
      <c r="E12" s="158" t="str">
        <f>Revenue!E68</f>
        <v>MOD</v>
      </c>
      <c r="AJ12" s="42"/>
      <c r="AK12" s="157">
        <f ca="1">Revenue!AK68</f>
        <v>0</v>
      </c>
      <c r="AL12" s="157">
        <f ca="1">Revenue!AL68</f>
        <v>0</v>
      </c>
      <c r="AM12" s="157">
        <f ca="1">Revenue!AM68</f>
        <v>0</v>
      </c>
      <c r="AN12" s="157">
        <f ca="1">Revenue!AN68</f>
        <v>0</v>
      </c>
      <c r="AO12" s="157">
        <f ca="1">Revenue!AO68</f>
        <v>0</v>
      </c>
      <c r="AP12" s="157">
        <f ca="1">Revenue!AP68</f>
        <v>0</v>
      </c>
      <c r="AQ12" s="157">
        <f ca="1">Revenue!AQ68</f>
        <v>0</v>
      </c>
    </row>
    <row r="13" spans="1:44" ht="15" customHeight="1">
      <c r="E13" s="158" t="str">
        <f>Revenue!E69</f>
        <v>Base revenue</v>
      </c>
      <c r="AJ13" s="167">
        <f ca="1">Revenue!AJ69</f>
        <v>323.7309128936057</v>
      </c>
      <c r="AK13" s="167">
        <f ca="1">Revenue!AK69</f>
        <v>332.40781423117181</v>
      </c>
      <c r="AL13" s="167">
        <f ca="1">Revenue!AL69</f>
        <v>341.31505459405861</v>
      </c>
      <c r="AM13" s="167">
        <f ca="1">Revenue!AM69</f>
        <v>350.45998981954432</v>
      </c>
      <c r="AN13" s="167">
        <f ca="1">Revenue!AN69</f>
        <v>359.81208446899649</v>
      </c>
      <c r="AO13" s="167">
        <f ca="1">Revenue!AO69</f>
        <v>369.46987031601776</v>
      </c>
      <c r="AP13" s="167">
        <f ca="1">Revenue!AP69</f>
        <v>379.39211558636464</v>
      </c>
      <c r="AQ13" s="167">
        <f ca="1">Revenue!AQ69</f>
        <v>389.58313512585039</v>
      </c>
    </row>
    <row r="14" spans="1:44" ht="15" customHeight="1"/>
    <row r="15" spans="1:44" ht="15" customHeight="1"/>
    <row r="16" spans="1:44"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hidden="1" customHeight="1"/>
    <row r="80" ht="15" hidden="1" customHeight="1"/>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row r="110" ht="15" hidden="1" customHeight="1"/>
    <row r="111" ht="15" hidden="1" customHeight="1"/>
    <row r="112" ht="15" hidden="1" customHeight="1"/>
    <row r="113" ht="15" hidden="1" customHeight="1"/>
    <row r="114" ht="15" hidden="1" customHeight="1"/>
    <row r="115" ht="15" hidden="1" customHeight="1"/>
    <row r="116" ht="15" hidden="1" customHeight="1"/>
    <row r="117" ht="15" hidden="1" customHeight="1"/>
    <row r="118" ht="15" hidden="1" customHeight="1"/>
    <row r="119" ht="15" hidden="1" customHeight="1"/>
    <row r="120" ht="15" hidden="1" customHeight="1"/>
    <row r="121" ht="15" hidden="1" customHeight="1"/>
    <row r="122" ht="15" hidden="1" customHeight="1"/>
    <row r="123" ht="15" hidden="1" customHeight="1"/>
    <row r="124" ht="15" hidden="1" customHeight="1"/>
    <row r="125" ht="15" hidden="1" customHeight="1"/>
    <row r="126" ht="15" hidden="1" customHeight="1"/>
    <row r="127" ht="15" hidden="1" customHeight="1"/>
    <row r="128" ht="15" hidden="1" customHeight="1"/>
    <row r="129" ht="15" hidden="1" customHeight="1"/>
    <row r="130" ht="15" hidden="1" customHeight="1"/>
    <row r="131" ht="15" hidden="1" customHeight="1"/>
    <row r="132" ht="15" hidden="1" customHeight="1"/>
    <row r="133" ht="15" hidden="1" customHeight="1"/>
    <row r="134" ht="15" hidden="1" customHeight="1"/>
    <row r="135" ht="15" hidden="1" customHeight="1"/>
    <row r="136" ht="15" hidden="1" customHeight="1"/>
    <row r="137" ht="15" hidden="1" customHeight="1"/>
    <row r="138" ht="15" hidden="1" customHeight="1"/>
    <row r="139" ht="15" hidden="1" customHeight="1"/>
    <row r="140" ht="15" hidden="1" customHeight="1"/>
    <row r="141" ht="15" hidden="1" customHeight="1"/>
    <row r="142" ht="15" hidden="1" customHeight="1"/>
    <row r="143" ht="15" hidden="1" customHeight="1"/>
    <row r="144"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hidden="1" customHeight="1"/>
    <row r="167" ht="15" hidden="1" customHeight="1"/>
    <row r="168" ht="15" hidden="1" customHeight="1"/>
    <row r="169" ht="15" hidden="1" customHeight="1"/>
    <row r="170" ht="15" hidden="1" customHeight="1"/>
    <row r="171" ht="15" hidden="1" customHeight="1"/>
    <row r="172" ht="15" hidden="1" customHeight="1"/>
    <row r="173" ht="15" hidden="1" customHeight="1"/>
    <row r="174" ht="15" hidden="1" customHeight="1"/>
    <row r="175" ht="15" hidden="1" customHeight="1"/>
    <row r="176" ht="15" hidden="1" customHeight="1"/>
    <row r="177" ht="15" hidden="1" customHeight="1"/>
    <row r="178" ht="15" hidden="1" customHeight="1"/>
    <row r="179" ht="15" hidden="1" customHeight="1"/>
    <row r="180" ht="15" hidden="1" customHeight="1"/>
    <row r="181" ht="15" hidden="1" customHeight="1"/>
    <row r="182" ht="15" hidden="1" customHeight="1"/>
    <row r="183" ht="15" hidden="1" customHeight="1"/>
    <row r="184" ht="15" hidden="1" customHeight="1"/>
    <row r="185" ht="15" hidden="1" customHeight="1"/>
    <row r="186" ht="15" hidden="1" customHeight="1"/>
    <row r="187" ht="15" hidden="1" customHeight="1"/>
    <row r="188" ht="15" hidden="1" customHeight="1"/>
    <row r="189" ht="15" hidden="1" customHeight="1"/>
    <row r="190" ht="15" hidden="1" customHeight="1"/>
    <row r="191" ht="15" hidden="1" customHeight="1"/>
    <row r="192" ht="15" hidden="1" customHeight="1"/>
    <row r="193" ht="15" hidden="1" customHeight="1"/>
    <row r="194" ht="15" hidden="1" customHeight="1"/>
    <row r="195" ht="15" hidden="1" customHeight="1"/>
    <row r="196" ht="15" hidden="1" customHeight="1"/>
    <row r="197" ht="15" hidden="1" customHeight="1"/>
    <row r="198" ht="15" hidden="1" customHeight="1"/>
    <row r="199" ht="15" hidden="1" customHeight="1"/>
    <row r="200" ht="15" hidden="1" customHeight="1"/>
    <row r="201" ht="15" hidden="1" customHeight="1"/>
    <row r="202" ht="15" hidden="1" customHeight="1"/>
    <row r="203" ht="15" hidden="1" customHeight="1"/>
    <row r="204" ht="15" hidden="1" customHeight="1"/>
    <row r="205" ht="15" hidden="1" customHeight="1"/>
    <row r="206" ht="15" hidden="1" customHeight="1"/>
    <row r="207" ht="15" hidden="1" customHeight="1"/>
    <row r="208"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hidden="1" customHeight="1"/>
    <row r="272" ht="15" hidden="1" customHeight="1"/>
    <row r="273" ht="15" hidden="1" customHeight="1"/>
    <row r="274" ht="15" hidden="1" customHeight="1"/>
    <row r="275" ht="15" hidden="1" customHeight="1"/>
    <row r="276" ht="15" hidden="1" customHeight="1"/>
    <row r="277" ht="15" hidden="1" customHeight="1"/>
    <row r="278" ht="15" hidden="1" customHeight="1"/>
    <row r="279" ht="15" hidden="1" customHeight="1"/>
    <row r="280" ht="15" hidden="1" customHeight="1"/>
    <row r="281" ht="15" hidden="1" customHeight="1"/>
    <row r="282" ht="15" hidden="1" customHeight="1"/>
    <row r="283" ht="15" hidden="1" customHeight="1"/>
    <row r="284" ht="15" hidden="1" customHeight="1"/>
    <row r="285" ht="15" hidden="1" customHeight="1"/>
    <row r="286" ht="15" hidden="1" customHeight="1"/>
    <row r="287" ht="15" hidden="1" customHeight="1"/>
    <row r="288" ht="15" hidden="1" customHeight="1"/>
    <row r="289" ht="15" hidden="1" customHeight="1"/>
    <row r="290" ht="15" hidden="1" customHeight="1"/>
    <row r="291" ht="15" hidden="1" customHeight="1"/>
    <row r="292" ht="15" hidden="1" customHeight="1"/>
    <row r="293" ht="15" hidden="1" customHeight="1"/>
    <row r="294" ht="15" hidden="1" customHeight="1"/>
    <row r="295" ht="15" hidden="1" customHeight="1"/>
    <row r="296" ht="15" hidden="1" customHeight="1"/>
    <row r="297" ht="15" hidden="1" customHeight="1"/>
    <row r="298" ht="15" hidden="1" customHeight="1"/>
    <row r="299" ht="15" hidden="1" customHeight="1"/>
    <row r="300" ht="15" hidden="1" customHeight="1"/>
    <row r="301" ht="15" hidden="1" customHeight="1"/>
    <row r="302" ht="15" hidden="1" customHeight="1"/>
    <row r="303" ht="15" hidden="1" customHeight="1"/>
    <row r="304" ht="15" hidden="1" customHeight="1"/>
    <row r="305" ht="15" hidden="1" customHeight="1"/>
    <row r="306" ht="15" hidden="1" customHeight="1"/>
    <row r="307" ht="15" hidden="1" customHeight="1"/>
    <row r="308" ht="15" hidden="1" customHeight="1"/>
    <row r="309" ht="15" hidden="1" customHeight="1"/>
    <row r="310" ht="15" hidden="1" customHeight="1"/>
    <row r="311" ht="15" hidden="1" customHeight="1"/>
    <row r="312" ht="15" hidden="1" customHeight="1"/>
    <row r="313" ht="15" hidden="1" customHeight="1"/>
    <row r="314" ht="15" hidden="1" customHeight="1"/>
    <row r="315" ht="15" hidden="1" customHeight="1"/>
    <row r="316" ht="15" hidden="1" customHeight="1"/>
    <row r="317" ht="15" hidden="1" customHeight="1"/>
    <row r="318" ht="15" hidden="1" customHeight="1"/>
    <row r="319" ht="15" hidden="1" customHeight="1"/>
    <row r="320" ht="15" hidden="1" customHeight="1"/>
    <row r="321" ht="15" hidden="1" customHeight="1"/>
    <row r="322" ht="15" hidden="1" customHeight="1"/>
    <row r="323" ht="15" hidden="1" customHeight="1"/>
    <row r="324" ht="15" hidden="1" customHeight="1"/>
    <row r="325" ht="15" hidden="1" customHeight="1"/>
    <row r="326" ht="15" hidden="1" customHeight="1"/>
    <row r="327" ht="15" hidden="1" customHeight="1"/>
    <row r="328" ht="15" hidden="1" customHeight="1"/>
    <row r="329" ht="15" hidden="1" customHeight="1"/>
    <row r="330" ht="15" hidden="1" customHeight="1"/>
    <row r="331" ht="15" hidden="1" customHeight="1"/>
    <row r="332" ht="15" hidden="1" customHeight="1"/>
    <row r="333" ht="15" hidden="1" customHeight="1"/>
    <row r="334" ht="15" hidden="1" customHeight="1"/>
    <row r="335" ht="15" hidden="1" customHeight="1"/>
    <row r="336" ht="15" hidden="1" customHeight="1"/>
    <row r="337" ht="15" hidden="1" customHeight="1"/>
    <row r="338" ht="15" hidden="1" customHeight="1"/>
    <row r="339" ht="15" hidden="1" customHeight="1"/>
    <row r="340" ht="15" hidden="1" customHeight="1"/>
    <row r="341" ht="15" hidden="1" customHeight="1"/>
    <row r="342" ht="15" hidden="1" customHeight="1"/>
    <row r="343" ht="15" hidden="1" customHeight="1"/>
    <row r="344" ht="15" hidden="1" customHeight="1"/>
    <row r="345" ht="15" hidden="1" customHeight="1"/>
    <row r="346" ht="15" hidden="1" customHeight="1"/>
    <row r="347" ht="15" hidden="1" customHeight="1"/>
    <row r="348" ht="15" hidden="1" customHeight="1"/>
    <row r="349" ht="15" hidden="1" customHeight="1"/>
    <row r="350" ht="15" hidden="1" customHeight="1"/>
    <row r="351" ht="15" hidden="1" customHeight="1"/>
    <row r="352" ht="15" hidden="1" customHeight="1"/>
    <row r="353" ht="15" hidden="1" customHeight="1"/>
    <row r="354" ht="15" hidden="1" customHeight="1"/>
    <row r="355" ht="15" hidden="1" customHeight="1"/>
    <row r="356" ht="15" hidden="1" customHeight="1"/>
    <row r="357" ht="15" hidden="1" customHeight="1"/>
    <row r="358" ht="15" hidden="1" customHeight="1"/>
    <row r="359" ht="15" hidden="1" customHeight="1"/>
    <row r="360" ht="15" hidden="1" customHeight="1"/>
    <row r="361" ht="15" hidden="1" customHeight="1"/>
    <row r="362" ht="15" hidden="1" customHeight="1"/>
    <row r="363" ht="15" hidden="1" customHeight="1"/>
    <row r="364" ht="15" hidden="1" customHeight="1"/>
    <row r="365" ht="15" hidden="1" customHeight="1"/>
    <row r="366" ht="15" hidden="1" customHeight="1"/>
    <row r="367" ht="15" hidden="1" customHeight="1"/>
    <row r="368" ht="15" hidden="1" customHeight="1"/>
    <row r="369" ht="15" hidden="1" customHeight="1"/>
    <row r="370" ht="15" hidden="1" customHeight="1"/>
    <row r="371" ht="15" hidden="1" customHeight="1"/>
    <row r="372" ht="15" hidden="1" customHeight="1"/>
    <row r="373" ht="15" hidden="1" customHeight="1"/>
    <row r="374" ht="15" hidden="1" customHeight="1"/>
    <row r="375" ht="15" hidden="1" customHeight="1"/>
    <row r="376" ht="15" hidden="1" customHeight="1"/>
    <row r="377" ht="15" hidden="1" customHeight="1"/>
    <row r="378" ht="15" hidden="1" customHeight="1"/>
    <row r="379" ht="15" hidden="1" customHeight="1"/>
    <row r="380" ht="15" hidden="1" customHeight="1"/>
    <row r="381" ht="15" hidden="1" customHeight="1"/>
    <row r="382" ht="15" hidden="1" customHeight="1"/>
    <row r="383" ht="15" hidden="1" customHeight="1"/>
    <row r="384" ht="15" hidden="1" customHeight="1"/>
    <row r="385" ht="15" hidden="1" customHeight="1"/>
    <row r="386" ht="15" hidden="1" customHeight="1"/>
    <row r="387" ht="15" hidden="1" customHeight="1"/>
    <row r="388" ht="15" hidden="1" customHeight="1"/>
    <row r="389" ht="15" hidden="1" customHeight="1"/>
    <row r="390" ht="15" hidden="1" customHeight="1"/>
    <row r="391" ht="15" hidden="1" customHeight="1"/>
    <row r="392" ht="15" hidden="1" customHeight="1"/>
    <row r="393" ht="15" hidden="1" customHeight="1"/>
    <row r="394" ht="15" hidden="1" customHeight="1"/>
    <row r="395" ht="15" hidden="1" customHeight="1"/>
    <row r="396" ht="15" hidden="1" customHeight="1"/>
    <row r="397" ht="15" hidden="1" customHeight="1"/>
    <row r="398" ht="15" hidden="1" customHeight="1"/>
    <row r="399" ht="15" hidden="1" customHeight="1"/>
    <row r="400" ht="15" hidden="1" customHeight="1"/>
    <row r="401" ht="15" hidden="1" customHeight="1"/>
    <row r="402" ht="15" hidden="1" customHeight="1"/>
    <row r="403" ht="15" hidden="1" customHeight="1"/>
    <row r="404" ht="15" hidden="1" customHeight="1"/>
    <row r="405" ht="15" hidden="1" customHeight="1"/>
    <row r="406" ht="15" hidden="1" customHeight="1"/>
    <row r="407" ht="15" hidden="1" customHeight="1"/>
    <row r="408" ht="15" hidden="1" customHeight="1"/>
    <row r="409" ht="15" hidden="1" customHeight="1"/>
    <row r="410" ht="15" hidden="1" customHeight="1"/>
    <row r="411" ht="15" hidden="1" customHeight="1"/>
    <row r="412" ht="15" hidden="1" customHeight="1"/>
    <row r="413" ht="15" hidden="1" customHeight="1"/>
    <row r="414" ht="15" hidden="1" customHeight="1"/>
    <row r="415" ht="15" hidden="1" customHeight="1"/>
    <row r="416" ht="15" hidden="1" customHeight="1"/>
    <row r="417" ht="15" hidden="1" customHeight="1"/>
    <row r="418" ht="15" hidden="1" customHeight="1"/>
    <row r="419" ht="15" hidden="1" customHeight="1"/>
    <row r="420" ht="15" hidden="1" customHeight="1"/>
    <row r="421" ht="15" hidden="1" customHeight="1"/>
    <row r="422" ht="15" hidden="1" customHeight="1"/>
    <row r="423" ht="15" hidden="1" customHeight="1"/>
    <row r="424" ht="15" hidden="1" customHeight="1"/>
    <row r="425" ht="15" hidden="1" customHeight="1"/>
    <row r="426" ht="15" hidden="1" customHeight="1"/>
    <row r="427" ht="15" hidden="1" customHeight="1"/>
    <row r="428" ht="15" hidden="1" customHeight="1"/>
    <row r="429" ht="15" hidden="1" customHeight="1"/>
    <row r="430" ht="15" hidden="1" customHeight="1"/>
    <row r="431" ht="15" hidden="1" customHeight="1"/>
    <row r="432" ht="15" hidden="1" customHeight="1"/>
    <row r="433" ht="15" hidden="1" customHeight="1"/>
    <row r="434" ht="15" hidden="1" customHeight="1"/>
    <row r="435" ht="15" hidden="1" customHeight="1"/>
    <row r="436" ht="15" hidden="1" customHeight="1"/>
    <row r="437" ht="15" hidden="1" customHeight="1"/>
    <row r="438" ht="15" hidden="1" customHeight="1"/>
    <row r="439" ht="15" hidden="1" customHeight="1"/>
    <row r="440" ht="15" hidden="1" customHeight="1"/>
    <row r="441" ht="15" hidden="1" customHeight="1"/>
    <row r="442" ht="15" hidden="1" customHeight="1"/>
    <row r="443" ht="15" hidden="1" customHeight="1"/>
    <row r="444" ht="15" hidden="1" customHeight="1"/>
    <row r="445" ht="15" hidden="1" customHeight="1"/>
    <row r="446" ht="15" hidden="1" customHeight="1"/>
    <row r="447" ht="15" hidden="1" customHeight="1"/>
    <row r="448" ht="15" hidden="1" customHeight="1"/>
    <row r="449" ht="15" hidden="1" customHeight="1"/>
    <row r="450" ht="15" hidden="1" customHeight="1"/>
    <row r="451" ht="15" hidden="1" customHeight="1"/>
    <row r="452" ht="15" hidden="1" customHeight="1"/>
    <row r="453" ht="15" hidden="1" customHeight="1"/>
    <row r="454" ht="15" hidden="1" customHeight="1"/>
    <row r="455" ht="15" hidden="1" customHeight="1"/>
    <row r="456" ht="15" hidden="1" customHeight="1"/>
    <row r="457" ht="15" hidden="1" customHeight="1"/>
    <row r="458" ht="15" hidden="1" customHeight="1"/>
    <row r="459" ht="15" hidden="1" customHeight="1"/>
    <row r="460" ht="15" hidden="1" customHeight="1"/>
    <row r="461" ht="15" hidden="1" customHeight="1"/>
    <row r="462" ht="15" hidden="1" customHeight="1"/>
    <row r="463" ht="15" hidden="1" customHeight="1"/>
    <row r="464" ht="15" hidden="1" customHeight="1"/>
    <row r="465" ht="15" hidden="1" customHeight="1"/>
    <row r="466" ht="15" hidden="1" customHeight="1"/>
    <row r="467" ht="15" hidden="1" customHeight="1"/>
    <row r="468" ht="15" hidden="1" customHeight="1"/>
    <row r="469" ht="15" hidden="1" customHeight="1"/>
    <row r="470" ht="15" hidden="1" customHeight="1"/>
    <row r="471" ht="15" hidden="1" customHeight="1"/>
    <row r="472" ht="15" hidden="1" customHeight="1"/>
    <row r="473" ht="15" hidden="1" customHeight="1"/>
    <row r="474" ht="15" hidden="1" customHeight="1"/>
    <row r="475" ht="15" hidden="1" customHeight="1"/>
    <row r="476" ht="15" hidden="1" customHeight="1"/>
    <row r="477" ht="15" hidden="1" customHeight="1"/>
    <row r="478" ht="15" hidden="1" customHeight="1"/>
    <row r="479" ht="15" hidden="1" customHeight="1"/>
    <row r="480" ht="15" hidden="1" customHeight="1"/>
    <row r="481" ht="15" hidden="1" customHeight="1"/>
    <row r="482" ht="15" hidden="1" customHeight="1"/>
    <row r="483" ht="15" hidden="1" customHeight="1"/>
    <row r="484" ht="15" hidden="1" customHeight="1"/>
    <row r="485" ht="15" hidden="1" customHeight="1"/>
    <row r="486" ht="15" hidden="1" customHeight="1"/>
    <row r="487" ht="15" hidden="1" customHeight="1"/>
    <row r="488" ht="15" hidden="1" customHeight="1"/>
    <row r="489" ht="15" hidden="1" customHeight="1"/>
    <row r="490" ht="15" hidden="1" customHeight="1"/>
    <row r="491" ht="15" hidden="1" customHeight="1"/>
    <row r="492" ht="15" hidden="1" customHeight="1"/>
    <row r="493" ht="15" hidden="1" customHeight="1"/>
    <row r="494" ht="15" hidden="1" customHeight="1"/>
    <row r="495" ht="15" hidden="1" customHeight="1"/>
    <row r="496" ht="15" hidden="1" customHeight="1"/>
    <row r="497" ht="15" hidden="1" customHeight="1"/>
    <row r="498" ht="15" hidden="1" customHeight="1"/>
    <row r="499" ht="15" hidden="1" customHeight="1"/>
    <row r="500" ht="15" hidden="1" customHeight="1"/>
    <row r="501" ht="15" hidden="1" customHeight="1"/>
    <row r="502" ht="15" hidden="1" customHeight="1"/>
    <row r="503" ht="15" hidden="1" customHeight="1"/>
    <row r="504" ht="15" hidden="1" customHeight="1"/>
    <row r="505" ht="15" hidden="1" customHeight="1"/>
    <row r="506" ht="15" hidden="1" customHeight="1"/>
    <row r="507" ht="15" hidden="1" customHeight="1"/>
    <row r="508" ht="15" hidden="1" customHeight="1"/>
    <row r="509" ht="15" hidden="1" customHeight="1"/>
    <row r="510" ht="15" hidden="1" customHeight="1"/>
    <row r="511" ht="15" hidden="1" customHeight="1"/>
    <row r="512" ht="15" hidden="1" customHeight="1"/>
    <row r="513" ht="15" hidden="1" customHeight="1"/>
    <row r="514" ht="15" hidden="1" customHeight="1"/>
    <row r="515" ht="15" hidden="1" customHeight="1"/>
    <row r="516" ht="15" hidden="1" customHeight="1"/>
    <row r="517" ht="15" hidden="1" customHeight="1"/>
    <row r="518" ht="15" hidden="1" customHeight="1"/>
    <row r="519" ht="15" hidden="1" customHeight="1"/>
    <row r="520" ht="15" hidden="1" customHeight="1"/>
    <row r="521" ht="15" hidden="1" customHeight="1"/>
    <row r="522" ht="15" hidden="1" customHeight="1"/>
    <row r="523" ht="15" hidden="1" customHeight="1"/>
    <row r="524" ht="15" hidden="1" customHeight="1"/>
    <row r="525" ht="15" hidden="1" customHeight="1"/>
    <row r="526" ht="15" hidden="1" customHeight="1"/>
    <row r="527" ht="15" hidden="1" customHeight="1"/>
    <row r="528" ht="15" hidden="1" customHeight="1"/>
    <row r="529" ht="15" hidden="1" customHeight="1"/>
    <row r="530" ht="15" hidden="1" customHeight="1"/>
    <row r="531" ht="15" hidden="1" customHeight="1"/>
    <row r="532" ht="15" hidden="1" customHeight="1"/>
    <row r="533" ht="15" hidden="1" customHeight="1"/>
    <row r="534" ht="15" hidden="1" customHeight="1"/>
    <row r="535" ht="15" hidden="1" customHeight="1"/>
    <row r="536" ht="15" hidden="1" customHeight="1"/>
    <row r="537" ht="15" hidden="1" customHeight="1"/>
    <row r="538" ht="15" hidden="1" customHeight="1"/>
    <row r="539" ht="15" hidden="1" customHeight="1"/>
    <row r="540" ht="15" hidden="1" customHeight="1"/>
    <row r="541" ht="15" hidden="1" customHeight="1"/>
    <row r="542" ht="15" hidden="1" customHeight="1"/>
    <row r="543" ht="15" hidden="1" customHeight="1"/>
    <row r="544" ht="15" hidden="1" customHeight="1"/>
    <row r="545" ht="15" hidden="1" customHeight="1"/>
    <row r="546" ht="15" hidden="1" customHeight="1"/>
    <row r="547" ht="15" hidden="1" customHeight="1"/>
    <row r="548" ht="15" hidden="1" customHeight="1"/>
    <row r="549" ht="15" hidden="1" customHeight="1"/>
    <row r="550" ht="15" hidden="1" customHeight="1"/>
    <row r="551" ht="15" hidden="1" customHeight="1"/>
    <row r="552" ht="15" hidden="1" customHeight="1"/>
    <row r="553" ht="15" hidden="1" customHeight="1"/>
    <row r="554" ht="15" hidden="1" customHeight="1"/>
    <row r="555" ht="15" hidden="1" customHeight="1"/>
    <row r="556" ht="15" hidden="1" customHeight="1"/>
    <row r="557" ht="15" hidden="1" customHeight="1"/>
    <row r="558" ht="15" hidden="1" customHeight="1"/>
    <row r="559" ht="15" hidden="1" customHeight="1"/>
    <row r="560" ht="15" hidden="1" customHeight="1"/>
    <row r="561" ht="15" hidden="1" customHeight="1"/>
    <row r="562" ht="15" hidden="1" customHeight="1"/>
    <row r="563" ht="15" hidden="1" customHeight="1"/>
    <row r="564" ht="15" hidden="1" customHeight="1"/>
    <row r="565" ht="15" hidden="1" customHeight="1"/>
    <row r="566" ht="15" hidden="1" customHeight="1"/>
    <row r="567" ht="15" hidden="1" customHeight="1"/>
    <row r="568" ht="15" hidden="1" customHeight="1"/>
    <row r="569" ht="15" hidden="1" customHeight="1"/>
    <row r="570" ht="15" hidden="1" customHeight="1"/>
    <row r="571" ht="15" hidden="1" customHeight="1"/>
    <row r="572" ht="15" hidden="1" customHeight="1"/>
    <row r="573" ht="15" hidden="1" customHeight="1"/>
    <row r="574" ht="15" hidden="1" customHeight="1"/>
    <row r="575" ht="15" hidden="1" customHeight="1"/>
    <row r="576" ht="15" hidden="1" customHeight="1"/>
    <row r="577" ht="15" hidden="1" customHeight="1"/>
    <row r="578" ht="15" hidden="1" customHeight="1"/>
    <row r="579" ht="15" hidden="1" customHeight="1"/>
    <row r="580" ht="15" hidden="1" customHeight="1"/>
    <row r="581" ht="15" hidden="1" customHeight="1"/>
    <row r="582" ht="15" hidden="1" customHeight="1"/>
    <row r="583" ht="15" hidden="1" customHeight="1"/>
    <row r="584" ht="15" hidden="1" customHeight="1"/>
    <row r="585" ht="15" hidden="1" customHeight="1"/>
    <row r="586" ht="15" hidden="1" customHeight="1"/>
    <row r="587" ht="15" hidden="1" customHeight="1"/>
    <row r="588" ht="15" hidden="1" customHeight="1"/>
    <row r="589" ht="15" hidden="1" customHeight="1"/>
    <row r="590" ht="15" hidden="1" customHeight="1"/>
    <row r="591" ht="15" hidden="1" customHeight="1"/>
    <row r="592" ht="15" hidden="1" customHeight="1"/>
    <row r="593" ht="15" hidden="1" customHeight="1"/>
    <row r="594" ht="15" hidden="1" customHeight="1"/>
    <row r="595" ht="15" hidden="1" customHeight="1"/>
    <row r="596" ht="15" hidden="1" customHeight="1"/>
    <row r="597" ht="15" hidden="1" customHeight="1"/>
    <row r="598" ht="15" hidden="1" customHeight="1"/>
    <row r="599" ht="15" hidden="1" customHeight="1"/>
    <row r="600" ht="15" hidden="1" customHeight="1"/>
    <row r="601" ht="15" hidden="1" customHeight="1"/>
    <row r="602" ht="15" hidden="1" customHeight="1"/>
    <row r="603" ht="15" hidden="1" customHeight="1"/>
    <row r="604" ht="15" hidden="1" customHeight="1"/>
    <row r="605" ht="15" hidden="1" customHeight="1"/>
    <row r="606" ht="15" hidden="1" customHeight="1"/>
    <row r="607" ht="15" hidden="1" customHeight="1"/>
    <row r="608" ht="15" hidden="1" customHeight="1"/>
    <row r="609" ht="15" hidden="1" customHeight="1"/>
    <row r="610" ht="15" hidden="1" customHeight="1"/>
    <row r="611" ht="15" hidden="1" customHeight="1"/>
    <row r="612" ht="15" hidden="1" customHeight="1"/>
    <row r="613" ht="15" hidden="1" customHeight="1"/>
    <row r="614" ht="15" hidden="1" customHeight="1"/>
    <row r="615" ht="15" hidden="1" customHeight="1"/>
    <row r="616" ht="15" hidden="1" customHeight="1"/>
    <row r="617" ht="15" hidden="1" customHeight="1"/>
    <row r="618" ht="15" hidden="1" customHeight="1"/>
    <row r="619" ht="15" hidden="1" customHeight="1"/>
    <row r="620" ht="15" hidden="1" customHeight="1"/>
    <row r="621" ht="15" hidden="1" customHeight="1"/>
    <row r="622" ht="15" hidden="1" customHeight="1"/>
    <row r="623" ht="15" hidden="1" customHeight="1"/>
    <row r="624" ht="15" hidden="1" customHeight="1"/>
    <row r="625" ht="15" hidden="1" customHeight="1"/>
    <row r="626" ht="15" hidden="1" customHeight="1"/>
    <row r="627" ht="15" hidden="1" customHeight="1"/>
    <row r="628" ht="15" hidden="1" customHeight="1"/>
    <row r="629" ht="15" hidden="1" customHeight="1"/>
    <row r="630" ht="15" hidden="1" customHeight="1"/>
    <row r="631" ht="15" hidden="1" customHeight="1"/>
    <row r="632" ht="15" hidden="1" customHeight="1"/>
    <row r="633" ht="15" hidden="1" customHeight="1"/>
    <row r="634" ht="15" hidden="1" customHeight="1"/>
    <row r="635" ht="15" hidden="1" customHeight="1"/>
    <row r="636" ht="15" hidden="1" customHeight="1"/>
    <row r="637" ht="15" hidden="1" customHeight="1"/>
    <row r="638" ht="15" hidden="1" customHeight="1"/>
    <row r="639" ht="15" hidden="1" customHeight="1"/>
    <row r="640" ht="15" hidden="1" customHeight="1"/>
    <row r="641" ht="15" hidden="1" customHeight="1"/>
    <row r="642" ht="15" customHeight="1"/>
  </sheetData>
  <pageMargins left="0.23622047244094491" right="0.23622047244094491" top="0.74803149606299213" bottom="0.74803149606299213" header="0.31496062992125984" footer="0.31496062992125984"/>
  <pageSetup paperSize="8" scale="74" fitToHeight="0" orientation="portrait" r:id="rId1"/>
  <headerFooter>
    <oddFooter>&amp;LDraft at &amp;D&amp;C&amp;P of &amp;N&amp;R"&amp;A" sheet</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rgb="FFFFFFCC"/>
  </sheetPr>
  <dimension ref="A1:AR464"/>
  <sheetViews>
    <sheetView zoomScale="70" zoomScaleNormal="70" workbookViewId="0">
      <pane xSplit="10" ySplit="7" topLeftCell="U8" activePane="bottomRight" state="frozen"/>
      <selection activeCell="AJ219" sqref="AJ219"/>
      <selection pane="topRight" activeCell="AJ219" sqref="AJ219"/>
      <selection pane="bottomLeft" activeCell="AJ219" sqref="AJ219"/>
      <selection pane="bottomRight" activeCell="AJ437" sqref="AJ437"/>
    </sheetView>
  </sheetViews>
  <sheetFormatPr defaultColWidth="9" defaultRowHeight="15" customHeight="1" outlineLevelCol="1"/>
  <cols>
    <col min="1" max="3" width="1.625" style="11" customWidth="1"/>
    <col min="4" max="4" width="3.375" style="11" customWidth="1"/>
    <col min="5" max="5" width="80" style="11" customWidth="1"/>
    <col min="6" max="6" width="7.5" style="11" customWidth="1"/>
    <col min="7" max="7" width="12.625" style="11" customWidth="1"/>
    <col min="8" max="8" width="8.375" style="11" customWidth="1"/>
    <col min="9" max="9" width="10.625" style="11" customWidth="1"/>
    <col min="10" max="10" width="1.625" style="11" customWidth="1"/>
    <col min="11" max="12" width="10.625" style="11" customWidth="1" outlineLevel="1"/>
    <col min="13" max="14" width="10.625" style="158" customWidth="1" outlineLevel="1"/>
    <col min="15" max="35" width="10.625" style="11" customWidth="1" outlineLevel="1"/>
    <col min="36" max="43" width="10.625" style="11" customWidth="1"/>
    <col min="44" max="44" width="1.625" style="11" customWidth="1"/>
    <col min="45" max="16384" width="9" style="11"/>
  </cols>
  <sheetData>
    <row r="1" spans="1:44" s="47" customFormat="1">
      <c r="A1" s="5" t="s">
        <v>78</v>
      </c>
      <c r="B1" s="6"/>
      <c r="C1" s="6"/>
      <c r="D1" s="6"/>
      <c r="E1" s="6"/>
      <c r="F1" s="6"/>
      <c r="G1" s="6"/>
      <c r="H1" s="6"/>
      <c r="I1" s="6"/>
      <c r="J1" s="46"/>
      <c r="K1" s="46"/>
      <c r="L1" s="46"/>
      <c r="M1" s="46"/>
      <c r="N1" s="46"/>
      <c r="O1" s="46"/>
      <c r="P1" s="46"/>
      <c r="Q1" s="46"/>
      <c r="R1" s="46"/>
      <c r="S1" s="46"/>
      <c r="T1" s="46"/>
      <c r="U1" s="46"/>
      <c r="V1" s="46"/>
      <c r="W1" s="46"/>
      <c r="X1" s="46"/>
      <c r="Y1" s="46"/>
      <c r="Z1" s="46"/>
      <c r="AA1" s="6"/>
      <c r="AB1" s="6"/>
      <c r="AC1" s="6"/>
      <c r="AD1" s="6"/>
      <c r="AE1" s="6"/>
      <c r="AF1" s="6"/>
      <c r="AG1" s="6"/>
      <c r="AH1" s="6"/>
      <c r="AI1" s="6"/>
      <c r="AJ1" s="6"/>
      <c r="AM1" s="6"/>
      <c r="AN1" s="6"/>
      <c r="AO1" s="6"/>
      <c r="AP1" s="6"/>
      <c r="AQ1" s="6"/>
    </row>
    <row r="2" spans="1:44" s="47" customFormat="1" ht="15" customHeigh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142" customFormat="1" ht="15" customHeigh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142" customFormat="1" ht="15" customHeigh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142" customFormat="1" ht="15" customHeigh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47" customFormat="1" ht="15" customHeight="1">
      <c r="A6" s="6"/>
      <c r="B6" s="6"/>
      <c r="C6" s="6"/>
      <c r="D6" s="6"/>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6"/>
      <c r="AL6" s="6"/>
      <c r="AM6" s="6"/>
      <c r="AN6" s="6"/>
      <c r="AO6" s="6"/>
      <c r="AP6" s="6"/>
      <c r="AQ6" s="6"/>
      <c r="AR6" s="6"/>
    </row>
    <row r="7" spans="1:44" s="47" customFormat="1" ht="15" customHeight="1">
      <c r="A7" s="6"/>
      <c r="B7" s="6"/>
      <c r="C7" s="6"/>
      <c r="D7" s="6"/>
      <c r="E7" s="6" t="s">
        <v>236</v>
      </c>
      <c r="F7" s="6" t="str">
        <f ca="1">Cover!C3</f>
        <v>UKPN_PCFM_Model_2014.xlsm</v>
      </c>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c r="AR7" s="6"/>
    </row>
    <row r="9" spans="1:44" ht="15" customHeight="1">
      <c r="B9" s="15" t="s">
        <v>424</v>
      </c>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row>
    <row r="11" spans="1:44" ht="15" customHeight="1">
      <c r="E11" s="157" t="s">
        <v>886</v>
      </c>
      <c r="F11" s="286" t="s">
        <v>890</v>
      </c>
      <c r="G11" s="3" t="s">
        <v>42</v>
      </c>
      <c r="H11" s="522" t="s">
        <v>889</v>
      </c>
      <c r="AJ11" s="262">
        <f>CHOOSE(m_identity,ENWL!AJ11, NPgN!AJ11, NPgY!AJ11, WMID!AJ11, EMID!AJ11, SWALES!AJ11, SWEST!AJ11, LPN!AJ11,SPN!AJ11,EPN!AJ11,SPD!AJ11,SPMW!AJ11,SSEH!AJ11,SSES!AJ11)</f>
        <v>2.7199999999999998E-2</v>
      </c>
      <c r="AK11" s="262">
        <f>CHOOSE(m_identity,ENWL!AK11, NPgN!AK11, NPgY!AK11, WMID!AK11, EMID!AK11, SWALES!AK11, SWEST!AK11, LPN!AK11,SPN!AK11,EPN!AK11,SPD!AK11,SPMW!AK11,SSEH!AK11,SSES!AK11)</f>
        <v>2.7199999999999998E-2</v>
      </c>
      <c r="AL11" s="262">
        <f>CHOOSE(m_identity,ENWL!AL11, NPgN!AL11, NPgY!AL11, WMID!AL11, EMID!AL11, SWALES!AL11, SWEST!AL11, LPN!AL11,SPN!AL11,EPN!AL11,SPD!AL11,SPMW!AL11,SSEH!AL11,SSES!AL11)</f>
        <v>2.7199999999999998E-2</v>
      </c>
      <c r="AM11" s="262">
        <f>CHOOSE(m_identity,ENWL!AM11, NPgN!AM11, NPgY!AM11, WMID!AM11, EMID!AM11, SWALES!AM11, SWEST!AM11, LPN!AM11,SPN!AM11,EPN!AM11,SPD!AM11,SPMW!AM11,SSEH!AM11,SSES!AM11)</f>
        <v>2.7199999999999998E-2</v>
      </c>
      <c r="AN11" s="262">
        <f>CHOOSE(m_identity,ENWL!AN11, NPgN!AN11, NPgY!AN11, WMID!AN11, EMID!AN11, SWALES!AN11, SWEST!AN11, LPN!AN11,SPN!AN11,EPN!AN11,SPD!AN11,SPMW!AN11,SSEH!AN11,SSES!AN11)</f>
        <v>2.7199999999999998E-2</v>
      </c>
      <c r="AO11" s="262">
        <f>CHOOSE(m_identity,ENWL!AO11, NPgN!AO11, NPgY!AO11, WMID!AO11, EMID!AO11, SWALES!AO11, SWEST!AO11, LPN!AO11,SPN!AO11,EPN!AO11,SPD!AO11,SPMW!AO11,SSEH!AO11,SSES!AO11)</f>
        <v>2.7199999999999998E-2</v>
      </c>
      <c r="AP11" s="262">
        <f>CHOOSE(m_identity,ENWL!AP11, NPgN!AP11, NPgY!AP11, WMID!AP11, EMID!AP11, SWALES!AP11, SWEST!AP11, LPN!AP11,SPN!AP11,EPN!AP11,SPD!AP11,SPMW!AP11,SSEH!AP11,SSES!AP11)</f>
        <v>2.7199999999999998E-2</v>
      </c>
      <c r="AQ11" s="262">
        <f>CHOOSE(m_identity,ENWL!AQ11, NPgN!AQ11, NPgY!AQ11, WMID!AQ11, EMID!AQ11, SWALES!AQ11, SWEST!AQ11, LPN!AQ11,SPN!AQ11,EPN!AQ11,SPD!AQ11,SPMW!AQ11,SSEH!AQ11,SSES!AQ11)</f>
        <v>2.7199999999999998E-2</v>
      </c>
    </row>
    <row r="12" spans="1:44" ht="15" customHeight="1">
      <c r="E12" s="50" t="s">
        <v>150</v>
      </c>
      <c r="F12" s="522" t="s">
        <v>925</v>
      </c>
      <c r="G12" s="98" t="s">
        <v>844</v>
      </c>
      <c r="H12" s="286" t="s">
        <v>556</v>
      </c>
      <c r="AJ12" s="224">
        <f>CHOOSE(m_identity,ENWL!AJ12, NPgN!AJ12, NPgY!AJ12, WMID!AJ12, EMID!AJ12, SWALES!AJ12, SWEST!AJ12, LPN!AJ12,SPN!AJ12,EPN!AJ12,SPD!AJ12,SPMW!AJ12,SSEH!AJ12,SSES!AJ12)</f>
        <v>0</v>
      </c>
      <c r="AK12" s="224">
        <f>CHOOSE(m_identity,ENWL!AK12, NPgN!AK12, NPgY!AK12, WMID!AK12, EMID!AK12, SWALES!AK12, SWEST!AK12, LPN!AK12,SPN!AK12,EPN!AK12,SPD!AK12,SPMW!AK12,SSEH!AK12,SSES!AK12)</f>
        <v>0</v>
      </c>
      <c r="AL12" s="224">
        <f>CHOOSE(m_identity,ENWL!AL12, NPgN!AL12, NPgY!AL12, WMID!AL12, EMID!AL12, SWALES!AL12, SWEST!AL12, LPN!AL12,SPN!AL12,EPN!AL12,SPD!AL12,SPMW!AL12,SSEH!AL12,SSES!AL12)</f>
        <v>0</v>
      </c>
      <c r="AM12" s="224">
        <f>CHOOSE(m_identity,ENWL!AM12, NPgN!AM12, NPgY!AM12, WMID!AM12, EMID!AM12, SWALES!AM12, SWEST!AM12, LPN!AM12,SPN!AM12,EPN!AM12,SPD!AM12,SPMW!AM12,SSEH!AM12,SSES!AM12)</f>
        <v>0</v>
      </c>
      <c r="AN12" s="224">
        <f>CHOOSE(m_identity,ENWL!AN12, NPgN!AN12, NPgY!AN12, WMID!AN12, EMID!AN12, SWALES!AN12, SWEST!AN12, LPN!AN12,SPN!AN12,EPN!AN12,SPD!AN12,SPMW!AN12,SSEH!AN12,SSES!AN12)</f>
        <v>0</v>
      </c>
      <c r="AO12" s="224">
        <f>CHOOSE(m_identity,ENWL!AO12, NPgN!AO12, NPgY!AO12, WMID!AO12, EMID!AO12, SWALES!AO12, SWEST!AO12, LPN!AO12,SPN!AO12,EPN!AO12,SPD!AO12,SPMW!AO12,SSEH!AO12,SSES!AO12)</f>
        <v>0</v>
      </c>
      <c r="AP12" s="224">
        <f>CHOOSE(m_identity,ENWL!AP12, NPgN!AP12, NPgY!AP12, WMID!AP12, EMID!AP12, SWALES!AP12, SWEST!AP12, LPN!AP12,SPN!AP12,EPN!AP12,SPD!AP12,SPMW!AP12,SSEH!AP12,SSES!AP12)</f>
        <v>0</v>
      </c>
      <c r="AQ12" s="224">
        <f>CHOOSE(m_identity,ENWL!AQ12, NPgN!AQ12, NPgY!AQ12, WMID!AQ12, EMID!AQ12, SWALES!AQ12, SWEST!AQ12, LPN!AQ12,SPN!AQ12,EPN!AQ12,SPD!AQ12,SPMW!AQ12,SSEH!AQ12,SSES!AQ12)</f>
        <v>0</v>
      </c>
    </row>
    <row r="13" spans="1:44" ht="15" customHeight="1">
      <c r="D13" s="158"/>
      <c r="E13" s="154" t="s">
        <v>661</v>
      </c>
      <c r="F13" s="522" t="s">
        <v>925</v>
      </c>
      <c r="G13" s="98" t="s">
        <v>844</v>
      </c>
      <c r="H13" s="287" t="s">
        <v>558</v>
      </c>
      <c r="AJ13" s="224">
        <f>CHOOSE(m_identity,ENWL!AJ13, NPgN!AJ13, NPgY!AJ13, WMID!AJ13, EMID!AJ13, SWALES!AJ13, SWEST!AJ13, LPN!AJ13,SPN!AJ13,EPN!AJ13,SPD!AJ13,SPMW!AJ13,SSEH!AJ13,SSES!AJ13)</f>
        <v>0</v>
      </c>
      <c r="AK13" s="224">
        <f>CHOOSE(m_identity,ENWL!AK13, NPgN!AK13, NPgY!AK13, WMID!AK13, EMID!AK13, SWALES!AK13, SWEST!AK13, LPN!AK13,SPN!AK13,EPN!AK13,SPD!AK13,SPMW!AK13,SSEH!AK13,SSES!AK13)</f>
        <v>0</v>
      </c>
      <c r="AL13" s="224">
        <f>CHOOSE(m_identity,ENWL!AL13, NPgN!AL13, NPgY!AL13, WMID!AL13, EMID!AL13, SWALES!AL13, SWEST!AL13, LPN!AL13,SPN!AL13,EPN!AL13,SPD!AL13,SPMW!AL13,SSEH!AL13,SSES!AL13)</f>
        <v>0</v>
      </c>
      <c r="AM13" s="224">
        <f>CHOOSE(m_identity,ENWL!AM13, NPgN!AM13, NPgY!AM13, WMID!AM13, EMID!AM13, SWALES!AM13, SWEST!AM13, LPN!AM13,SPN!AM13,EPN!AM13,SPD!AM13,SPMW!AM13,SSEH!AM13,SSES!AM13)</f>
        <v>0</v>
      </c>
      <c r="AN13" s="224">
        <f>CHOOSE(m_identity,ENWL!AN13, NPgN!AN13, NPgY!AN13, WMID!AN13, EMID!AN13, SWALES!AN13, SWEST!AN13, LPN!AN13,SPN!AN13,EPN!AN13,SPD!AN13,SPMW!AN13,SSEH!AN13,SSES!AN13)</f>
        <v>0</v>
      </c>
      <c r="AO13" s="224">
        <f>CHOOSE(m_identity,ENWL!AO13, NPgN!AO13, NPgY!AO13, WMID!AO13, EMID!AO13, SWALES!AO13, SWEST!AO13, LPN!AO13,SPN!AO13,EPN!AO13,SPD!AO13,SPMW!AO13,SSEH!AO13,SSES!AO13)</f>
        <v>0</v>
      </c>
      <c r="AP13" s="224">
        <f>CHOOSE(m_identity,ENWL!AP13, NPgN!AP13, NPgY!AP13, WMID!AP13, EMID!AP13, SWALES!AP13, SWEST!AP13, LPN!AP13,SPN!AP13,EPN!AP13,SPD!AP13,SPMW!AP13,SSEH!AP13,SSES!AP13)</f>
        <v>0</v>
      </c>
      <c r="AQ13" s="224">
        <f>CHOOSE(m_identity,ENWL!AQ13, NPgN!AQ13, NPgY!AQ13, WMID!AQ13, EMID!AQ13, SWALES!AQ13, SWEST!AQ13, LPN!AQ13,SPN!AQ13,EPN!AQ13,SPD!AQ13,SPMW!AQ13,SSEH!AQ13,SSES!AQ13)</f>
        <v>0</v>
      </c>
    </row>
    <row r="14" spans="1:44" ht="15" customHeight="1">
      <c r="D14" s="98"/>
      <c r="E14" s="50" t="s">
        <v>157</v>
      </c>
      <c r="F14" s="522" t="s">
        <v>925</v>
      </c>
      <c r="G14" s="98" t="s">
        <v>844</v>
      </c>
      <c r="H14" s="286" t="s">
        <v>557</v>
      </c>
      <c r="AJ14" s="224">
        <f>CHOOSE(m_identity,ENWL!AJ14, NPgN!AJ14, NPgY!AJ14, WMID!AJ14, EMID!AJ14, SWALES!AJ14, SWEST!AJ14, LPN!AJ14,SPN!AJ14,EPN!AJ14,SPD!AJ14,SPMW!AJ14,SSEH!AJ14,SSES!AJ14)</f>
        <v>0</v>
      </c>
      <c r="AK14" s="224">
        <f>CHOOSE(m_identity,ENWL!AK14, NPgN!AK14, NPgY!AK14, WMID!AK14, EMID!AK14, SWALES!AK14, SWEST!AK14, LPN!AK14,SPN!AK14,EPN!AK14,SPD!AK14,SPMW!AK14,SSEH!AK14,SSES!AK14)</f>
        <v>0</v>
      </c>
      <c r="AL14" s="224">
        <f>CHOOSE(m_identity,ENWL!AL14, NPgN!AL14, NPgY!AL14, WMID!AL14, EMID!AL14, SWALES!AL14, SWEST!AL14, LPN!AL14,SPN!AL14,EPN!AL14,SPD!AL14,SPMW!AL14,SSEH!AL14,SSES!AL14)</f>
        <v>0</v>
      </c>
      <c r="AM14" s="224">
        <f>CHOOSE(m_identity,ENWL!AM14, NPgN!AM14, NPgY!AM14, WMID!AM14, EMID!AM14, SWALES!AM14, SWEST!AM14, LPN!AM14,SPN!AM14,EPN!AM14,SPD!AM14,SPMW!AM14,SSEH!AM14,SSES!AM14)</f>
        <v>0</v>
      </c>
      <c r="AN14" s="224">
        <f>CHOOSE(m_identity,ENWL!AN14, NPgN!AN14, NPgY!AN14, WMID!AN14, EMID!AN14, SWALES!AN14, SWEST!AN14, LPN!AN14,SPN!AN14,EPN!AN14,SPD!AN14,SPMW!AN14,SSEH!AN14,SSES!AN14)</f>
        <v>0</v>
      </c>
      <c r="AO14" s="224">
        <f>CHOOSE(m_identity,ENWL!AO14, NPgN!AO14, NPgY!AO14, WMID!AO14, EMID!AO14, SWALES!AO14, SWEST!AO14, LPN!AO14,SPN!AO14,EPN!AO14,SPD!AO14,SPMW!AO14,SSEH!AO14,SSES!AO14)</f>
        <v>0</v>
      </c>
      <c r="AP14" s="224">
        <f>CHOOSE(m_identity,ENWL!AP14, NPgN!AP14, NPgY!AP14, WMID!AP14, EMID!AP14, SWALES!AP14, SWEST!AP14, LPN!AP14,SPN!AP14,EPN!AP14,SPD!AP14,SPMW!AP14,SSEH!AP14,SSES!AP14)</f>
        <v>0</v>
      </c>
      <c r="AQ14" s="224">
        <f>CHOOSE(m_identity,ENWL!AQ14, NPgN!AQ14, NPgY!AQ14, WMID!AQ14, EMID!AQ14, SWALES!AQ14, SWEST!AQ14, LPN!AQ14,SPN!AQ14,EPN!AQ14,SPD!AQ14,SPMW!AQ14,SSEH!AQ14,SSES!AQ14)</f>
        <v>0</v>
      </c>
    </row>
    <row r="15" spans="1:44" s="158" customFormat="1" ht="15" customHeight="1">
      <c r="D15" s="98"/>
      <c r="E15" s="50" t="s">
        <v>702</v>
      </c>
      <c r="F15" s="522" t="s">
        <v>925</v>
      </c>
      <c r="G15" s="98" t="s">
        <v>844</v>
      </c>
      <c r="H15" s="286" t="s">
        <v>927</v>
      </c>
      <c r="AJ15" s="224">
        <f>CHOOSE(m_identity,ENWL!AJ15, NPgN!AJ15, NPgY!AJ15, WMID!AJ15, EMID!AJ15, SWALES!AJ15, SWEST!AJ15, LPN!AJ15,SPN!AJ15,EPN!AJ15,SPD!AJ15,SPMW!AJ15,SSEH!AJ15,SSES!AJ15)</f>
        <v>0</v>
      </c>
      <c r="AK15" s="224">
        <f>CHOOSE(m_identity,ENWL!AK15, NPgN!AK15, NPgY!AK15, WMID!AK15, EMID!AK15, SWALES!AK15, SWEST!AK15, LPN!AK15,SPN!AK15,EPN!AK15,SPD!AK15,SPMW!AK15,SSEH!AK15,SSES!AK15)</f>
        <v>0</v>
      </c>
      <c r="AL15" s="224">
        <f>CHOOSE(m_identity,ENWL!AL15, NPgN!AL15, NPgY!AL15, WMID!AL15, EMID!AL15, SWALES!AL15, SWEST!AL15, LPN!AL15,SPN!AL15,EPN!AL15,SPD!AL15,SPMW!AL15,SSEH!AL15,SSES!AL15)</f>
        <v>0</v>
      </c>
      <c r="AM15" s="224">
        <f>CHOOSE(m_identity,ENWL!AM15, NPgN!AM15, NPgY!AM15, WMID!AM15, EMID!AM15, SWALES!AM15, SWEST!AM15, LPN!AM15,SPN!AM15,EPN!AM15,SPD!AM15,SPMW!AM15,SSEH!AM15,SSES!AM15)</f>
        <v>0</v>
      </c>
      <c r="AN15" s="224">
        <f>CHOOSE(m_identity,ENWL!AN15, NPgN!AN15, NPgY!AN15, WMID!AN15, EMID!AN15, SWALES!AN15, SWEST!AN15, LPN!AN15,SPN!AN15,EPN!AN15,SPD!AN15,SPMW!AN15,SSEH!AN15,SSES!AN15)</f>
        <v>0</v>
      </c>
      <c r="AO15" s="224">
        <f>CHOOSE(m_identity,ENWL!AO15, NPgN!AO15, NPgY!AO15, WMID!AO15, EMID!AO15, SWALES!AO15, SWEST!AO15, LPN!AO15,SPN!AO15,EPN!AO15,SPD!AO15,SPMW!AO15,SSEH!AO15,SSES!AO15)</f>
        <v>0</v>
      </c>
      <c r="AP15" s="224">
        <f>CHOOSE(m_identity,ENWL!AP15, NPgN!AP15, NPgY!AP15, WMID!AP15, EMID!AP15, SWALES!AP15, SWEST!AP15, LPN!AP15,SPN!AP15,EPN!AP15,SPD!AP15,SPMW!AP15,SSEH!AP15,SSES!AP15)</f>
        <v>0</v>
      </c>
      <c r="AQ15" s="224">
        <f>CHOOSE(m_identity,ENWL!AQ15, NPgN!AQ15, NPgY!AQ15, WMID!AQ15, EMID!AQ15, SWALES!AQ15, SWEST!AQ15, LPN!AQ15,SPN!AQ15,EPN!AQ15,SPD!AQ15,SPMW!AQ15,SSEH!AQ15,SSES!AQ15)</f>
        <v>0</v>
      </c>
    </row>
    <row r="16" spans="1:44" s="158" customFormat="1" ht="15" customHeight="1">
      <c r="D16" s="98"/>
      <c r="E16" s="549" t="s">
        <v>996</v>
      </c>
      <c r="F16" s="522"/>
      <c r="G16" s="98"/>
      <c r="H16" s="286"/>
      <c r="AJ16" s="224">
        <f>CHOOSE(m_identity,ENWL!AJ16, NPgN!AJ16, NPgY!AJ16, WMID!AJ16, EMID!AJ16, SWALES!AJ16, SWEST!AJ16, LPN!AJ16,SPN!AJ16,EPN!AJ16,SPD!AJ16,SPMW!AJ16,SSEH!AJ16,SSES!AJ16)</f>
        <v>0</v>
      </c>
      <c r="AK16" s="224">
        <f>CHOOSE(m_identity,ENWL!AK16, NPgN!AK16, NPgY!AK16, WMID!AK16, EMID!AK16, SWALES!AK16, SWEST!AK16, LPN!AK16,SPN!AK16,EPN!AK16,SPD!AK16,SPMW!AK16,SSEH!AK16,SSES!AK16)</f>
        <v>0</v>
      </c>
      <c r="AL16" s="224">
        <f>CHOOSE(m_identity,ENWL!AL16, NPgN!AL16, NPgY!AL16, WMID!AL16, EMID!AL16, SWALES!AL16, SWEST!AL16, LPN!AL16,SPN!AL16,EPN!AL16,SPD!AL16,SPMW!AL16,SSEH!AL16,SSES!AL16)</f>
        <v>0</v>
      </c>
      <c r="AM16" s="224">
        <f>CHOOSE(m_identity,ENWL!AM16, NPgN!AM16, NPgY!AM16, WMID!AM16, EMID!AM16, SWALES!AM16, SWEST!AM16, LPN!AM16,SPN!AM16,EPN!AM16,SPD!AM16,SPMW!AM16,SSEH!AM16,SSES!AM16)</f>
        <v>0</v>
      </c>
      <c r="AN16" s="224">
        <f>CHOOSE(m_identity,ENWL!AN16, NPgN!AN16, NPgY!AN16, WMID!AN16, EMID!AN16, SWALES!AN16, SWEST!AN16, LPN!AN16,SPN!AN16,EPN!AN16,SPD!AN16,SPMW!AN16,SSEH!AN16,SSES!AN16)</f>
        <v>0</v>
      </c>
      <c r="AO16" s="224">
        <f>CHOOSE(m_identity,ENWL!AO16, NPgN!AO16, NPgY!AO16, WMID!AO16, EMID!AO16, SWALES!AO16, SWEST!AO16, LPN!AO16,SPN!AO16,EPN!AO16,SPD!AO16,SPMW!AO16,SSEH!AO16,SSES!AO16)</f>
        <v>0</v>
      </c>
      <c r="AP16" s="224">
        <f>CHOOSE(m_identity,ENWL!AP16, NPgN!AP16, NPgY!AP16, WMID!AP16, EMID!AP16, SWALES!AP16, SWEST!AP16, LPN!AP16,SPN!AP16,EPN!AP16,SPD!AP16,SPMW!AP16,SSEH!AP16,SSES!AP16)</f>
        <v>0</v>
      </c>
      <c r="AQ16" s="224">
        <f>CHOOSE(m_identity,ENWL!AQ16, NPgN!AQ16, NPgY!AQ16, WMID!AQ16, EMID!AQ16, SWALES!AQ16, SWEST!AQ16, LPN!AQ16,SPN!AQ16,EPN!AQ16,SPD!AQ16,SPMW!AQ16,SSEH!AQ16,SSES!AQ16)</f>
        <v>0</v>
      </c>
    </row>
    <row r="17" spans="4:43" s="158" customFormat="1" ht="15" customHeight="1">
      <c r="D17" s="98"/>
      <c r="E17" s="50" t="s">
        <v>918</v>
      </c>
      <c r="F17" s="522" t="s">
        <v>925</v>
      </c>
      <c r="G17" s="98" t="s">
        <v>844</v>
      </c>
      <c r="H17" s="286" t="s">
        <v>928</v>
      </c>
      <c r="AJ17" s="224">
        <f>CHOOSE(m_identity,ENWL!AJ17, NPgN!AJ17, NPgY!AJ17, WMID!AJ17, EMID!AJ17, SWALES!AJ17, SWEST!AJ17, LPN!AJ17,SPN!AJ17,EPN!AJ17,SPD!AJ17,SPMW!AJ17,SSEH!AJ17,SSES!AJ17)</f>
        <v>0</v>
      </c>
      <c r="AK17" s="224">
        <f>CHOOSE(m_identity,ENWL!AK17, NPgN!AK17, NPgY!AK17, WMID!AK17, EMID!AK17, SWALES!AK17, SWEST!AK17, LPN!AK17,SPN!AK17,EPN!AK17,SPD!AK17,SPMW!AK17,SSEH!AK17,SSES!AK17)</f>
        <v>0</v>
      </c>
      <c r="AL17" s="224">
        <f>CHOOSE(m_identity,ENWL!AL17, NPgN!AL17, NPgY!AL17, WMID!AL17, EMID!AL17, SWALES!AL17, SWEST!AL17, LPN!AL17,SPN!AL17,EPN!AL17,SPD!AL17,SPMW!AL17,SSEH!AL17,SSES!AL17)</f>
        <v>0</v>
      </c>
      <c r="AM17" s="224">
        <f>CHOOSE(m_identity,ENWL!AM17, NPgN!AM17, NPgY!AM17, WMID!AM17, EMID!AM17, SWALES!AM17, SWEST!AM17, LPN!AM17,SPN!AM17,EPN!AM17,SPD!AM17,SPMW!AM17,SSEH!AM17,SSES!AM17)</f>
        <v>0</v>
      </c>
      <c r="AN17" s="224">
        <f>CHOOSE(m_identity,ENWL!AN17, NPgN!AN17, NPgY!AN17, WMID!AN17, EMID!AN17, SWALES!AN17, SWEST!AN17, LPN!AN17,SPN!AN17,EPN!AN17,SPD!AN17,SPMW!AN17,SSEH!AN17,SSES!AN17)</f>
        <v>0</v>
      </c>
      <c r="AO17" s="224">
        <f>CHOOSE(m_identity,ENWL!AO17, NPgN!AO17, NPgY!AO17, WMID!AO17, EMID!AO17, SWALES!AO17, SWEST!AO17, LPN!AO17,SPN!AO17,EPN!AO17,SPD!AO17,SPMW!AO17,SSEH!AO17,SSES!AO17)</f>
        <v>0</v>
      </c>
      <c r="AP17" s="224">
        <f>CHOOSE(m_identity,ENWL!AP17, NPgN!AP17, NPgY!AP17, WMID!AP17, EMID!AP17, SWALES!AP17, SWEST!AP17, LPN!AP17,SPN!AP17,EPN!AP17,SPD!AP17,SPMW!AP17,SSEH!AP17,SSES!AP17)</f>
        <v>0</v>
      </c>
      <c r="AQ17" s="224">
        <f>CHOOSE(m_identity,ENWL!AQ17, NPgN!AQ17, NPgY!AQ17, WMID!AQ17, EMID!AQ17, SWALES!AQ17, SWEST!AQ17, LPN!AQ17,SPN!AQ17,EPN!AQ17,SPD!AQ17,SPMW!AQ17,SSEH!AQ17,SSES!AQ17)</f>
        <v>0</v>
      </c>
    </row>
    <row r="18" spans="4:43" ht="15" customHeight="1">
      <c r="E18" s="4" t="s">
        <v>158</v>
      </c>
      <c r="F18" s="522" t="s">
        <v>925</v>
      </c>
      <c r="G18" s="98" t="s">
        <v>844</v>
      </c>
      <c r="H18" s="286" t="s">
        <v>926</v>
      </c>
      <c r="AJ18" s="224">
        <f>CHOOSE(m_identity,ENWL!AJ18, NPgN!AJ18, NPgY!AJ18, WMID!AJ18, EMID!AJ18, SWALES!AJ18, SWEST!AJ18, LPN!AJ18,SPN!AJ18,EPN!AJ18,SPD!AJ18,SPMW!AJ18,SSEH!AJ18,SSES!AJ18)</f>
        <v>0</v>
      </c>
      <c r="AK18" s="224">
        <f>CHOOSE(m_identity,ENWL!AK18, NPgN!AK18, NPgY!AK18, WMID!AK18, EMID!AK18, SWALES!AK18, SWEST!AK18, LPN!AK18,SPN!AK18,EPN!AK18,SPD!AK18,SPMW!AK18,SSEH!AK18,SSES!AK18)</f>
        <v>0</v>
      </c>
      <c r="AL18" s="224">
        <f>CHOOSE(m_identity,ENWL!AL18, NPgN!AL18, NPgY!AL18, WMID!AL18, EMID!AL18, SWALES!AL18, SWEST!AL18, LPN!AL18,SPN!AL18,EPN!AL18,SPD!AL18,SPMW!AL18,SSEH!AL18,SSES!AL18)</f>
        <v>0</v>
      </c>
      <c r="AM18" s="224">
        <f>CHOOSE(m_identity,ENWL!AM18, NPgN!AM18, NPgY!AM18, WMID!AM18, EMID!AM18, SWALES!AM18, SWEST!AM18, LPN!AM18,SPN!AM18,EPN!AM18,SPD!AM18,SPMW!AM18,SSEH!AM18,SSES!AM18)</f>
        <v>0</v>
      </c>
      <c r="AN18" s="224">
        <f>CHOOSE(m_identity,ENWL!AN18, NPgN!AN18, NPgY!AN18, WMID!AN18, EMID!AN18, SWALES!AN18, SWEST!AN18, LPN!AN18,SPN!AN18,EPN!AN18,SPD!AN18,SPMW!AN18,SSEH!AN18,SSES!AN18)</f>
        <v>0</v>
      </c>
      <c r="AO18" s="224">
        <f>CHOOSE(m_identity,ENWL!AO18, NPgN!AO18, NPgY!AO18, WMID!AO18, EMID!AO18, SWALES!AO18, SWEST!AO18, LPN!AO18,SPN!AO18,EPN!AO18,SPD!AO18,SPMW!AO18,SSEH!AO18,SSES!AO18)</f>
        <v>0</v>
      </c>
      <c r="AP18" s="224">
        <f>CHOOSE(m_identity,ENWL!AP18, NPgN!AP18, NPgY!AP18, WMID!AP18, EMID!AP18, SWALES!AP18, SWEST!AP18, LPN!AP18,SPN!AP18,EPN!AP18,SPD!AP18,SPMW!AP18,SSEH!AP18,SSES!AP18)</f>
        <v>0</v>
      </c>
      <c r="AQ18" s="224">
        <f>CHOOSE(m_identity,ENWL!AQ18, NPgN!AQ18, NPgY!AQ18, WMID!AQ18, EMID!AQ18, SWALES!AQ18, SWEST!AQ18, LPN!AQ18,SPN!AQ18,EPN!AQ18,SPD!AQ18,SPMW!AQ18,SSEH!AQ18,SSES!AQ18)</f>
        <v>0</v>
      </c>
    </row>
    <row r="19" spans="4:43" s="158" customFormat="1" ht="15" customHeight="1">
      <c r="D19" s="98"/>
      <c r="E19" s="50" t="s">
        <v>895</v>
      </c>
      <c r="F19" s="287" t="s">
        <v>894</v>
      </c>
      <c r="G19" s="98" t="s">
        <v>844</v>
      </c>
      <c r="H19" s="286" t="s">
        <v>896</v>
      </c>
      <c r="AJ19" s="224">
        <f>CHOOSE(m_identity,ENWL!AJ19, NPgN!AJ19, NPgY!AJ19, WMID!AJ19, EMID!AJ19, SWALES!AJ19, SWEST!AJ19, LPN!AJ19,SPN!AJ19,EPN!AJ19,SPD!AJ19,SPMW!AJ19,SSEH!AJ19,SSES!AJ19)</f>
        <v>2.5152614695250004</v>
      </c>
      <c r="AK19" s="224">
        <f>CHOOSE(m_identity,ENWL!AK19, NPgN!AK19, NPgY!AK19, WMID!AK19, EMID!AK19, SWALES!AK19, SWEST!AK19, LPN!AK19,SPN!AK19,EPN!AK19,SPD!AK19,SPMW!AK19,SSEH!AK19,SSES!AK19)</f>
        <v>0</v>
      </c>
      <c r="AL19" s="224">
        <f>CHOOSE(m_identity,ENWL!AL19, NPgN!AL19, NPgY!AL19, WMID!AL19, EMID!AL19, SWALES!AL19, SWEST!AL19, LPN!AL19,SPN!AL19,EPN!AL19,SPD!AL19,SPMW!AL19,SSEH!AL19,SSES!AL19)</f>
        <v>0</v>
      </c>
      <c r="AM19" s="224">
        <f>CHOOSE(m_identity,ENWL!AM19, NPgN!AM19, NPgY!AM19, WMID!AM19, EMID!AM19, SWALES!AM19, SWEST!AM19, LPN!AM19,SPN!AM19,EPN!AM19,SPD!AM19,SPMW!AM19,SSEH!AM19,SSES!AM19)</f>
        <v>2.5860496786900762</v>
      </c>
      <c r="AN19" s="224">
        <f>CHOOSE(m_identity,ENWL!AN19, NPgN!AN19, NPgY!AN19, WMID!AN19, EMID!AN19, SWALES!AN19, SWEST!AN19, LPN!AN19,SPN!AN19,EPN!AN19,SPD!AN19,SPMW!AN19,SSEH!AN19,SSES!AN19)</f>
        <v>3.1323096701978663</v>
      </c>
      <c r="AO19" s="224">
        <f>CHOOSE(m_identity,ENWL!AO19, NPgN!AO19, NPgY!AO19, WMID!AO19, EMID!AO19, SWALES!AO19, SWEST!AO19, LPN!AO19,SPN!AO19,EPN!AO19,SPD!AO19,SPMW!AO19,SSEH!AO19,SSES!AO19)</f>
        <v>1.0539113881358191</v>
      </c>
      <c r="AP19" s="224">
        <f>CHOOSE(m_identity,ENWL!AP19, NPgN!AP19, NPgY!AP19, WMID!AP19, EMID!AP19, SWALES!AP19, SWEST!AP19, LPN!AP19,SPN!AP19,EPN!AP19,SPD!AP19,SPMW!AP19,SSEH!AP19,SSES!AP19)</f>
        <v>0</v>
      </c>
      <c r="AQ19" s="224">
        <f>CHOOSE(m_identity,ENWL!AQ19, NPgN!AQ19, NPgY!AQ19, WMID!AQ19, EMID!AQ19, SWALES!AQ19, SWEST!AQ19, LPN!AQ19,SPN!AQ19,EPN!AQ19,SPD!AQ19,SPMW!AQ19,SSEH!AQ19,SSES!AQ19)</f>
        <v>0</v>
      </c>
    </row>
    <row r="20" spans="4:43" s="158" customFormat="1" ht="15" customHeight="1">
      <c r="D20" s="98"/>
      <c r="E20" s="50" t="s">
        <v>892</v>
      </c>
      <c r="F20" s="286" t="s">
        <v>894</v>
      </c>
      <c r="G20" s="98" t="s">
        <v>844</v>
      </c>
      <c r="H20" s="286" t="s">
        <v>893</v>
      </c>
      <c r="AJ20" s="224">
        <f>CHOOSE(m_identity,ENWL!AJ20, NPgN!AJ20, NPgY!AJ20, WMID!AJ20, EMID!AJ20, SWALES!AJ20, SWEST!AJ20, LPN!AJ20,SPN!AJ20,EPN!AJ20,SPD!AJ20,SPMW!AJ20,SSEH!AJ20,SSES!AJ20)</f>
        <v>5.2012850463206401</v>
      </c>
      <c r="AK20" s="224">
        <f>CHOOSE(m_identity,ENWL!AK20, NPgN!AK20, NPgY!AK20, WMID!AK20, EMID!AK20, SWALES!AK20, SWEST!AK20, LPN!AK20,SPN!AK20,EPN!AK20,SPD!AK20,SPMW!AK20,SSEH!AK20,SSES!AK20)</f>
        <v>6.37155744513095</v>
      </c>
      <c r="AL20" s="224">
        <f>CHOOSE(m_identity,ENWL!AL20, NPgN!AL20, NPgY!AL20, WMID!AL20, EMID!AL20, SWALES!AL20, SWEST!AL20, LPN!AL20,SPN!AL20,EPN!AL20,SPD!AL20,SPMW!AL20,SSEH!AL20,SSES!AL20)</f>
        <v>6.3547719984256448</v>
      </c>
      <c r="AM20" s="224">
        <f>CHOOSE(m_identity,ENWL!AM20, NPgN!AM20, NPgY!AM20, WMID!AM20, EMID!AM20, SWALES!AM20, SWEST!AM20, LPN!AM20,SPN!AM20,EPN!AM20,SPD!AM20,SPMW!AM20,SSEH!AM20,SSES!AM20)</f>
        <v>5.9505840986754546</v>
      </c>
      <c r="AN20" s="224">
        <f>CHOOSE(m_identity,ENWL!AN20, NPgN!AN20, NPgY!AN20, WMID!AN20, EMID!AN20, SWALES!AN20, SWEST!AN20, LPN!AN20,SPN!AN20,EPN!AN20,SPD!AN20,SPMW!AN20,SSEH!AN20,SSES!AN20)</f>
        <v>4.9613310651294755</v>
      </c>
      <c r="AO20" s="224">
        <f>CHOOSE(m_identity,ENWL!AO20, NPgN!AO20, NPgY!AO20, WMID!AO20, EMID!AO20, SWALES!AO20, SWEST!AO20, LPN!AO20,SPN!AO20,EPN!AO20,SPD!AO20,SPMW!AO20,SSEH!AO20,SSES!AO20)</f>
        <v>2.9872918053546043</v>
      </c>
      <c r="AP20" s="224">
        <f>CHOOSE(m_identity,ENWL!AP20, NPgN!AP20, NPgY!AP20, WMID!AP20, EMID!AP20, SWALES!AP20, SWEST!AP20, LPN!AP20,SPN!AP20,EPN!AP20,SPD!AP20,SPMW!AP20,SSEH!AP20,SSES!AP20)</f>
        <v>0</v>
      </c>
      <c r="AQ20" s="224">
        <f>CHOOSE(m_identity,ENWL!AQ20, NPgN!AQ20, NPgY!AQ20, WMID!AQ20, EMID!AQ20, SWALES!AQ20, SWEST!AQ20, LPN!AQ20,SPN!AQ20,EPN!AQ20,SPD!AQ20,SPMW!AQ20,SSEH!AQ20,SSES!AQ20)</f>
        <v>0</v>
      </c>
    </row>
    <row r="21" spans="4:43" s="158" customFormat="1" ht="15" customHeight="1">
      <c r="D21" s="98"/>
      <c r="E21" s="50" t="s">
        <v>905</v>
      </c>
      <c r="F21" s="287" t="s">
        <v>907</v>
      </c>
      <c r="G21" s="98" t="s">
        <v>844</v>
      </c>
      <c r="H21" s="286" t="s">
        <v>906</v>
      </c>
      <c r="AJ21" s="224">
        <f>CHOOSE(m_identity,ENWL!AJ21, NPgN!AJ21, NPgY!AJ21, WMID!AJ21, EMID!AJ21, SWALES!AJ21, SWEST!AJ21, LPN!AJ21,SPN!AJ21,EPN!AJ21,SPD!AJ21,SPMW!AJ21,SSEH!AJ21,SSES!AJ21)</f>
        <v>0</v>
      </c>
      <c r="AK21" s="224">
        <f>CHOOSE(m_identity,ENWL!AK21, NPgN!AK21, NPgY!AK21, WMID!AK21, EMID!AK21, SWALES!AK21, SWEST!AK21, LPN!AK21,SPN!AK21,EPN!AK21,SPD!AK21,SPMW!AK21,SSEH!AK21,SSES!AK21)</f>
        <v>0</v>
      </c>
      <c r="AL21" s="224">
        <f>CHOOSE(m_identity,ENWL!AL21, NPgN!AL21, NPgY!AL21, WMID!AL21, EMID!AL21, SWALES!AL21, SWEST!AL21, LPN!AL21,SPN!AL21,EPN!AL21,SPD!AL21,SPMW!AL21,SSEH!AL21,SSES!AL21)</f>
        <v>0</v>
      </c>
      <c r="AM21" s="224">
        <f>CHOOSE(m_identity,ENWL!AM21, NPgN!AM21, NPgY!AM21, WMID!AM21, EMID!AM21, SWALES!AM21, SWEST!AM21, LPN!AM21,SPN!AM21,EPN!AM21,SPD!AM21,SPMW!AM21,SSEH!AM21,SSES!AM21)</f>
        <v>0</v>
      </c>
      <c r="AN21" s="224">
        <f>CHOOSE(m_identity,ENWL!AN21, NPgN!AN21, NPgY!AN21, WMID!AN21, EMID!AN21, SWALES!AN21, SWEST!AN21, LPN!AN21,SPN!AN21,EPN!AN21,SPD!AN21,SPMW!AN21,SSEH!AN21,SSES!AN21)</f>
        <v>0</v>
      </c>
      <c r="AO21" s="224">
        <f>CHOOSE(m_identity,ENWL!AO21, NPgN!AO21, NPgY!AO21, WMID!AO21, EMID!AO21, SWALES!AO21, SWEST!AO21, LPN!AO21,SPN!AO21,EPN!AO21,SPD!AO21,SPMW!AO21,SSEH!AO21,SSES!AO21)</f>
        <v>0</v>
      </c>
      <c r="AP21" s="224">
        <f>CHOOSE(m_identity,ENWL!AP21, NPgN!AP21, NPgY!AP21, WMID!AP21, EMID!AP21, SWALES!AP21, SWEST!AP21, LPN!AP21,SPN!AP21,EPN!AP21,SPD!AP21,SPMW!AP21,SSEH!AP21,SSES!AP21)</f>
        <v>0</v>
      </c>
      <c r="AQ21" s="224">
        <f>CHOOSE(m_identity,ENWL!AQ21, NPgN!AQ21, NPgY!AQ21, WMID!AQ21, EMID!AQ21, SWALES!AQ21, SWEST!AQ21, LPN!AQ21,SPN!AQ21,EPN!AQ21,SPD!AQ21,SPMW!AQ21,SSEH!AQ21,SSES!AQ21)</f>
        <v>0</v>
      </c>
    </row>
    <row r="22" spans="4:43" s="158" customFormat="1" ht="15" customHeight="1">
      <c r="D22" s="98"/>
      <c r="E22" s="50" t="s">
        <v>908</v>
      </c>
      <c r="F22" s="286" t="s">
        <v>910</v>
      </c>
      <c r="G22" s="98" t="s">
        <v>844</v>
      </c>
      <c r="H22" s="286" t="s">
        <v>909</v>
      </c>
      <c r="AJ22" s="224">
        <f>CHOOSE(m_identity,ENWL!AJ22, NPgN!AJ22, NPgY!AJ22, WMID!AJ22, EMID!AJ22, SWALES!AJ22, SWEST!AJ22, LPN!AJ22,SPN!AJ22,EPN!AJ22,SPD!AJ22,SPMW!AJ22,SSEH!AJ22,SSES!AJ22)</f>
        <v>0</v>
      </c>
      <c r="AK22" s="224">
        <f>CHOOSE(m_identity,ENWL!AK22, NPgN!AK22, NPgY!AK22, WMID!AK22, EMID!AK22, SWALES!AK22, SWEST!AK22, LPN!AK22,SPN!AK22,EPN!AK22,SPD!AK22,SPMW!AK22,SSEH!AK22,SSES!AK22)</f>
        <v>0</v>
      </c>
      <c r="AL22" s="224">
        <f>CHOOSE(m_identity,ENWL!AL22, NPgN!AL22, NPgY!AL22, WMID!AL22, EMID!AL22, SWALES!AL22, SWEST!AL22, LPN!AL22,SPN!AL22,EPN!AL22,SPD!AL22,SPMW!AL22,SSEH!AL22,SSES!AL22)</f>
        <v>0</v>
      </c>
      <c r="AM22" s="224">
        <f>CHOOSE(m_identity,ENWL!AM22, NPgN!AM22, NPgY!AM22, WMID!AM22, EMID!AM22, SWALES!AM22, SWEST!AM22, LPN!AM22,SPN!AM22,EPN!AM22,SPD!AM22,SPMW!AM22,SSEH!AM22,SSES!AM22)</f>
        <v>0</v>
      </c>
      <c r="AN22" s="224">
        <f>CHOOSE(m_identity,ENWL!AN22, NPgN!AN22, NPgY!AN22, WMID!AN22, EMID!AN22, SWALES!AN22, SWEST!AN22, LPN!AN22,SPN!AN22,EPN!AN22,SPD!AN22,SPMW!AN22,SSEH!AN22,SSES!AN22)</f>
        <v>0</v>
      </c>
      <c r="AO22" s="224">
        <f>CHOOSE(m_identity,ENWL!AO22, NPgN!AO22, NPgY!AO22, WMID!AO22, EMID!AO22, SWALES!AO22, SWEST!AO22, LPN!AO22,SPN!AO22,EPN!AO22,SPD!AO22,SPMW!AO22,SSEH!AO22,SSES!AO22)</f>
        <v>0</v>
      </c>
      <c r="AP22" s="224">
        <f>CHOOSE(m_identity,ENWL!AP22, NPgN!AP22, NPgY!AP22, WMID!AP22, EMID!AP22, SWALES!AP22, SWEST!AP22, LPN!AP22,SPN!AP22,EPN!AP22,SPD!AP22,SPMW!AP22,SSEH!AP22,SSES!AP22)</f>
        <v>0</v>
      </c>
      <c r="AQ22" s="224">
        <f>CHOOSE(m_identity,ENWL!AQ22, NPgN!AQ22, NPgY!AQ22, WMID!AQ22, EMID!AQ22, SWALES!AQ22, SWEST!AQ22, LPN!AQ22,SPN!AQ22,EPN!AQ22,SPD!AQ22,SPMW!AQ22,SSEH!AQ22,SSES!AQ22)</f>
        <v>0</v>
      </c>
    </row>
    <row r="23" spans="4:43" s="158" customFormat="1" ht="15" customHeight="1">
      <c r="D23" s="98"/>
      <c r="E23" s="50" t="s">
        <v>902</v>
      </c>
      <c r="F23" s="286" t="s">
        <v>904</v>
      </c>
      <c r="G23" s="98" t="s">
        <v>844</v>
      </c>
      <c r="H23" s="286" t="s">
        <v>903</v>
      </c>
      <c r="AJ23" s="224">
        <f>CHOOSE(m_identity,ENWL!AJ23, NPgN!AJ23, NPgY!AJ23, WMID!AJ23, EMID!AJ23, SWALES!AJ23, SWEST!AJ23, LPN!AJ23,SPN!AJ23,EPN!AJ23,SPD!AJ23,SPMW!AJ23,SSEH!AJ23,SSES!AJ23)</f>
        <v>1.2141391264816848</v>
      </c>
      <c r="AK23" s="224">
        <f>CHOOSE(m_identity,ENWL!AK23, NPgN!AK23, NPgY!AK23, WMID!AK23, EMID!AK23, SWALES!AK23, SWEST!AK23, LPN!AK23,SPN!AK23,EPN!AK23,SPD!AK23,SPMW!AK23,SSEH!AK23,SSES!AK23)</f>
        <v>2.0573283969813678</v>
      </c>
      <c r="AL23" s="224">
        <f>CHOOSE(m_identity,ENWL!AL23, NPgN!AL23, NPgY!AL23, WMID!AL23, EMID!AL23, SWALES!AL23, SWEST!AL23, LPN!AL23,SPN!AL23,EPN!AL23,SPD!AL23,SPMW!AL23,SSEH!AL23,SSES!AL23)</f>
        <v>2.6669305420740144</v>
      </c>
      <c r="AM23" s="224">
        <f>CHOOSE(m_identity,ENWL!AM23, NPgN!AM23, NPgY!AM23, WMID!AM23, EMID!AM23, SWALES!AM23, SWEST!AM23, LPN!AM23,SPN!AM23,EPN!AM23,SPD!AM23,SPMW!AM23,SSEH!AM23,SSES!AM23)</f>
        <v>2.9505720007760901</v>
      </c>
      <c r="AN23" s="224">
        <f>CHOOSE(m_identity,ENWL!AN23, NPgN!AN23, NPgY!AN23, WMID!AN23, EMID!AN23, SWALES!AN23, SWEST!AN23, LPN!AN23,SPN!AN23,EPN!AN23,SPD!AN23,SPMW!AN23,SSEH!AN23,SSES!AN23)</f>
        <v>2.9554379088445755</v>
      </c>
      <c r="AO23" s="224">
        <f>CHOOSE(m_identity,ENWL!AO23, NPgN!AO23, NPgY!AO23, WMID!AO23, EMID!AO23, SWALES!AO23, SWEST!AO23, LPN!AO23,SPN!AO23,EPN!AO23,SPD!AO23,SPMW!AO23,SSEH!AO23,SSES!AO23)</f>
        <v>2.1746193333421426</v>
      </c>
      <c r="AP23" s="224">
        <f>CHOOSE(m_identity,ENWL!AP23, NPgN!AP23, NPgY!AP23, WMID!AP23, EMID!AP23, SWALES!AP23, SWEST!AP23, LPN!AP23,SPN!AP23,EPN!AP23,SPD!AP23,SPMW!AP23,SSEH!AP23,SSES!AP23)</f>
        <v>0</v>
      </c>
      <c r="AQ23" s="224">
        <f>CHOOSE(m_identity,ENWL!AQ23, NPgN!AQ23, NPgY!AQ23, WMID!AQ23, EMID!AQ23, SWALES!AQ23, SWEST!AQ23, LPN!AQ23,SPN!AQ23,EPN!AQ23,SPD!AQ23,SPMW!AQ23,SSEH!AQ23,SSES!AQ23)</f>
        <v>0</v>
      </c>
    </row>
    <row r="24" spans="4:43" s="158" customFormat="1" ht="15" customHeight="1">
      <c r="D24" s="98"/>
      <c r="E24" s="50" t="s">
        <v>897</v>
      </c>
      <c r="F24" s="286" t="s">
        <v>894</v>
      </c>
      <c r="G24" s="98" t="s">
        <v>844</v>
      </c>
      <c r="H24" s="286" t="s">
        <v>898</v>
      </c>
      <c r="AJ24" s="224">
        <f>CHOOSE(m_identity,ENWL!AJ24, NPgN!AJ24, NPgY!AJ24, WMID!AJ24, EMID!AJ24, SWALES!AJ24, SWEST!AJ24, LPN!AJ24,SPN!AJ24,EPN!AJ24,SPD!AJ24,SPMW!AJ24,SSEH!AJ24,SSES!AJ24)</f>
        <v>0</v>
      </c>
      <c r="AK24" s="224">
        <f>CHOOSE(m_identity,ENWL!AK24, NPgN!AK24, NPgY!AK24, WMID!AK24, EMID!AK24, SWALES!AK24, SWEST!AK24, LPN!AK24,SPN!AK24,EPN!AK24,SPD!AK24,SPMW!AK24,SSEH!AK24,SSES!AK24)</f>
        <v>0</v>
      </c>
      <c r="AL24" s="224">
        <f>CHOOSE(m_identity,ENWL!AL24, NPgN!AL24, NPgY!AL24, WMID!AL24, EMID!AL24, SWALES!AL24, SWEST!AL24, LPN!AL24,SPN!AL24,EPN!AL24,SPD!AL24,SPMW!AL24,SSEH!AL24,SSES!AL24)</f>
        <v>0</v>
      </c>
      <c r="AM24" s="224">
        <f>CHOOSE(m_identity,ENWL!AM24, NPgN!AM24, NPgY!AM24, WMID!AM24, EMID!AM24, SWALES!AM24, SWEST!AM24, LPN!AM24,SPN!AM24,EPN!AM24,SPD!AM24,SPMW!AM24,SSEH!AM24,SSES!AM24)</f>
        <v>0</v>
      </c>
      <c r="AN24" s="224">
        <f>CHOOSE(m_identity,ENWL!AN24, NPgN!AN24, NPgY!AN24, WMID!AN24, EMID!AN24, SWALES!AN24, SWEST!AN24, LPN!AN24,SPN!AN24,EPN!AN24,SPD!AN24,SPMW!AN24,SSEH!AN24,SSES!AN24)</f>
        <v>0</v>
      </c>
      <c r="AO24" s="224">
        <f>CHOOSE(m_identity,ENWL!AO24, NPgN!AO24, NPgY!AO24, WMID!AO24, EMID!AO24, SWALES!AO24, SWEST!AO24, LPN!AO24,SPN!AO24,EPN!AO24,SPD!AO24,SPMW!AO24,SSEH!AO24,SSES!AO24)</f>
        <v>0</v>
      </c>
      <c r="AP24" s="224">
        <f>CHOOSE(m_identity,ENWL!AP24, NPgN!AP24, NPgY!AP24, WMID!AP24, EMID!AP24, SWALES!AP24, SWEST!AP24, LPN!AP24,SPN!AP24,EPN!AP24,SPD!AP24,SPMW!AP24,SSEH!AP24,SSES!AP24)</f>
        <v>0</v>
      </c>
      <c r="AQ24" s="224">
        <f>CHOOSE(m_identity,ENWL!AQ24, NPgN!AQ24, NPgY!AQ24, WMID!AQ24, EMID!AQ24, SWALES!AQ24, SWEST!AQ24, LPN!AQ24,SPN!AQ24,EPN!AQ24,SPD!AQ24,SPMW!AQ24,SSEH!AQ24,SSES!AQ24)</f>
        <v>0</v>
      </c>
    </row>
    <row r="25" spans="4:43" s="151" customFormat="1" ht="15" customHeight="1">
      <c r="E25" s="50" t="s">
        <v>899</v>
      </c>
      <c r="F25" s="286" t="s">
        <v>901</v>
      </c>
      <c r="G25" s="158" t="s">
        <v>844</v>
      </c>
      <c r="H25" s="286" t="s">
        <v>900</v>
      </c>
      <c r="J25" s="14"/>
      <c r="K25" s="14"/>
      <c r="L25" s="14"/>
      <c r="M25" s="14"/>
      <c r="N25" s="14"/>
      <c r="O25" s="14"/>
      <c r="P25" s="14"/>
      <c r="Q25" s="14"/>
      <c r="R25" s="14"/>
      <c r="S25" s="14"/>
      <c r="T25" s="14"/>
      <c r="U25" s="14"/>
      <c r="V25" s="14"/>
      <c r="W25" s="14"/>
      <c r="X25" s="14"/>
      <c r="Y25" s="14"/>
      <c r="Z25" s="14"/>
      <c r="AJ25" s="224">
        <f>CHOOSE(m_identity,ENWL!AJ25, NPgN!AJ25, NPgY!AJ25, WMID!AJ25, EMID!AJ25, SWALES!AJ25, SWEST!AJ25, LPN!AJ25,SPN!AJ25,EPN!AJ25,SPD!AJ25,SPMW!AJ25,SSEH!AJ25,SSES!AJ25)</f>
        <v>27.004944225494526</v>
      </c>
      <c r="AK25" s="224">
        <f>CHOOSE(m_identity,ENWL!AK25, NPgN!AK25, NPgY!AK25, WMID!AK25, EMID!AK25, SWALES!AK25, SWEST!AK25, LPN!AK25,SPN!AK25,EPN!AK25,SPD!AK25,SPMW!AK25,SSEH!AK25,SSES!AK25)</f>
        <v>35.56153439346658</v>
      </c>
      <c r="AL25" s="224">
        <f>CHOOSE(m_identity,ENWL!AL25, NPgN!AL25, NPgY!AL25, WMID!AL25, EMID!AL25, SWALES!AL25, SWEST!AL25, LPN!AL25,SPN!AL25,EPN!AL25,SPD!AL25,SPMW!AL25,SSEH!AL25,SSES!AL25)</f>
        <v>36.979247311328116</v>
      </c>
      <c r="AM25" s="224">
        <f>CHOOSE(m_identity,ENWL!AM25, NPgN!AM25, NPgY!AM25, WMID!AM25, EMID!AM25, SWALES!AM25, SWEST!AM25, LPN!AM25,SPN!AM25,EPN!AM25,SPD!AM25,SPMW!AM25,SSEH!AM25,SSES!AM25)</f>
        <v>27.410152531856969</v>
      </c>
      <c r="AN25" s="224">
        <f>CHOOSE(m_identity,ENWL!AN25, NPgN!AN25, NPgY!AN25, WMID!AN25, EMID!AN25, SWALES!AN25, SWEST!AN25, LPN!AN25,SPN!AN25,EPN!AN25,SPD!AN25,SPMW!AN25,SSEH!AN25,SSES!AN25)</f>
        <v>22.557307318170174</v>
      </c>
      <c r="AO25" s="224">
        <f>CHOOSE(m_identity,ENWL!AO25, NPgN!AO25, NPgY!AO25, WMID!AO25, EMID!AO25, SWALES!AO25, SWEST!AO25, LPN!AO25,SPN!AO25,EPN!AO25,SPD!AO25,SPMW!AO25,SSEH!AO25,SSES!AO25)</f>
        <v>22.496902555508203</v>
      </c>
      <c r="AP25" s="224">
        <f>CHOOSE(m_identity,ENWL!AP25, NPgN!AP25, NPgY!AP25, WMID!AP25, EMID!AP25, SWALES!AP25, SWEST!AP25, LPN!AP25,SPN!AP25,EPN!AP25,SPD!AP25,SPMW!AP25,SSEH!AP25,SSES!AP25)</f>
        <v>29.880221071090336</v>
      </c>
      <c r="AQ25" s="224">
        <f>CHOOSE(m_identity,ENWL!AQ25, NPgN!AQ25, NPgY!AQ25, WMID!AQ25, EMID!AQ25, SWALES!AQ25, SWEST!AQ25, LPN!AQ25,SPN!AQ25,EPN!AQ25,SPD!AQ25,SPMW!AQ25,SSEH!AQ25,SSES!AQ25)</f>
        <v>28.042831769747085</v>
      </c>
    </row>
    <row r="26" spans="4:43" s="151" customFormat="1" ht="15" customHeight="1">
      <c r="E26" s="50" t="s">
        <v>1011</v>
      </c>
      <c r="F26" s="568"/>
      <c r="G26" s="158" t="s">
        <v>844</v>
      </c>
      <c r="H26" s="286" t="s">
        <v>1010</v>
      </c>
      <c r="J26" s="14"/>
      <c r="K26" s="14"/>
      <c r="L26" s="14"/>
      <c r="M26" s="14"/>
      <c r="N26" s="14"/>
      <c r="O26" s="14"/>
      <c r="P26" s="14"/>
      <c r="Q26" s="14"/>
      <c r="R26" s="14"/>
      <c r="S26" s="14"/>
      <c r="T26" s="14"/>
      <c r="U26" s="14"/>
      <c r="V26" s="14"/>
      <c r="W26" s="14"/>
      <c r="X26" s="14"/>
      <c r="Y26" s="14"/>
      <c r="Z26" s="14"/>
      <c r="AJ26" s="224">
        <f>CHOOSE(m_identity,ENWL!AJ26, NPgN!AJ26, NPgY!AJ26, WMID!AJ26, EMID!AJ26, SWALES!AJ26, SWEST!AJ26, LPN!AJ26,SPN!AJ26,EPN!AJ26,SPD!AJ26,SPMW!AJ26,SSEH!AJ26,SSES!AJ26)</f>
        <v>0</v>
      </c>
      <c r="AK26" s="224">
        <f>CHOOSE(m_identity,ENWL!AK26, NPgN!AK26, NPgY!AK26, WMID!AK26, EMID!AK26, SWALES!AK26, SWEST!AK26, LPN!AK26,SPN!AK26,EPN!AK26,SPD!AK26,SPMW!AK26,SSEH!AK26,SSES!AK26)</f>
        <v>0</v>
      </c>
      <c r="AL26" s="224">
        <f>CHOOSE(m_identity,ENWL!AL26, NPgN!AL26, NPgY!AL26, WMID!AL26, EMID!AL26, SWALES!AL26, SWEST!AL26, LPN!AL26,SPN!AL26,EPN!AL26,SPD!AL26,SPMW!AL26,SSEH!AL26,SSES!AL26)</f>
        <v>0</v>
      </c>
      <c r="AM26" s="224">
        <f>CHOOSE(m_identity,ENWL!AM26, NPgN!AM26, NPgY!AM26, WMID!AM26, EMID!AM26, SWALES!AM26, SWEST!AM26, LPN!AM26,SPN!AM26,EPN!AM26,SPD!AM26,SPMW!AM26,SSEH!AM26,SSES!AM26)</f>
        <v>0</v>
      </c>
      <c r="AN26" s="224">
        <f>CHOOSE(m_identity,ENWL!AN26, NPgN!AN26, NPgY!AN26, WMID!AN26, EMID!AN26, SWALES!AN26, SWEST!AN26, LPN!AN26,SPN!AN26,EPN!AN26,SPD!AN26,SPMW!AN26,SSEH!AN26,SSES!AN26)</f>
        <v>0</v>
      </c>
      <c r="AO26" s="224">
        <f>CHOOSE(m_identity,ENWL!AO26, NPgN!AO26, NPgY!AO26, WMID!AO26, EMID!AO26, SWALES!AO26, SWEST!AO26, LPN!AO26,SPN!AO26,EPN!AO26,SPD!AO26,SPMW!AO26,SSEH!AO26,SSES!AO26)</f>
        <v>0</v>
      </c>
      <c r="AP26" s="224">
        <f>CHOOSE(m_identity,ENWL!AP26, NPgN!AP26, NPgY!AP26, WMID!AP26, EMID!AP26, SWALES!AP26, SWEST!AP26, LPN!AP26,SPN!AP26,EPN!AP26,SPD!AP26,SPMW!AP26,SSEH!AP26,SSES!AP26)</f>
        <v>0</v>
      </c>
      <c r="AQ26" s="224">
        <f>CHOOSE(m_identity,ENWL!AQ26, NPgN!AQ26, NPgY!AQ26, WMID!AQ26, EMID!AQ26, SWALES!AQ26, SWEST!AQ26, LPN!AQ26,SPN!AQ26,EPN!AQ26,SPD!AQ26,SPMW!AQ26,SSEH!AQ26,SSES!AQ26)</f>
        <v>0</v>
      </c>
    </row>
    <row r="27" spans="4:43" ht="15" customHeight="1">
      <c r="D27" s="158"/>
      <c r="E27" s="156" t="s">
        <v>742</v>
      </c>
      <c r="F27" s="286" t="s">
        <v>790</v>
      </c>
      <c r="G27" s="98" t="s">
        <v>844</v>
      </c>
      <c r="H27" s="286" t="s">
        <v>791</v>
      </c>
      <c r="AJ27" s="224">
        <f>CHOOSE(m_identity,ENWL!AJ27, NPgN!AJ27, NPgY!AJ27, WMID!AJ27, EMID!AJ27, SWALES!AJ27, SWEST!AJ27, LPN!AJ27,SPN!AJ27,EPN!AJ27,SPD!AJ27,SPMW!AJ27,SSEH!AJ27,SSES!AJ27)</f>
        <v>0</v>
      </c>
      <c r="AK27" s="224">
        <f>CHOOSE(m_identity,ENWL!AK27, NPgN!AK27, NPgY!AK27, WMID!AK27, EMID!AK27, SWALES!AK27, SWEST!AK27, LPN!AK27,SPN!AK27,EPN!AK27,SPD!AK27,SPMW!AK27,SSEH!AK27,SSES!AK27)</f>
        <v>0</v>
      </c>
      <c r="AL27" s="224">
        <f>CHOOSE(m_identity,ENWL!AL27, NPgN!AL27, NPgY!AL27, WMID!AL27, EMID!AL27, SWALES!AL27, SWEST!AL27, LPN!AL27,SPN!AL27,EPN!AL27,SPD!AL27,SPMW!AL27,SSEH!AL27,SSES!AL27)</f>
        <v>0</v>
      </c>
      <c r="AM27" s="224">
        <f>CHOOSE(m_identity,ENWL!AM27, NPgN!AM27, NPgY!AM27, WMID!AM27, EMID!AM27, SWALES!AM27, SWEST!AM27, LPN!AM27,SPN!AM27,EPN!AM27,SPD!AM27,SPMW!AM27,SSEH!AM27,SSES!AM27)</f>
        <v>0</v>
      </c>
      <c r="AN27" s="224">
        <f>CHOOSE(m_identity,ENWL!AN27, NPgN!AN27, NPgY!AN27, WMID!AN27, EMID!AN27, SWALES!AN27, SWEST!AN27, LPN!AN27,SPN!AN27,EPN!AN27,SPD!AN27,SPMW!AN27,SSEH!AN27,SSES!AN27)</f>
        <v>0</v>
      </c>
      <c r="AO27" s="224">
        <f>CHOOSE(m_identity,ENWL!AO27, NPgN!AO27, NPgY!AO27, WMID!AO27, EMID!AO27, SWALES!AO27, SWEST!AO27, LPN!AO27,SPN!AO27,EPN!AO27,SPD!AO27,SPMW!AO27,SSEH!AO27,SSES!AO27)</f>
        <v>0</v>
      </c>
      <c r="AP27" s="224">
        <f>CHOOSE(m_identity,ENWL!AP27, NPgN!AP27, NPgY!AP27, WMID!AP27, EMID!AP27, SWALES!AP27, SWEST!AP27, LPN!AP27,SPN!AP27,EPN!AP27,SPD!AP27,SPMW!AP27,SSEH!AP27,SSES!AP27)</f>
        <v>0</v>
      </c>
      <c r="AQ27" s="224">
        <f>CHOOSE(m_identity,ENWL!AQ27, NPgN!AQ27, NPgY!AQ27, WMID!AQ27, EMID!AQ27, SWALES!AQ27, SWEST!AQ27, LPN!AQ27,SPN!AQ27,EPN!AQ27,SPD!AQ27,SPMW!AQ27,SSEH!AQ27,SSES!AQ27)</f>
        <v>0</v>
      </c>
    </row>
    <row r="28" spans="4:43" s="158" customFormat="1" ht="15" customHeight="1">
      <c r="E28" s="156" t="s">
        <v>743</v>
      </c>
      <c r="F28" s="286" t="s">
        <v>790</v>
      </c>
      <c r="G28" s="98" t="s">
        <v>844</v>
      </c>
      <c r="H28" s="286" t="s">
        <v>791</v>
      </c>
      <c r="AJ28" s="224">
        <f>CHOOSE(m_identity,ENWL!AJ28, NPgN!AJ28, NPgY!AJ28, WMID!AJ28, EMID!AJ28, SWALES!AJ28, SWEST!AJ28, LPN!AJ28,SPN!AJ28,EPN!AJ28,SPD!AJ28,SPMW!AJ28,SSEH!AJ28,SSES!AJ28)</f>
        <v>0</v>
      </c>
      <c r="AK28" s="224">
        <f>CHOOSE(m_identity,ENWL!AK28, NPgN!AK28, NPgY!AK28, WMID!AK28, EMID!AK28, SWALES!AK28, SWEST!AK28, LPN!AK28,SPN!AK28,EPN!AK28,SPD!AK28,SPMW!AK28,SSEH!AK28,SSES!AK28)</f>
        <v>0</v>
      </c>
      <c r="AL28" s="224">
        <f>CHOOSE(m_identity,ENWL!AL28, NPgN!AL28, NPgY!AL28, WMID!AL28, EMID!AL28, SWALES!AL28, SWEST!AL28, LPN!AL28,SPN!AL28,EPN!AL28,SPD!AL28,SPMW!AL28,SSEH!AL28,SSES!AL28)</f>
        <v>0</v>
      </c>
      <c r="AM28" s="224">
        <f>CHOOSE(m_identity,ENWL!AM28, NPgN!AM28, NPgY!AM28, WMID!AM28, EMID!AM28, SWALES!AM28, SWEST!AM28, LPN!AM28,SPN!AM28,EPN!AM28,SPD!AM28,SPMW!AM28,SSEH!AM28,SSES!AM28)</f>
        <v>0</v>
      </c>
      <c r="AN28" s="224">
        <f>CHOOSE(m_identity,ENWL!AN28, NPgN!AN28, NPgY!AN28, WMID!AN28, EMID!AN28, SWALES!AN28, SWEST!AN28, LPN!AN28,SPN!AN28,EPN!AN28,SPD!AN28,SPMW!AN28,SSEH!AN28,SSES!AN28)</f>
        <v>0</v>
      </c>
      <c r="AO28" s="224">
        <f>CHOOSE(m_identity,ENWL!AO28, NPgN!AO28, NPgY!AO28, WMID!AO28, EMID!AO28, SWALES!AO28, SWEST!AO28, LPN!AO28,SPN!AO28,EPN!AO28,SPD!AO28,SPMW!AO28,SSEH!AO28,SSES!AO28)</f>
        <v>0</v>
      </c>
      <c r="AP28" s="224">
        <f>CHOOSE(m_identity,ENWL!AP28, NPgN!AP28, NPgY!AP28, WMID!AP28, EMID!AP28, SWALES!AP28, SWEST!AP28, LPN!AP28,SPN!AP28,EPN!AP28,SPD!AP28,SPMW!AP28,SSEH!AP28,SSES!AP28)</f>
        <v>0</v>
      </c>
      <c r="AQ28" s="224">
        <f>CHOOSE(m_identity,ENWL!AQ28, NPgN!AQ28, NPgY!AQ28, WMID!AQ28, EMID!AQ28, SWALES!AQ28, SWEST!AQ28, LPN!AQ28,SPN!AQ28,EPN!AQ28,SPD!AQ28,SPMW!AQ28,SSEH!AQ28,SSES!AQ28)</f>
        <v>0</v>
      </c>
    </row>
    <row r="29" spans="4:43" s="158" customFormat="1" ht="15" customHeight="1">
      <c r="E29" s="156" t="s">
        <v>744</v>
      </c>
      <c r="F29" s="286" t="s">
        <v>790</v>
      </c>
      <c r="G29" s="98" t="s">
        <v>844</v>
      </c>
      <c r="H29" s="286" t="s">
        <v>791</v>
      </c>
      <c r="AJ29" s="224">
        <f>CHOOSE(m_identity,ENWL!AJ29, NPgN!AJ29, NPgY!AJ29, WMID!AJ29, EMID!AJ29, SWALES!AJ29, SWEST!AJ29, LPN!AJ29,SPN!AJ29,EPN!AJ29,SPD!AJ29,SPMW!AJ29,SSEH!AJ29,SSES!AJ29)</f>
        <v>0</v>
      </c>
      <c r="AK29" s="224">
        <f>CHOOSE(m_identity,ENWL!AK29, NPgN!AK29, NPgY!AK29, WMID!AK29, EMID!AK29, SWALES!AK29, SWEST!AK29, LPN!AK29,SPN!AK29,EPN!AK29,SPD!AK29,SPMW!AK29,SSEH!AK29,SSES!AK29)</f>
        <v>0</v>
      </c>
      <c r="AL29" s="224">
        <f>CHOOSE(m_identity,ENWL!AL29, NPgN!AL29, NPgY!AL29, WMID!AL29, EMID!AL29, SWALES!AL29, SWEST!AL29, LPN!AL29,SPN!AL29,EPN!AL29,SPD!AL29,SPMW!AL29,SSEH!AL29,SSES!AL29)</f>
        <v>0</v>
      </c>
      <c r="AM29" s="224">
        <f>CHOOSE(m_identity,ENWL!AM29, NPgN!AM29, NPgY!AM29, WMID!AM29, EMID!AM29, SWALES!AM29, SWEST!AM29, LPN!AM29,SPN!AM29,EPN!AM29,SPD!AM29,SPMW!AM29,SSEH!AM29,SSES!AM29)</f>
        <v>0</v>
      </c>
      <c r="AN29" s="224">
        <f>CHOOSE(m_identity,ENWL!AN29, NPgN!AN29, NPgY!AN29, WMID!AN29, EMID!AN29, SWALES!AN29, SWEST!AN29, LPN!AN29,SPN!AN29,EPN!AN29,SPD!AN29,SPMW!AN29,SSEH!AN29,SSES!AN29)</f>
        <v>0</v>
      </c>
      <c r="AO29" s="224">
        <f>CHOOSE(m_identity,ENWL!AO29, NPgN!AO29, NPgY!AO29, WMID!AO29, EMID!AO29, SWALES!AO29, SWEST!AO29, LPN!AO29,SPN!AO29,EPN!AO29,SPD!AO29,SPMW!AO29,SSEH!AO29,SSES!AO29)</f>
        <v>0</v>
      </c>
      <c r="AP29" s="224">
        <f>CHOOSE(m_identity,ENWL!AP29, NPgN!AP29, NPgY!AP29, WMID!AP29, EMID!AP29, SWALES!AP29, SWEST!AP29, LPN!AP29,SPN!AP29,EPN!AP29,SPD!AP29,SPMW!AP29,SSEH!AP29,SSES!AP29)</f>
        <v>0</v>
      </c>
      <c r="AQ29" s="224">
        <f>CHOOSE(m_identity,ENWL!AQ29, NPgN!AQ29, NPgY!AQ29, WMID!AQ29, EMID!AQ29, SWALES!AQ29, SWEST!AQ29, LPN!AQ29,SPN!AQ29,EPN!AQ29,SPD!AQ29,SPMW!AQ29,SSEH!AQ29,SSES!AQ29)</f>
        <v>0</v>
      </c>
    </row>
    <row r="30" spans="4:43" s="158" customFormat="1" ht="15" customHeight="1">
      <c r="D30" s="98"/>
      <c r="E30" s="50" t="s">
        <v>888</v>
      </c>
      <c r="F30" s="286" t="s">
        <v>891</v>
      </c>
      <c r="G30" s="98" t="s">
        <v>844</v>
      </c>
      <c r="H30" s="286" t="s">
        <v>561</v>
      </c>
      <c r="AJ30" s="224">
        <f>CHOOSE(m_identity,ENWL!AJ30, NPgN!AJ30, NPgY!AJ30, WMID!AJ30, EMID!AJ30, SWALES!AJ30, SWEST!AJ30, LPN!AJ30,SPN!AJ30,EPN!AJ30,SPD!AJ30,SPMW!AJ30,SSEH!AJ30,SSES!AJ30)</f>
        <v>0</v>
      </c>
      <c r="AK30" s="224">
        <f>CHOOSE(m_identity,ENWL!AK30, NPgN!AK30, NPgY!AK30, WMID!AK30, EMID!AK30, SWALES!AK30, SWEST!AK30, LPN!AK30,SPN!AK30,EPN!AK30,SPD!AK30,SPMW!AK30,SSEH!AK30,SSES!AK30)</f>
        <v>0</v>
      </c>
      <c r="AL30" s="224">
        <f>CHOOSE(m_identity,ENWL!AL30, NPgN!AL30, NPgY!AL30, WMID!AL30, EMID!AL30, SWALES!AL30, SWEST!AL30, LPN!AL30,SPN!AL30,EPN!AL30,SPD!AL30,SPMW!AL30,SSEH!AL30,SSES!AL30)</f>
        <v>0</v>
      </c>
      <c r="AM30" s="224">
        <f>CHOOSE(m_identity,ENWL!AM30, NPgN!AM30, NPgY!AM30, WMID!AM30, EMID!AM30, SWALES!AM30, SWEST!AM30, LPN!AM30,SPN!AM30,EPN!AM30,SPD!AM30,SPMW!AM30,SSEH!AM30,SSES!AM30)</f>
        <v>0</v>
      </c>
      <c r="AN30" s="224">
        <f>CHOOSE(m_identity,ENWL!AN30, NPgN!AN30, NPgY!AN30, WMID!AN30, EMID!AN30, SWALES!AN30, SWEST!AN30, LPN!AN30,SPN!AN30,EPN!AN30,SPD!AN30,SPMW!AN30,SSEH!AN30,SSES!AN30)</f>
        <v>0</v>
      </c>
      <c r="AO30" s="224">
        <f>CHOOSE(m_identity,ENWL!AO30, NPgN!AO30, NPgY!AO30, WMID!AO30, EMID!AO30, SWALES!AO30, SWEST!AO30, LPN!AO30,SPN!AO30,EPN!AO30,SPD!AO30,SPMW!AO30,SSEH!AO30,SSES!AO30)</f>
        <v>0</v>
      </c>
      <c r="AP30" s="224">
        <f>CHOOSE(m_identity,ENWL!AP30, NPgN!AP30, NPgY!AP30, WMID!AP30, EMID!AP30, SWALES!AP30, SWEST!AP30, LPN!AP30,SPN!AP30,EPN!AP30,SPD!AP30,SPMW!AP30,SSEH!AP30,SSES!AP30)</f>
        <v>0</v>
      </c>
      <c r="AQ30" s="224">
        <f>CHOOSE(m_identity,ENWL!AQ30, NPgN!AQ30, NPgY!AQ30, WMID!AQ30, EMID!AQ30, SWALES!AQ30, SWEST!AQ30, LPN!AQ30,SPN!AQ30,EPN!AQ30,SPD!AQ30,SPMW!AQ30,SSEH!AQ30,SSES!AQ30)</f>
        <v>0</v>
      </c>
    </row>
    <row r="31" spans="4:43" ht="15" customHeight="1">
      <c r="E31" s="158" t="s">
        <v>887</v>
      </c>
      <c r="F31" s="286" t="s">
        <v>883</v>
      </c>
      <c r="G31" s="195" t="s">
        <v>844</v>
      </c>
      <c r="H31" s="286" t="s">
        <v>882</v>
      </c>
      <c r="I31" s="158"/>
      <c r="J31" s="158"/>
      <c r="K31" s="158"/>
      <c r="L31" s="158"/>
      <c r="O31" s="158"/>
      <c r="P31" s="158"/>
      <c r="Q31" s="158"/>
      <c r="R31" s="158"/>
      <c r="S31" s="158"/>
      <c r="T31" s="158"/>
      <c r="U31" s="158"/>
      <c r="V31" s="158"/>
      <c r="W31" s="158"/>
      <c r="X31" s="158"/>
      <c r="Y31" s="158"/>
      <c r="Z31" s="158"/>
      <c r="AA31" s="158"/>
      <c r="AB31" s="158"/>
      <c r="AC31" s="158"/>
      <c r="AD31" s="158"/>
      <c r="AE31" s="158"/>
      <c r="AF31" s="158"/>
      <c r="AG31" s="158"/>
      <c r="AH31" s="158"/>
      <c r="AI31" s="158"/>
      <c r="AJ31" s="224">
        <f>CHOOSE(m_identity,ENWL!AJ31, NPgN!AJ31, NPgY!AJ31, WMID!AJ31, EMID!AJ31, SWALES!AJ31, SWEST!AJ31, LPN!AJ31,SPN!AJ31,EPN!AJ31,SPD!AJ31,SPMW!AJ31,SSEH!AJ31,SSES!AJ31)</f>
        <v>31.195491306318768</v>
      </c>
      <c r="AK31" s="224">
        <f>CHOOSE(m_identity,ENWL!AK31, NPgN!AK31, NPgY!AK31, WMID!AK31, EMID!AK31, SWALES!AK31, SWEST!AK31, LPN!AK31,SPN!AK31,EPN!AK31,SPD!AK31,SPMW!AK31,SSEH!AK31,SSES!AK31)</f>
        <v>31.195491306318768</v>
      </c>
      <c r="AL31" s="224">
        <f>CHOOSE(m_identity,ENWL!AL31, NPgN!AL31, NPgY!AL31, WMID!AL31, EMID!AL31, SWALES!AL31, SWEST!AL31, LPN!AL31,SPN!AL31,EPN!AL31,SPD!AL31,SPMW!AL31,SSEH!AL31,SSES!AL31)</f>
        <v>31.195491306318768</v>
      </c>
      <c r="AM31" s="224">
        <f>CHOOSE(m_identity,ENWL!AM31, NPgN!AM31, NPgY!AM31, WMID!AM31, EMID!AM31, SWALES!AM31, SWEST!AM31, LPN!AM31,SPN!AM31,EPN!AM31,SPD!AM31,SPMW!AM31,SSEH!AM31,SSES!AM31)</f>
        <v>31.195491306318768</v>
      </c>
      <c r="AN31" s="224">
        <f>CHOOSE(m_identity,ENWL!AN31, NPgN!AN31, NPgY!AN31, WMID!AN31, EMID!AN31, SWALES!AN31, SWEST!AN31, LPN!AN31,SPN!AN31,EPN!AN31,SPD!AN31,SPMW!AN31,SSEH!AN31,SSES!AN31)</f>
        <v>31.195491306318768</v>
      </c>
      <c r="AO31" s="224">
        <f>CHOOSE(m_identity,ENWL!AO31, NPgN!AO31, NPgY!AO31, WMID!AO31, EMID!AO31, SWALES!AO31, SWEST!AO31, LPN!AO31,SPN!AO31,EPN!AO31,SPD!AO31,SPMW!AO31,SSEH!AO31,SSES!AO31)</f>
        <v>31.195491306318768</v>
      </c>
      <c r="AP31" s="224">
        <f>CHOOSE(m_identity,ENWL!AP31, NPgN!AP31, NPgY!AP31, WMID!AP31, EMID!AP31, SWALES!AP31, SWEST!AP31, LPN!AP31,SPN!AP31,EPN!AP31,SPD!AP31,SPMW!AP31,SSEH!AP31,SSES!AP31)</f>
        <v>31.195491306318768</v>
      </c>
      <c r="AQ31" s="224">
        <f>CHOOSE(m_identity,ENWL!AQ31, NPgN!AQ31, NPgY!AQ31, WMID!AQ31, EMID!AQ31, SWALES!AQ31, SWEST!AQ31, LPN!AQ31,SPN!AQ31,EPN!AQ31,SPD!AQ31,SPMW!AQ31,SSEH!AQ31,SSES!AQ31)</f>
        <v>31.195491306318768</v>
      </c>
    </row>
    <row r="32" spans="4:43" ht="15" customHeight="1">
      <c r="E32" s="535" t="s">
        <v>946</v>
      </c>
      <c r="F32" s="286" t="s">
        <v>911</v>
      </c>
      <c r="G32" s="98" t="s">
        <v>844</v>
      </c>
      <c r="H32" s="286" t="s">
        <v>947</v>
      </c>
      <c r="AJ32" s="224">
        <f>CHOOSE(m_identity,ENWL!AJ32, NPgN!AJ32, NPgY!AJ32, WMID!AJ32, EMID!AJ32, SWALES!AJ32, SWEST!AJ32, LPN!AJ32,SPN!AJ32,EPN!AJ32,SPD!AJ32,SPMW!AJ32,SSEH!AJ32,SSES!AJ32)</f>
        <v>0</v>
      </c>
      <c r="AK32" s="93"/>
      <c r="AL32" s="93"/>
      <c r="AM32" s="93"/>
      <c r="AN32" s="93"/>
      <c r="AO32" s="93"/>
      <c r="AP32" s="93"/>
      <c r="AQ32" s="93"/>
    </row>
    <row r="33" spans="2:44" ht="15" customHeight="1">
      <c r="E33" s="535" t="s">
        <v>948</v>
      </c>
      <c r="F33" s="286" t="s">
        <v>911</v>
      </c>
      <c r="G33" s="98" t="s">
        <v>844</v>
      </c>
      <c r="H33" s="286" t="s">
        <v>949</v>
      </c>
      <c r="AH33" s="224">
        <f>CHOOSE(m_identity,ENWL!AH33, NPgN!AH33, NPgY!AH33, WMID!AH33, EMID!AH33, SWALES!AH33, SWEST!AH33, LPN!AH33,SPN!AH33,EPN!AH33,SPD!AH33,SPMW!AH33,SSEH!AH33,SSES!AH33)</f>
        <v>0</v>
      </c>
      <c r="AI33" s="224">
        <f>CHOOSE(m_identity,ENWL!AI33, NPgN!AI33, NPgY!AI33, WMID!AI33, EMID!AI33, SWALES!AI33, SWEST!AI33, LPN!AI33,SPN!AI33,EPN!AI33,SPD!AI33,SPMW!AI33,SSEH!AI33,SSES!AI33)</f>
        <v>0</v>
      </c>
      <c r="AJ33" s="93"/>
      <c r="AK33" s="93"/>
      <c r="AL33" s="93"/>
      <c r="AM33" s="93"/>
      <c r="AN33" s="93"/>
      <c r="AO33" s="93"/>
      <c r="AP33" s="93"/>
      <c r="AQ33" s="93"/>
    </row>
    <row r="34" spans="2:44" s="158" customFormat="1" ht="15" customHeight="1">
      <c r="E34" s="535" t="s">
        <v>950</v>
      </c>
      <c r="F34" s="286" t="s">
        <v>911</v>
      </c>
      <c r="G34" s="98" t="s">
        <v>844</v>
      </c>
      <c r="H34" s="525" t="s">
        <v>951</v>
      </c>
      <c r="AH34" s="498"/>
      <c r="AI34" s="498"/>
      <c r="AJ34" s="224">
        <f>CHOOSE(m_identity,ENWL!AJ34, NPgN!AJ34, NPgY!AJ34, WMID!AJ34, EMID!AJ34, SWALES!AJ34, SWEST!AJ34, LPN!AJ34,SPN!AJ34,EPN!AJ34,SPD!AJ34,SPMW!AJ34,SSEH!AJ34,SSES!AJ34)</f>
        <v>0</v>
      </c>
      <c r="AK34" s="93"/>
      <c r="AL34" s="93"/>
      <c r="AM34" s="93"/>
      <c r="AN34" s="93"/>
      <c r="AO34" s="93"/>
      <c r="AP34" s="93"/>
      <c r="AQ34" s="93"/>
    </row>
    <row r="35" spans="2:44" s="158" customFormat="1" ht="15" customHeight="1">
      <c r="E35" s="535" t="s">
        <v>952</v>
      </c>
      <c r="F35" s="286" t="s">
        <v>911</v>
      </c>
      <c r="G35" s="98" t="s">
        <v>844</v>
      </c>
      <c r="H35" s="525" t="s">
        <v>953</v>
      </c>
      <c r="AH35" s="224">
        <f>CHOOSE(m_identity,ENWL!AH35, NPgN!AH35, NPgY!AH35, WMID!AH35, EMID!AH35, SWALES!AH35, SWEST!AH35, LPN!AH35,SPN!AH35,EPN!AH35,SPD!AH35,SPMW!AH35,SSEH!AH35,SSES!AH35)</f>
        <v>0</v>
      </c>
      <c r="AI35" s="224">
        <f>CHOOSE(m_identity,ENWL!AI35, NPgN!AI35, NPgY!AI35, WMID!AI35, EMID!AI35, SWALES!AI35, SWEST!AI35, LPN!AI35,SPN!AI35,EPN!AI35,SPD!AI35,SPMW!AI35,SSEH!AI35,SSES!AI35)</f>
        <v>0</v>
      </c>
      <c r="AJ35" s="93"/>
      <c r="AK35" s="93"/>
      <c r="AL35" s="93"/>
      <c r="AM35" s="93"/>
      <c r="AN35" s="93"/>
      <c r="AO35" s="93"/>
      <c r="AP35" s="93"/>
      <c r="AQ35" s="93"/>
    </row>
    <row r="36" spans="2:44" ht="15" customHeight="1">
      <c r="E36" s="296" t="s">
        <v>885</v>
      </c>
      <c r="F36" s="286" t="s">
        <v>883</v>
      </c>
      <c r="G36" s="195" t="s">
        <v>27</v>
      </c>
      <c r="H36" s="522" t="s">
        <v>559</v>
      </c>
      <c r="AJ36" s="224">
        <f>CHOOSE(m_identity,ENWL!AJ36, NPgN!AJ36, NPgY!AJ36, WMID!AJ36, EMID!AJ36, SWALES!AJ36, SWEST!AJ36, LPN!AJ36,SPN!AJ36,EPN!AJ36,SPD!AJ36,SPMW!AJ36,SSEH!AJ36,SSES!AJ36)</f>
        <v>0</v>
      </c>
      <c r="AK36" s="224">
        <f>CHOOSE(m_identity,ENWL!AK36, NPgN!AK36, NPgY!AK36, WMID!AK36, EMID!AK36, SWALES!AK36, SWEST!AK36, LPN!AK36,SPN!AK36,EPN!AK36,SPD!AK36,SPMW!AK36,SSEH!AK36,SSES!AK36)</f>
        <v>0</v>
      </c>
      <c r="AL36" s="224">
        <f>CHOOSE(m_identity,ENWL!AL36, NPgN!AL36, NPgY!AL36, WMID!AL36, EMID!AL36, SWALES!AL36, SWEST!AL36, LPN!AL36,SPN!AL36,EPN!AL36,SPD!AL36,SPMW!AL36,SSEH!AL36,SSES!AL36)</f>
        <v>0</v>
      </c>
      <c r="AM36" s="224">
        <f>CHOOSE(m_identity,ENWL!AM36, NPgN!AM36, NPgY!AM36, WMID!AM36, EMID!AM36, SWALES!AM36, SWEST!AM36, LPN!AM36,SPN!AM36,EPN!AM36,SPD!AM36,SPMW!AM36,SSEH!AM36,SSES!AM36)</f>
        <v>0</v>
      </c>
      <c r="AN36" s="224">
        <f>CHOOSE(m_identity,ENWL!AN36, NPgN!AN36, NPgY!AN36, WMID!AN36, EMID!AN36, SWALES!AN36, SWEST!AN36, LPN!AN36,SPN!AN36,EPN!AN36,SPD!AN36,SPMW!AN36,SSEH!AN36,SSES!AN36)</f>
        <v>0</v>
      </c>
      <c r="AO36" s="224">
        <f>CHOOSE(m_identity,ENWL!AO36, NPgN!AO36, NPgY!AO36, WMID!AO36, EMID!AO36, SWALES!AO36, SWEST!AO36, LPN!AO36,SPN!AO36,EPN!AO36,SPD!AO36,SPMW!AO36,SSEH!AO36,SSES!AO36)</f>
        <v>0</v>
      </c>
      <c r="AP36" s="224">
        <f>CHOOSE(m_identity,ENWL!AP36, NPgN!AP36, NPgY!AP36, WMID!AP36, EMID!AP36, SWALES!AP36, SWEST!AP36, LPN!AP36,SPN!AP36,EPN!AP36,SPD!AP36,SPMW!AP36,SSEH!AP36,SSES!AP36)</f>
        <v>0</v>
      </c>
      <c r="AQ36" s="224">
        <f>CHOOSE(m_identity,ENWL!AQ36, NPgN!AQ36, NPgY!AQ36, WMID!AQ36, EMID!AQ36, SWALES!AQ36, SWEST!AQ36, LPN!AQ36,SPN!AQ36,EPN!AQ36,SPD!AQ36,SPMW!AQ36,SSEH!AQ36,SSES!AQ36)</f>
        <v>0</v>
      </c>
    </row>
    <row r="37" spans="2:44" ht="15" customHeight="1">
      <c r="E37" s="158" t="s">
        <v>884</v>
      </c>
      <c r="F37" s="286" t="s">
        <v>883</v>
      </c>
      <c r="G37" s="98" t="s">
        <v>844</v>
      </c>
      <c r="H37" s="286" t="s">
        <v>560</v>
      </c>
      <c r="AJ37" s="224">
        <f>CHOOSE(m_identity,ENWL!AJ37, NPgN!AJ37, NPgY!AJ37, WMID!AJ37, EMID!AJ37, SWALES!AJ37, SWEST!AJ37, LPN!AJ37,SPN!AJ37,EPN!AJ37,SPD!AJ37,SPMW!AJ37,SSEH!AJ37,SSES!AJ37)</f>
        <v>0</v>
      </c>
      <c r="AK37" s="224">
        <f>CHOOSE(m_identity,ENWL!AK37, NPgN!AK37, NPgY!AK37, WMID!AK37, EMID!AK37, SWALES!AK37, SWEST!AK37, LPN!AK37,SPN!AK37,EPN!AK37,SPD!AK37,SPMW!AK37,SSEH!AK37,SSES!AK37)</f>
        <v>0</v>
      </c>
      <c r="AL37" s="224">
        <f>CHOOSE(m_identity,ENWL!AL37, NPgN!AL37, NPgY!AL37, WMID!AL37, EMID!AL37, SWALES!AL37, SWEST!AL37, LPN!AL37,SPN!AL37,EPN!AL37,SPD!AL37,SPMW!AL37,SSEH!AL37,SSES!AL37)</f>
        <v>0</v>
      </c>
      <c r="AM37" s="224">
        <f>CHOOSE(m_identity,ENWL!AM37, NPgN!AM37, NPgY!AM37, WMID!AM37, EMID!AM37, SWALES!AM37, SWEST!AM37, LPN!AM37,SPN!AM37,EPN!AM37,SPD!AM37,SPMW!AM37,SSEH!AM37,SSES!AM37)</f>
        <v>0</v>
      </c>
      <c r="AN37" s="224">
        <f>CHOOSE(m_identity,ENWL!AN37, NPgN!AN37, NPgY!AN37, WMID!AN37, EMID!AN37, SWALES!AN37, SWEST!AN37, LPN!AN37,SPN!AN37,EPN!AN37,SPD!AN37,SPMW!AN37,SSEH!AN37,SSES!AN37)</f>
        <v>0</v>
      </c>
      <c r="AO37" s="224">
        <f>CHOOSE(m_identity,ENWL!AO37, NPgN!AO37, NPgY!AO37, WMID!AO37, EMID!AO37, SWALES!AO37, SWEST!AO37, LPN!AO37,SPN!AO37,EPN!AO37,SPD!AO37,SPMW!AO37,SSEH!AO37,SSES!AO37)</f>
        <v>0</v>
      </c>
      <c r="AP37" s="224">
        <f>CHOOSE(m_identity,ENWL!AP37, NPgN!AP37, NPgY!AP37, WMID!AP37, EMID!AP37, SWALES!AP37, SWEST!AP37, LPN!AP37,SPN!AP37,EPN!AP37,SPD!AP37,SPMW!AP37,SSEH!AP37,SSES!AP37)</f>
        <v>0</v>
      </c>
      <c r="AQ37" s="224">
        <f>CHOOSE(m_identity,ENWL!AQ37, NPgN!AQ37, NPgY!AQ37, WMID!AQ37, EMID!AQ37, SWALES!AQ37, SWEST!AQ37, LPN!AQ37,SPN!AQ37,EPN!AQ37,SPD!AQ37,SPMW!AQ37,SSEH!AQ37,SSES!AQ37)</f>
        <v>0</v>
      </c>
      <c r="AR37" s="158"/>
    </row>
    <row r="38" spans="2:44" s="158" customFormat="1" ht="15" customHeight="1">
      <c r="E38" s="195" t="s">
        <v>912</v>
      </c>
      <c r="F38" s="286" t="s">
        <v>911</v>
      </c>
      <c r="G38" s="98" t="s">
        <v>701</v>
      </c>
      <c r="H38" s="286" t="s">
        <v>913</v>
      </c>
      <c r="AH38" s="224">
        <f>CHOOSE(m_identity,ENWL!AH38, NPgN!AH38, NPgY!AH38, WMID!AH38, EMID!AH38, SWALES!AH38, SWEST!AH38, LPN!AH38,SPN!AH38,EPN!AH38,SPD!AH38,SPMW!AH38,SSEH!AH38,SSES!AH38)</f>
        <v>0</v>
      </c>
      <c r="AI38" s="224">
        <f>CHOOSE(m_identity,ENWL!AI38, NPgN!AI38, NPgY!AI38, WMID!AI38, EMID!AI38, SWALES!AI38, SWEST!AI38, LPN!AI38,SPN!AI38,EPN!AI38,SPD!AI38,SPMW!AI38,SSEH!AI38,SSES!AI38)</f>
        <v>0</v>
      </c>
      <c r="AJ38" s="93"/>
      <c r="AK38" s="93"/>
      <c r="AL38" s="93"/>
      <c r="AM38" s="93"/>
      <c r="AN38" s="93"/>
      <c r="AO38" s="93"/>
      <c r="AP38" s="93"/>
      <c r="AQ38" s="93"/>
    </row>
    <row r="39" spans="2:44" s="158" customFormat="1" ht="15" customHeight="1">
      <c r="E39" s="195" t="s">
        <v>914</v>
      </c>
      <c r="F39" s="286" t="s">
        <v>911</v>
      </c>
      <c r="G39" s="98" t="s">
        <v>701</v>
      </c>
      <c r="H39" s="286" t="s">
        <v>915</v>
      </c>
      <c r="AH39" s="224">
        <f>CHOOSE(m_identity,ENWL!AH39, NPgN!AH39, NPgY!AH39, WMID!AH39, EMID!AH39, SWALES!AH39, SWEST!AH39, LPN!AH39,SPN!AH39,EPN!AH39,SPD!AH39,SPMW!AH39,SSEH!AH39,SSES!AH39)</f>
        <v>0</v>
      </c>
      <c r="AI39" s="224">
        <f>CHOOSE(m_identity,ENWL!AI39, NPgN!AI39, NPgY!AI39, WMID!AI39, EMID!AI39, SWALES!AI39, SWEST!AI39, LPN!AI39,SPN!AI39,EPN!AI39,SPD!AI39,SPMW!AI39,SSEH!AI39,SSES!AI39)</f>
        <v>0</v>
      </c>
      <c r="AJ39" s="93"/>
      <c r="AK39" s="93"/>
      <c r="AL39" s="93"/>
      <c r="AM39" s="93"/>
      <c r="AN39" s="93"/>
      <c r="AO39" s="93"/>
      <c r="AP39" s="93"/>
      <c r="AQ39" s="93"/>
    </row>
    <row r="40" spans="2:44" s="158" customFormat="1" ht="15" customHeight="1">
      <c r="E40" s="195" t="s">
        <v>716</v>
      </c>
      <c r="F40" s="286" t="s">
        <v>911</v>
      </c>
      <c r="G40" s="98" t="s">
        <v>701</v>
      </c>
      <c r="H40" s="286" t="s">
        <v>916</v>
      </c>
      <c r="AH40" s="224">
        <f>CHOOSE(m_identity,ENWL!AH40, NPgN!AH40, NPgY!AH40, WMID!AH40, EMID!AH40, SWALES!AH40, SWEST!AH40, LPN!AH40,SPN!AH40,EPN!AH40,SPD!AH40,SPMW!AH40,SSEH!AH40,SSES!AH40)</f>
        <v>0</v>
      </c>
      <c r="AI40" s="224">
        <f>CHOOSE(m_identity,ENWL!AI40, NPgN!AI40, NPgY!AI40, WMID!AI40, EMID!AI40, SWALES!AI40, SWEST!AI40, LPN!AI40,SPN!AI40,EPN!AI40,SPD!AI40,SPMW!AI40,SSEH!AI40,SSES!AI40)</f>
        <v>0</v>
      </c>
      <c r="AM40" s="93"/>
      <c r="AN40" s="93"/>
      <c r="AO40" s="93"/>
      <c r="AP40" s="93"/>
      <c r="AQ40" s="93"/>
    </row>
    <row r="41" spans="2:44" s="158" customFormat="1" ht="15" customHeight="1">
      <c r="E41" s="195" t="s">
        <v>840</v>
      </c>
      <c r="F41" s="286" t="s">
        <v>911</v>
      </c>
      <c r="G41" s="98" t="s">
        <v>701</v>
      </c>
      <c r="H41" s="286" t="s">
        <v>917</v>
      </c>
      <c r="AH41" s="224">
        <f>CHOOSE(m_identity,ENWL!AH41, NPgN!AH41, NPgY!AH41, WMID!AH41, EMID!AH41, SWALES!AH41, SWEST!AH41, LPN!AH41,SPN!AH41,EPN!AH41,SPD!AH41,SPMW!AH41,SSEH!AH41,SSES!AH41)</f>
        <v>0</v>
      </c>
      <c r="AI41" s="224">
        <f>CHOOSE(m_identity,ENWL!AI41, NPgN!AI41, NPgY!AI41, WMID!AI41, EMID!AI41, SWALES!AI41, SWEST!AI41, LPN!AI41,SPN!AI41,EPN!AI41,SPD!AI41,SPMW!AI41,SSEH!AI41,SSES!AI41)</f>
        <v>0</v>
      </c>
      <c r="AM41" s="93"/>
      <c r="AN41" s="93"/>
      <c r="AO41" s="93"/>
      <c r="AP41" s="93"/>
      <c r="AQ41" s="93"/>
    </row>
    <row r="42" spans="2:44" s="158" customFormat="1" ht="15" customHeight="1">
      <c r="E42" s="23"/>
      <c r="G42" s="55"/>
      <c r="H42" s="285"/>
    </row>
    <row r="43" spans="2:44" ht="15" customHeight="1">
      <c r="B43" s="15" t="s">
        <v>132</v>
      </c>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row>
    <row r="44" spans="2:44" ht="15" customHeight="1">
      <c r="I44" s="158"/>
      <c r="J44" s="158"/>
      <c r="K44" s="158"/>
      <c r="L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row>
    <row r="45" spans="2:44" s="44" customFormat="1" ht="15" customHeight="1">
      <c r="C45" s="17" t="s">
        <v>129</v>
      </c>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row>
    <row r="46" spans="2:44" s="44" customFormat="1" ht="15" customHeight="1">
      <c r="E46" s="3"/>
      <c r="F46" s="3"/>
      <c r="G46" s="3"/>
      <c r="H46" s="3"/>
      <c r="I46" s="3"/>
      <c r="J46" s="33"/>
      <c r="K46" s="33"/>
      <c r="L46" s="33"/>
      <c r="M46" s="33"/>
      <c r="N46" s="33"/>
      <c r="O46" s="33"/>
      <c r="P46" s="33"/>
      <c r="Q46" s="33"/>
      <c r="R46" s="33"/>
      <c r="S46" s="33"/>
      <c r="T46" s="33"/>
      <c r="U46" s="33"/>
      <c r="V46" s="33"/>
      <c r="W46" s="33"/>
      <c r="X46" s="33"/>
      <c r="Y46" s="33"/>
      <c r="Z46" s="33"/>
      <c r="AA46" s="101"/>
      <c r="AB46" s="101"/>
      <c r="AC46" s="101"/>
      <c r="AD46" s="101"/>
      <c r="AE46" s="101"/>
      <c r="AF46" s="101"/>
      <c r="AG46" s="101"/>
      <c r="AH46" s="101"/>
      <c r="AI46" s="101"/>
      <c r="AJ46" s="101"/>
      <c r="AK46" s="101"/>
      <c r="AL46" s="101"/>
      <c r="AM46" s="101"/>
      <c r="AN46" s="101"/>
      <c r="AO46" s="101"/>
      <c r="AP46" s="101"/>
      <c r="AQ46" s="101"/>
    </row>
    <row r="47" spans="2:44" s="44" customFormat="1" ht="15" customHeight="1">
      <c r="E47" s="3" t="s">
        <v>34</v>
      </c>
      <c r="F47" s="3"/>
      <c r="G47" s="3" t="s">
        <v>42</v>
      </c>
      <c r="H47" s="3"/>
      <c r="I47" s="3"/>
      <c r="J47" s="92"/>
      <c r="K47" s="92"/>
      <c r="L47" s="92"/>
      <c r="M47" s="179"/>
      <c r="N47" s="179"/>
      <c r="O47" s="92"/>
      <c r="P47" s="92"/>
      <c r="Q47" s="92"/>
      <c r="R47" s="92"/>
      <c r="S47" s="92"/>
      <c r="T47" s="92"/>
      <c r="U47" s="92"/>
      <c r="V47" s="92"/>
      <c r="W47" s="92"/>
      <c r="X47" s="92"/>
      <c r="Y47" s="92"/>
      <c r="Z47" s="92"/>
      <c r="AA47" s="179"/>
      <c r="AB47" s="179"/>
      <c r="AC47" s="179"/>
      <c r="AD47" s="179"/>
      <c r="AE47" s="179"/>
      <c r="AF47" s="179"/>
      <c r="AG47" s="179"/>
      <c r="AH47" s="179"/>
      <c r="AI47" s="179"/>
      <c r="AJ47" s="325">
        <f t="shared" ref="AJ47:AQ47" si="0">AJ11</f>
        <v>2.7199999999999998E-2</v>
      </c>
      <c r="AK47" s="325">
        <f t="shared" si="0"/>
        <v>2.7199999999999998E-2</v>
      </c>
      <c r="AL47" s="325">
        <f t="shared" si="0"/>
        <v>2.7199999999999998E-2</v>
      </c>
      <c r="AM47" s="325">
        <f t="shared" si="0"/>
        <v>2.7199999999999998E-2</v>
      </c>
      <c r="AN47" s="325">
        <f t="shared" si="0"/>
        <v>2.7199999999999998E-2</v>
      </c>
      <c r="AO47" s="325">
        <f t="shared" si="0"/>
        <v>2.7199999999999998E-2</v>
      </c>
      <c r="AP47" s="325">
        <f t="shared" si="0"/>
        <v>2.7199999999999998E-2</v>
      </c>
      <c r="AQ47" s="325">
        <f t="shared" si="0"/>
        <v>2.7199999999999998E-2</v>
      </c>
    </row>
    <row r="48" spans="2:44" s="44" customFormat="1" ht="15" customHeight="1">
      <c r="E48" s="3" t="s">
        <v>32</v>
      </c>
      <c r="F48" s="3"/>
      <c r="G48" s="3" t="s">
        <v>42</v>
      </c>
      <c r="H48" s="3"/>
      <c r="I48" s="3"/>
      <c r="J48" s="92"/>
      <c r="K48" s="92"/>
      <c r="L48" s="92"/>
      <c r="M48" s="179"/>
      <c r="N48" s="179"/>
      <c r="O48" s="92"/>
      <c r="P48" s="92"/>
      <c r="Q48" s="92"/>
      <c r="R48" s="92"/>
      <c r="S48" s="92"/>
      <c r="T48" s="92"/>
      <c r="U48" s="92"/>
      <c r="V48" s="92"/>
      <c r="W48" s="92"/>
      <c r="X48" s="92"/>
      <c r="Y48" s="92"/>
      <c r="Z48" s="92"/>
      <c r="AA48" s="179"/>
      <c r="AB48" s="179"/>
      <c r="AC48" s="179"/>
      <c r="AD48" s="179"/>
      <c r="AE48" s="179"/>
      <c r="AF48" s="179"/>
      <c r="AG48" s="179"/>
      <c r="AH48" s="179"/>
      <c r="AI48" s="179"/>
      <c r="AJ48" s="238">
        <f>CHOOSE(m_identity,ENWL!AJ48, NPgN!AJ48, NPgY!AJ48, WMID!AJ48, EMID!AJ48, SWALES!AJ48, SWEST!AJ48, LPN!AJ48,SPN!AJ48,EPN!AJ48,SPD!AJ48,SPMW!AJ48,SSEH!AJ48,SSES!AJ48)</f>
        <v>0.06</v>
      </c>
      <c r="AK48" s="238">
        <f>CHOOSE(m_identity,ENWL!AK48, NPgN!AK48, NPgY!AK48, WMID!AK48, EMID!AK48, SWALES!AK48, SWEST!AK48, LPN!AK48,SPN!AK48,EPN!AK48,SPD!AK48,SPMW!AK48,SSEH!AK48,SSES!AK48)</f>
        <v>0.06</v>
      </c>
      <c r="AL48" s="238">
        <f>CHOOSE(m_identity,ENWL!AL48, NPgN!AL48, NPgY!AL48, WMID!AL48, EMID!AL48, SWALES!AL48, SWEST!AL48, LPN!AL48,SPN!AL48,EPN!AL48,SPD!AL48,SPMW!AL48,SSEH!AL48,SSES!AL48)</f>
        <v>0.06</v>
      </c>
      <c r="AM48" s="238">
        <f>CHOOSE(m_identity,ENWL!AM48, NPgN!AM48, NPgY!AM48, WMID!AM48, EMID!AM48, SWALES!AM48, SWEST!AM48, LPN!AM48,SPN!AM48,EPN!AM48,SPD!AM48,SPMW!AM48,SSEH!AM48,SSES!AM48)</f>
        <v>0.06</v>
      </c>
      <c r="AN48" s="238">
        <f>CHOOSE(m_identity,ENWL!AN48, NPgN!AN48, NPgY!AN48, WMID!AN48, EMID!AN48, SWALES!AN48, SWEST!AN48, LPN!AN48,SPN!AN48,EPN!AN48,SPD!AN48,SPMW!AN48,SSEH!AN48,SSES!AN48)</f>
        <v>0.06</v>
      </c>
      <c r="AO48" s="238">
        <f>CHOOSE(m_identity,ENWL!AO48, NPgN!AO48, NPgY!AO48, WMID!AO48, EMID!AO48, SWALES!AO48, SWEST!AO48, LPN!AO48,SPN!AO48,EPN!AO48,SPD!AO48,SPMW!AO48,SSEH!AO48,SSES!AO48)</f>
        <v>0.06</v>
      </c>
      <c r="AP48" s="238">
        <f>CHOOSE(m_identity,ENWL!AP48, NPgN!AP48, NPgY!AP48, WMID!AP48, EMID!AP48, SWALES!AP48, SWEST!AP48, LPN!AP48,SPN!AP48,EPN!AP48,SPD!AP48,SPMW!AP48,SSEH!AP48,SSES!AP48)</f>
        <v>0.06</v>
      </c>
      <c r="AQ48" s="238">
        <f>CHOOSE(m_identity,ENWL!AQ48, NPgN!AQ48, NPgY!AQ48, WMID!AQ48, EMID!AQ48, SWALES!AQ48, SWEST!AQ48, LPN!AQ48,SPN!AQ48,EPN!AQ48,SPD!AQ48,SPMW!AQ48,SSEH!AQ48,SSES!AQ48)</f>
        <v>0.06</v>
      </c>
    </row>
    <row r="49" spans="3:43" s="44" customFormat="1" ht="15" customHeight="1">
      <c r="E49" s="157" t="s">
        <v>415</v>
      </c>
      <c r="F49" s="3"/>
      <c r="G49" s="3" t="s">
        <v>49</v>
      </c>
      <c r="H49" s="3"/>
      <c r="I49" s="3"/>
      <c r="J49" s="92" t="s">
        <v>56</v>
      </c>
      <c r="K49" s="92"/>
      <c r="L49" s="92"/>
      <c r="M49" s="179"/>
      <c r="N49" s="179"/>
      <c r="O49" s="92"/>
      <c r="P49" s="92"/>
      <c r="Q49" s="92"/>
      <c r="R49" s="92"/>
      <c r="S49" s="92"/>
      <c r="T49" s="92"/>
      <c r="U49" s="92"/>
      <c r="V49" s="92"/>
      <c r="W49" s="92"/>
      <c r="X49" s="92"/>
      <c r="Y49" s="92"/>
      <c r="Z49" s="92"/>
      <c r="AA49" s="179"/>
      <c r="AB49" s="179"/>
      <c r="AC49" s="179"/>
      <c r="AD49" s="179"/>
      <c r="AE49" s="179"/>
      <c r="AF49" s="179"/>
      <c r="AG49" s="179"/>
      <c r="AH49" s="179"/>
      <c r="AI49" s="238">
        <f>CHOOSE(m_identity,ENWL!AI49, NPgN!AI49, NPgY!AI49, WMID!AI49, EMID!AI49, SWALES!AI49, SWEST!AI49, LPN!AI49,SPN!AI49,EPN!AI49,SPD!AI49,SPMW!AI49,SSEH!AI49,SSES!AI49)</f>
        <v>0.65</v>
      </c>
      <c r="AJ49" s="238">
        <f>CHOOSE(m_identity,ENWL!AJ49, NPgN!AJ49, NPgY!AJ49, WMID!AJ49, EMID!AJ49, SWALES!AJ49, SWEST!AJ49, LPN!AJ49,SPN!AJ49,EPN!AJ49,SPD!AJ49,SPMW!AJ49,SSEH!AJ49,SSES!AJ49)</f>
        <v>0.65</v>
      </c>
      <c r="AK49" s="238">
        <f>CHOOSE(m_identity,ENWL!AK49, NPgN!AK49, NPgY!AK49, WMID!AK49, EMID!AK49, SWALES!AK49, SWEST!AK49, LPN!AK49,SPN!AK49,EPN!AK49,SPD!AK49,SPMW!AK49,SSEH!AK49,SSES!AK49)</f>
        <v>0.65</v>
      </c>
      <c r="AL49" s="238">
        <f>CHOOSE(m_identity,ENWL!AL49, NPgN!AL49, NPgY!AL49, WMID!AL49, EMID!AL49, SWALES!AL49, SWEST!AL49, LPN!AL49,SPN!AL49,EPN!AL49,SPD!AL49,SPMW!AL49,SSEH!AL49,SSES!AL49)</f>
        <v>0.65</v>
      </c>
      <c r="AM49" s="238">
        <f>CHOOSE(m_identity,ENWL!AM49, NPgN!AM49, NPgY!AM49, WMID!AM49, EMID!AM49, SWALES!AM49, SWEST!AM49, LPN!AM49,SPN!AM49,EPN!AM49,SPD!AM49,SPMW!AM49,SSEH!AM49,SSES!AM49)</f>
        <v>0.65</v>
      </c>
      <c r="AN49" s="238">
        <f>CHOOSE(m_identity,ENWL!AN49, NPgN!AN49, NPgY!AN49, WMID!AN49, EMID!AN49, SWALES!AN49, SWEST!AN49, LPN!AN49,SPN!AN49,EPN!AN49,SPD!AN49,SPMW!AN49,SSEH!AN49,SSES!AN49)</f>
        <v>0.65</v>
      </c>
      <c r="AO49" s="238">
        <f>CHOOSE(m_identity,ENWL!AO49, NPgN!AO49, NPgY!AO49, WMID!AO49, EMID!AO49, SWALES!AO49, SWEST!AO49, LPN!AO49,SPN!AO49,EPN!AO49,SPD!AO49,SPMW!AO49,SSEH!AO49,SSES!AO49)</f>
        <v>0.65</v>
      </c>
      <c r="AP49" s="238">
        <f>CHOOSE(m_identity,ENWL!AP49, NPgN!AP49, NPgY!AP49, WMID!AP49, EMID!AP49, SWALES!AP49, SWEST!AP49, LPN!AP49,SPN!AP49,EPN!AP49,SPD!AP49,SPMW!AP49,SSEH!AP49,SSES!AP49)</f>
        <v>0.65</v>
      </c>
      <c r="AQ49" s="238">
        <f>CHOOSE(m_identity,ENWL!AQ49, NPgN!AQ49, NPgY!AQ49, WMID!AQ49, EMID!AQ49, SWALES!AQ49, SWEST!AQ49, LPN!AQ49,SPN!AQ49,EPN!AQ49,SPD!AQ49,SPMW!AQ49,SSEH!AQ49,SSES!AQ49)</f>
        <v>0.65</v>
      </c>
    </row>
    <row r="50" spans="3:43" s="44" customFormat="1" ht="15" customHeight="1">
      <c r="E50" s="3"/>
      <c r="F50" s="3"/>
      <c r="G50" s="3"/>
      <c r="H50" s="3"/>
      <c r="I50" s="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239"/>
      <c r="AK50" s="239"/>
      <c r="AL50" s="239"/>
      <c r="AM50" s="239"/>
      <c r="AN50" s="239"/>
      <c r="AO50" s="239"/>
      <c r="AP50" s="239"/>
      <c r="AQ50" s="239"/>
    </row>
    <row r="51" spans="3:43" s="44" customFormat="1" ht="15" customHeight="1">
      <c r="E51" s="3" t="s">
        <v>9</v>
      </c>
      <c r="F51" s="3"/>
      <c r="G51" s="3" t="s">
        <v>42</v>
      </c>
      <c r="H51" s="3"/>
      <c r="I51" s="3"/>
      <c r="J51" s="92"/>
      <c r="K51" s="92"/>
      <c r="L51" s="92"/>
      <c r="M51" s="179"/>
      <c r="N51" s="179"/>
      <c r="O51" s="92"/>
      <c r="P51" s="92"/>
      <c r="Q51" s="92"/>
      <c r="R51" s="92"/>
      <c r="S51" s="92"/>
      <c r="T51" s="92"/>
      <c r="U51" s="92"/>
      <c r="V51" s="92"/>
      <c r="W51" s="92"/>
      <c r="X51" s="92"/>
      <c r="Y51" s="92"/>
      <c r="Z51" s="92"/>
      <c r="AA51" s="179"/>
      <c r="AB51" s="179"/>
      <c r="AC51" s="179"/>
      <c r="AD51" s="179"/>
      <c r="AE51" s="179"/>
      <c r="AF51" s="179"/>
      <c r="AG51" s="179"/>
      <c r="AH51" s="179"/>
      <c r="AI51" s="179"/>
      <c r="AJ51" s="337">
        <f t="shared" ref="AJ51:AQ51" si="1">(AJ47 * AJ49) + (AJ48 * (1 - AJ49))</f>
        <v>3.8679999999999999E-2</v>
      </c>
      <c r="AK51" s="337">
        <f t="shared" si="1"/>
        <v>3.8679999999999999E-2</v>
      </c>
      <c r="AL51" s="337">
        <f t="shared" si="1"/>
        <v>3.8679999999999999E-2</v>
      </c>
      <c r="AM51" s="337">
        <f t="shared" si="1"/>
        <v>3.8679999999999999E-2</v>
      </c>
      <c r="AN51" s="337">
        <f t="shared" si="1"/>
        <v>3.8679999999999999E-2</v>
      </c>
      <c r="AO51" s="337">
        <f t="shared" si="1"/>
        <v>3.8679999999999999E-2</v>
      </c>
      <c r="AP51" s="337">
        <f t="shared" si="1"/>
        <v>3.8679999999999999E-2</v>
      </c>
      <c r="AQ51" s="337">
        <f t="shared" si="1"/>
        <v>3.8679999999999999E-2</v>
      </c>
    </row>
    <row r="52" spans="3:43" s="44" customFormat="1" ht="15" customHeight="1">
      <c r="E52" s="3"/>
      <c r="F52" s="3"/>
      <c r="G52" s="3"/>
      <c r="H52" s="3"/>
      <c r="I52" s="3"/>
      <c r="J52" s="92"/>
      <c r="K52" s="92"/>
      <c r="L52" s="92"/>
      <c r="M52" s="179"/>
      <c r="N52" s="179"/>
      <c r="O52" s="92"/>
      <c r="P52" s="92"/>
      <c r="Q52" s="92"/>
      <c r="R52" s="92"/>
      <c r="S52" s="92"/>
      <c r="T52" s="92"/>
      <c r="U52" s="92"/>
      <c r="V52" s="92"/>
      <c r="W52" s="92"/>
      <c r="X52" s="92"/>
      <c r="Y52" s="92"/>
      <c r="Z52" s="92"/>
      <c r="AA52" s="97"/>
      <c r="AB52" s="97"/>
      <c r="AC52" s="97"/>
      <c r="AD52" s="94"/>
      <c r="AE52" s="94"/>
      <c r="AF52" s="94"/>
      <c r="AG52" s="94"/>
      <c r="AH52" s="94"/>
      <c r="AI52" s="94"/>
      <c r="AJ52" s="94"/>
      <c r="AK52" s="94"/>
      <c r="AL52" s="94"/>
      <c r="AM52" s="94"/>
      <c r="AN52" s="94"/>
      <c r="AO52" s="94"/>
      <c r="AP52" s="94"/>
      <c r="AQ52" s="94"/>
    </row>
    <row r="53" spans="3:43" s="156" customFormat="1" ht="15" customHeight="1">
      <c r="E53" s="157"/>
      <c r="F53" s="157"/>
      <c r="G53" s="157"/>
      <c r="H53" s="157"/>
      <c r="I53" s="157"/>
      <c r="J53" s="179"/>
      <c r="K53" s="179"/>
      <c r="L53" s="179"/>
      <c r="M53" s="179"/>
      <c r="N53" s="179"/>
      <c r="O53" s="179"/>
      <c r="P53" s="179"/>
      <c r="Q53" s="179"/>
      <c r="R53" s="179"/>
      <c r="S53" s="179"/>
      <c r="T53" s="179"/>
      <c r="U53" s="179"/>
      <c r="V53" s="179"/>
      <c r="W53" s="179"/>
      <c r="X53" s="179"/>
      <c r="Y53" s="179"/>
      <c r="Z53" s="179"/>
      <c r="AA53" s="97"/>
      <c r="AB53" s="97"/>
      <c r="AC53" s="97"/>
      <c r="AD53" s="94"/>
      <c r="AE53" s="94"/>
      <c r="AF53" s="94"/>
      <c r="AG53" s="94"/>
      <c r="AH53" s="94"/>
      <c r="AJ53" s="94"/>
      <c r="AK53" s="94"/>
      <c r="AL53" s="94"/>
      <c r="AM53" s="94"/>
      <c r="AN53" s="94"/>
      <c r="AO53" s="94"/>
      <c r="AP53" s="94"/>
      <c r="AQ53" s="94"/>
    </row>
    <row r="54" spans="3:43" s="156" customFormat="1" ht="15" customHeight="1">
      <c r="E54" s="157"/>
      <c r="F54" s="157"/>
      <c r="G54" s="157"/>
      <c r="H54" s="157"/>
      <c r="I54" s="157"/>
      <c r="J54" s="179"/>
      <c r="K54" s="179"/>
      <c r="L54" s="179"/>
      <c r="M54" s="179"/>
      <c r="N54" s="179"/>
      <c r="O54" s="179"/>
      <c r="P54" s="179"/>
      <c r="Q54" s="179"/>
      <c r="R54" s="179"/>
      <c r="S54" s="179"/>
      <c r="T54" s="179"/>
      <c r="U54" s="179"/>
      <c r="V54" s="179"/>
      <c r="W54" s="179"/>
      <c r="X54" s="179"/>
      <c r="Y54" s="179"/>
      <c r="Z54" s="179"/>
      <c r="AA54" s="97"/>
      <c r="AB54" s="97"/>
      <c r="AC54" s="97"/>
      <c r="AD54" s="94"/>
      <c r="AE54" s="94"/>
      <c r="AF54" s="94"/>
      <c r="AG54" s="94"/>
      <c r="AH54" s="94"/>
      <c r="AI54" s="94"/>
      <c r="AJ54" s="94"/>
      <c r="AK54" s="94"/>
      <c r="AL54" s="94"/>
      <c r="AM54" s="94"/>
      <c r="AN54" s="94"/>
      <c r="AO54" s="94"/>
      <c r="AP54" s="94"/>
      <c r="AQ54" s="94"/>
    </row>
    <row r="55" spans="3:43" s="158" customFormat="1" ht="15" customHeight="1">
      <c r="C55" s="160" t="s">
        <v>673</v>
      </c>
      <c r="D55" s="160"/>
      <c r="E55" s="160"/>
      <c r="F55" s="160"/>
      <c r="G55" s="160"/>
      <c r="H55" s="160"/>
      <c r="I55" s="160"/>
      <c r="J55" s="160"/>
      <c r="K55" s="160"/>
      <c r="L55" s="160"/>
      <c r="M55" s="160"/>
      <c r="N55" s="160"/>
      <c r="O55" s="160"/>
      <c r="P55" s="160"/>
      <c r="Q55" s="160"/>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60"/>
      <c r="AP55" s="160"/>
      <c r="AQ55" s="160"/>
    </row>
    <row r="56" spans="3:43" s="156" customFormat="1" ht="15" customHeight="1">
      <c r="E56" s="157"/>
      <c r="F56" s="157"/>
      <c r="G56" s="157"/>
      <c r="H56" s="157"/>
      <c r="I56" s="157"/>
      <c r="J56" s="179"/>
      <c r="K56" s="179"/>
      <c r="L56" s="179"/>
      <c r="M56" s="179"/>
      <c r="N56" s="179"/>
      <c r="O56" s="179"/>
      <c r="P56" s="179"/>
      <c r="Q56" s="179"/>
      <c r="R56" s="179"/>
      <c r="S56" s="179"/>
      <c r="T56" s="179"/>
      <c r="U56" s="179"/>
      <c r="V56" s="179"/>
      <c r="W56" s="179"/>
      <c r="X56" s="179"/>
      <c r="Y56" s="179"/>
      <c r="Z56" s="179"/>
      <c r="AA56" s="97"/>
      <c r="AB56" s="97"/>
      <c r="AC56" s="97"/>
      <c r="AD56" s="94"/>
      <c r="AE56" s="94"/>
      <c r="AF56" s="94"/>
      <c r="AG56" s="94"/>
      <c r="AH56" s="94"/>
      <c r="AI56" s="94"/>
      <c r="AJ56" s="94"/>
      <c r="AK56" s="94"/>
      <c r="AL56" s="94"/>
      <c r="AM56" s="94"/>
      <c r="AN56" s="94"/>
      <c r="AO56" s="94"/>
      <c r="AP56" s="94"/>
      <c r="AQ56" s="94"/>
    </row>
    <row r="57" spans="3:43" s="44" customFormat="1" ht="15" customHeight="1">
      <c r="E57" s="156" t="s">
        <v>420</v>
      </c>
      <c r="G57" s="44" t="s">
        <v>54</v>
      </c>
      <c r="J57" s="92" t="s">
        <v>56</v>
      </c>
      <c r="K57" s="92"/>
      <c r="L57" s="92"/>
      <c r="M57" s="179"/>
      <c r="N57" s="179"/>
      <c r="O57" s="92"/>
      <c r="P57" s="92"/>
      <c r="Q57" s="92"/>
      <c r="R57" s="92"/>
      <c r="S57" s="92"/>
      <c r="T57" s="92"/>
      <c r="U57" s="92"/>
      <c r="V57" s="92"/>
      <c r="W57" s="92"/>
      <c r="X57" s="179"/>
      <c r="Y57" s="179"/>
      <c r="Z57" s="179"/>
      <c r="AA57" s="179"/>
      <c r="AB57" s="179"/>
      <c r="AC57" s="179"/>
      <c r="AD57" s="179"/>
      <c r="AE57" s="179"/>
      <c r="AF57" s="94"/>
      <c r="AG57" s="227">
        <f>CHOOSE(m_identity,ENWL!AG57, NPgN!AG57, NPgY!AG57, WMID!AG57, EMID!AG57, SWALES!AG57, SWEST!AG57, LPN!AG57,SPN!AG57,EPN!AG57,SPD!AG57,SPMW!AG57,SSEH!AG57,SSES!AG57)</f>
        <v>244.67500000000001</v>
      </c>
      <c r="AH57" s="227">
        <f>CHOOSE(m_identity,ENWL!AH57, NPgN!AH57, NPgY!AH57, WMID!AH57, EMID!AH57, SWALES!AH57, SWEST!AH57, LPN!AH57,SPN!AH57,EPN!AH57,SPD!AH57,SPMW!AH57,SSEH!AH57,SSES!AH57)</f>
        <v>252.26</v>
      </c>
      <c r="AI57" s="227">
        <f>CHOOSE(m_identity,ENWL!AI57, NPgN!AI57, NPgY!AI57, WMID!AI57, EMID!AI57, SWALES!AI57, SWEST!AI57, LPN!AI57,SPN!AI57,EPN!AI57,SPD!AI57,SPMW!AI57,SSEH!AI57,SSES!AI57)</f>
        <v>260.08</v>
      </c>
      <c r="AJ57" s="227">
        <f>CHOOSE(m_identity,ENWL!AJ57, NPgN!AJ57, NPgY!AJ57, WMID!AJ57, EMID!AJ57, SWALES!AJ57, SWEST!AJ57, LPN!AJ57,SPN!AJ57,EPN!AJ57,SPD!AJ57,SPMW!AJ57,SSEH!AJ57,SSES!AJ57)</f>
        <v>268.142</v>
      </c>
      <c r="AK57" s="227">
        <f>CHOOSE(m_identity,ENWL!AK57, NPgN!AK57, NPgY!AK57, WMID!AK57, EMID!AK57, SWALES!AK57, SWEST!AK57, LPN!AK57,SPN!AK57,EPN!AK57,SPD!AK57,SPMW!AK57,SSEH!AK57,SSES!AK57)</f>
        <v>276.45400000000001</v>
      </c>
      <c r="AL57" s="227">
        <f>CHOOSE(m_identity,ENWL!AL57, NPgN!AL57, NPgY!AL57, WMID!AL57, EMID!AL57, SWALES!AL57, SWEST!AL57, LPN!AL57,SPN!AL57,EPN!AL57,SPD!AL57,SPMW!AL57,SSEH!AL57,SSES!AL57)</f>
        <v>285.024</v>
      </c>
      <c r="AM57" s="227">
        <f>CHOOSE(m_identity,ENWL!AM57, NPgN!AM57, NPgY!AM57, WMID!AM57, EMID!AM57, SWALES!AM57, SWEST!AM57, LPN!AM57,SPN!AM57,EPN!AM57,SPD!AM57,SPMW!AM57,SSEH!AM57,SSES!AM57)</f>
        <v>293.86</v>
      </c>
      <c r="AN57" s="227">
        <f>CHOOSE(m_identity,ENWL!AN57, NPgN!AN57, NPgY!AN57, WMID!AN57, EMID!AN57, SWALES!AN57, SWEST!AN57, LPN!AN57,SPN!AN57,EPN!AN57,SPD!AN57,SPMW!AN57,SSEH!AN57,SSES!AN57)</f>
        <v>302.97000000000003</v>
      </c>
      <c r="AO57" s="227">
        <f>CHOOSE(m_identity,ENWL!AO57, NPgN!AO57, NPgY!AO57, WMID!AO57, EMID!AO57, SWALES!AO57, SWEST!AO57, LPN!AO57,SPN!AO57,EPN!AO57,SPD!AO57,SPMW!AO57,SSEH!AO57,SSES!AO57)</f>
        <v>312.36200000000002</v>
      </c>
      <c r="AP57" s="227">
        <f>CHOOSE(m_identity,ENWL!AP57, NPgN!AP57, NPgY!AP57, WMID!AP57, EMID!AP57, SWALES!AP57, SWEST!AP57, LPN!AP57,SPN!AP57,EPN!AP57,SPD!AP57,SPMW!AP57,SSEH!AP57,SSES!AP57)</f>
        <v>322.04500000000002</v>
      </c>
      <c r="AQ57" s="227">
        <f>CHOOSE(m_identity,ENWL!AQ57, NPgN!AQ57, NPgY!AQ57, WMID!AQ57, EMID!AQ57, SWALES!AQ57, SWEST!AQ57, LPN!AQ57,SPN!AQ57,EPN!AQ57,SPD!AQ57,SPMW!AQ57,SSEH!AQ57,SSES!AQ57)</f>
        <v>332.02800000000002</v>
      </c>
    </row>
    <row r="58" spans="3:43" s="156" customFormat="1" ht="15" customHeight="1">
      <c r="E58" s="156" t="s">
        <v>591</v>
      </c>
      <c r="F58" s="157"/>
      <c r="G58" s="156" t="s">
        <v>54</v>
      </c>
      <c r="J58" s="179" t="s">
        <v>56</v>
      </c>
      <c r="K58" s="179"/>
      <c r="L58" s="179"/>
      <c r="M58" s="179"/>
      <c r="N58" s="179"/>
      <c r="O58" s="179"/>
      <c r="P58" s="179"/>
      <c r="Q58" s="179"/>
      <c r="R58" s="179"/>
      <c r="S58" s="179"/>
      <c r="T58" s="179"/>
      <c r="U58" s="179"/>
      <c r="V58" s="179"/>
      <c r="W58" s="179"/>
      <c r="X58" s="179"/>
      <c r="Y58" s="179"/>
      <c r="Z58" s="179"/>
      <c r="AA58" s="179"/>
      <c r="AB58" s="179"/>
      <c r="AC58" s="179"/>
      <c r="AD58" s="179"/>
      <c r="AE58" s="179"/>
      <c r="AF58" s="94"/>
      <c r="AG58" s="227">
        <f>CHOOSE(m_identity,ENWL!AG58, NPgN!AG58, NPgY!AG58, WMID!AG58, EMID!AG58, SWALES!AG58, SWEST!AG58, LPN!AG58,SPN!AG58,EPN!AG58,SPD!AG58,SPMW!AG58,SSEH!AG58,SSES!AG58)</f>
        <v>244.67500000000001</v>
      </c>
      <c r="AH58" s="227">
        <f>CHOOSE(m_identity,ENWL!AH58, NPgN!AH58, NPgY!AH58, WMID!AH58, EMID!AH58, SWALES!AH58, SWEST!AH58, LPN!AH58,SPN!AH58,EPN!AH58,SPD!AH58,SPMW!AH58,SSEH!AH58,SSES!AH58)</f>
        <v>252.26</v>
      </c>
      <c r="AI58" s="227">
        <f>CHOOSE(m_identity,ENWL!AI58, NPgN!AI58, NPgY!AI58, WMID!AI58, EMID!AI58, SWALES!AI58, SWEST!AI58, LPN!AI58,SPN!AI58,EPN!AI58,SPD!AI58,SPMW!AI58,SSEH!AI58,SSES!AI58)</f>
        <v>260.08</v>
      </c>
      <c r="AJ58" s="227">
        <f>CHOOSE(m_identity,ENWL!AJ58, NPgN!AJ58, NPgY!AJ58, WMID!AJ58, EMID!AJ58, SWALES!AJ58, SWEST!AJ58, LPN!AJ58,SPN!AJ58,EPN!AJ58,SPD!AJ58,SPMW!AJ58,SSEH!AJ58,SSES!AJ58)</f>
        <v>268.142</v>
      </c>
      <c r="AK58" s="227">
        <f>CHOOSE(m_identity,ENWL!AK58, NPgN!AK58, NPgY!AK58, WMID!AK58, EMID!AK58, SWALES!AK58, SWEST!AK58, LPN!AK58,SPN!AK58,EPN!AK58,SPD!AK58,SPMW!AK58,SSEH!AK58,SSES!AK58)</f>
        <v>276.45400000000001</v>
      </c>
      <c r="AL58" s="227">
        <f>CHOOSE(m_identity,ENWL!AL58, NPgN!AL58, NPgY!AL58, WMID!AL58, EMID!AL58, SWALES!AL58, SWEST!AL58, LPN!AL58,SPN!AL58,EPN!AL58,SPD!AL58,SPMW!AL58,SSEH!AL58,SSES!AL58)</f>
        <v>285.024</v>
      </c>
      <c r="AM58" s="227">
        <f>CHOOSE(m_identity,ENWL!AM58, NPgN!AM58, NPgY!AM58, WMID!AM58, EMID!AM58, SWALES!AM58, SWEST!AM58, LPN!AM58,SPN!AM58,EPN!AM58,SPD!AM58,SPMW!AM58,SSEH!AM58,SSES!AM58)</f>
        <v>293.86</v>
      </c>
      <c r="AN58" s="227">
        <f>CHOOSE(m_identity,ENWL!AN58, NPgN!AN58, NPgY!AN58, WMID!AN58, EMID!AN58, SWALES!AN58, SWEST!AN58, LPN!AN58,SPN!AN58,EPN!AN58,SPD!AN58,SPMW!AN58,SSEH!AN58,SSES!AN58)</f>
        <v>302.97000000000003</v>
      </c>
      <c r="AO58" s="227">
        <f>CHOOSE(m_identity,ENWL!AO58, NPgN!AO58, NPgY!AO58, WMID!AO58, EMID!AO58, SWALES!AO58, SWEST!AO58, LPN!AO58,SPN!AO58,EPN!AO58,SPD!AO58,SPMW!AO58,SSEH!AO58,SSES!AO58)</f>
        <v>312.36200000000002</v>
      </c>
      <c r="AP58" s="227">
        <f>CHOOSE(m_identity,ENWL!AP58, NPgN!AP58, NPgY!AP58, WMID!AP58, EMID!AP58, SWALES!AP58, SWEST!AP58, LPN!AP58,SPN!AP58,EPN!AP58,SPD!AP58,SPMW!AP58,SSEH!AP58,SSES!AP58)</f>
        <v>322.04500000000002</v>
      </c>
      <c r="AQ58" s="227">
        <f>CHOOSE(m_identity,ENWL!AQ58, NPgN!AQ58, NPgY!AQ58, WMID!AQ58, EMID!AQ58, SWALES!AQ58, SWEST!AQ58, LPN!AQ58,SPN!AQ58,EPN!AQ58,SPD!AQ58,SPMW!AQ58,SSEH!AQ58,SSES!AQ58)</f>
        <v>332.02800000000002</v>
      </c>
    </row>
    <row r="59" spans="3:43" s="156" customFormat="1" ht="15" customHeight="1">
      <c r="F59" s="157"/>
      <c r="J59" s="179"/>
      <c r="K59" s="179"/>
      <c r="L59" s="179"/>
      <c r="M59" s="179"/>
      <c r="N59" s="179"/>
      <c r="O59" s="179"/>
      <c r="P59" s="179"/>
      <c r="Q59" s="179"/>
      <c r="R59" s="179"/>
      <c r="S59" s="179"/>
      <c r="T59" s="179"/>
      <c r="U59" s="179"/>
      <c r="V59" s="179"/>
      <c r="W59" s="179"/>
      <c r="X59" s="179"/>
      <c r="Y59" s="179"/>
      <c r="Z59" s="179"/>
      <c r="AA59" s="179"/>
      <c r="AB59" s="179"/>
      <c r="AC59" s="179"/>
      <c r="AD59" s="179"/>
      <c r="AE59" s="179"/>
      <c r="AF59" s="109"/>
      <c r="AG59" s="109"/>
      <c r="AH59" s="109"/>
      <c r="AI59" s="109"/>
      <c r="AJ59" s="109"/>
      <c r="AK59" s="109"/>
      <c r="AL59" s="109"/>
      <c r="AM59" s="109"/>
      <c r="AN59" s="109"/>
      <c r="AO59" s="109"/>
      <c r="AP59" s="109"/>
      <c r="AQ59" s="109"/>
    </row>
    <row r="60" spans="3:43" ht="15" customHeight="1">
      <c r="C60" s="160" t="s">
        <v>218</v>
      </c>
      <c r="D60" s="160"/>
      <c r="E60" s="160"/>
      <c r="F60" s="160"/>
      <c r="G60" s="160"/>
      <c r="H60" s="160"/>
      <c r="I60" s="160"/>
      <c r="J60" s="160"/>
      <c r="K60" s="160"/>
      <c r="L60" s="160"/>
      <c r="M60" s="160"/>
      <c r="N60" s="160"/>
      <c r="O60" s="160"/>
      <c r="P60" s="160"/>
      <c r="Q60" s="160"/>
      <c r="R60" s="160"/>
      <c r="S60" s="160"/>
      <c r="T60" s="160"/>
      <c r="U60" s="160"/>
      <c r="V60" s="160"/>
      <c r="W60" s="160"/>
      <c r="X60" s="160"/>
      <c r="Y60" s="160"/>
      <c r="Z60" s="160"/>
      <c r="AA60" s="160"/>
      <c r="AB60" s="160"/>
      <c r="AC60" s="160"/>
      <c r="AD60" s="160"/>
      <c r="AE60" s="160"/>
      <c r="AF60" s="160"/>
      <c r="AG60" s="160"/>
      <c r="AH60" s="160"/>
      <c r="AI60" s="160"/>
      <c r="AJ60" s="160"/>
      <c r="AK60" s="160"/>
      <c r="AL60" s="160"/>
      <c r="AM60" s="160"/>
      <c r="AN60" s="160"/>
      <c r="AO60" s="160"/>
      <c r="AP60" s="160"/>
      <c r="AQ60" s="160"/>
    </row>
    <row r="62" spans="3:43" s="158" customFormat="1" ht="15" customHeight="1">
      <c r="E62" s="158" t="s">
        <v>197</v>
      </c>
      <c r="G62" s="158" t="s">
        <v>51</v>
      </c>
      <c r="I62" s="326">
        <f>CHOOSE(m_identity,ENWL!I62, NPgN!I62, NPgY!I62, WMID!I62, EMID!I62, SWALES!I62, SWEST!I62, LPN!I62,SPN!I62,EPN!I62,SPD!I62,SPMW!I62,SSEH!I62,SSES!I62)</f>
        <v>2</v>
      </c>
    </row>
    <row r="63" spans="3:43" s="158" customFormat="1" ht="15" customHeight="1">
      <c r="AI63" s="151"/>
    </row>
    <row r="64" spans="3:43" ht="15" customHeight="1">
      <c r="E64" s="158" t="s">
        <v>850</v>
      </c>
      <c r="G64" s="11" t="s">
        <v>49</v>
      </c>
      <c r="AI64" s="151"/>
      <c r="AJ64" s="238">
        <f>CHOOSE(m_identity,ENWL!AJ64, NPgN!AJ64, NPgY!AJ64, WMID!AJ64, EMID!AJ64, SWALES!AJ64, SWEST!AJ64, LPN!AJ64,SPN!AJ64,EPN!AJ64,SPD!AJ64,SPMW!AJ64,SSEH!AJ64,SSES!AJ64)</f>
        <v>0.68</v>
      </c>
      <c r="AK64" s="238">
        <f>CHOOSE(m_identity,ENWL!AK64, NPgN!AK64, NPgY!AK64, WMID!AK64, EMID!AK64, SWALES!AK64, SWEST!AK64, LPN!AK64,SPN!AK64,EPN!AK64,SPD!AK64,SPMW!AK64,SSEH!AK64,SSES!AK64)</f>
        <v>0.68</v>
      </c>
      <c r="AL64" s="238">
        <f>CHOOSE(m_identity,ENWL!AL64, NPgN!AL64, NPgY!AL64, WMID!AL64, EMID!AL64, SWALES!AL64, SWEST!AL64, LPN!AL64,SPN!AL64,EPN!AL64,SPD!AL64,SPMW!AL64,SSEH!AL64,SSES!AL64)</f>
        <v>0.68</v>
      </c>
      <c r="AM64" s="238">
        <f>CHOOSE(m_identity,ENWL!AM64, NPgN!AM64, NPgY!AM64, WMID!AM64, EMID!AM64, SWALES!AM64, SWEST!AM64, LPN!AM64,SPN!AM64,EPN!AM64,SPD!AM64,SPMW!AM64,SSEH!AM64,SSES!AM64)</f>
        <v>0.68</v>
      </c>
      <c r="AN64" s="238">
        <f>CHOOSE(m_identity,ENWL!AN64, NPgN!AN64, NPgY!AN64, WMID!AN64, EMID!AN64, SWALES!AN64, SWEST!AN64, LPN!AN64,SPN!AN64,EPN!AN64,SPD!AN64,SPMW!AN64,SSEH!AN64,SSES!AN64)</f>
        <v>0.68</v>
      </c>
      <c r="AO64" s="238">
        <f>CHOOSE(m_identity,ENWL!AO64, NPgN!AO64, NPgY!AO64, WMID!AO64, EMID!AO64, SWALES!AO64, SWEST!AO64, LPN!AO64,SPN!AO64,EPN!AO64,SPD!AO64,SPMW!AO64,SSEH!AO64,SSES!AO64)</f>
        <v>0.68</v>
      </c>
      <c r="AP64" s="238">
        <f>CHOOSE(m_identity,ENWL!AP64, NPgN!AP64, NPgY!AP64, WMID!AP64, EMID!AP64, SWALES!AP64, SWEST!AP64, LPN!AP64,SPN!AP64,EPN!AP64,SPD!AP64,SPMW!AP64,SSEH!AP64,SSES!AP64)</f>
        <v>0.68</v>
      </c>
      <c r="AQ64" s="238">
        <f>CHOOSE(m_identity,ENWL!AQ64, NPgN!AQ64, NPgY!AQ64, WMID!AQ64, EMID!AQ64, SWALES!AQ64, SWEST!AQ64, LPN!AQ64,SPN!AQ64,EPN!AQ64,SPD!AQ64,SPMW!AQ64,SSEH!AQ64,SSES!AQ64)</f>
        <v>0.68</v>
      </c>
    </row>
    <row r="65" spans="1:43" s="158" customFormat="1" ht="15" customHeight="1">
      <c r="AI65" s="151"/>
      <c r="AJ65" s="151"/>
      <c r="AK65" s="151"/>
      <c r="AL65" s="151"/>
      <c r="AM65" s="151"/>
      <c r="AN65" s="151"/>
      <c r="AO65" s="151"/>
      <c r="AP65" s="151"/>
      <c r="AQ65" s="222"/>
    </row>
    <row r="66" spans="1:43" s="151" customFormat="1" ht="15" customHeight="1">
      <c r="E66" s="158" t="s">
        <v>737</v>
      </c>
      <c r="F66" s="158"/>
      <c r="G66" s="99" t="s">
        <v>49</v>
      </c>
      <c r="H66" s="158"/>
      <c r="I66" s="433">
        <f>CHOOSE(m_identity,ENWL!I66, NPgN!I66, NPgY!I66, WMID!I66, EMID!I66, SWALES!I66, SWEST!I66, LPN!I66,SPN!I66,EPN!I66,SPD!I66,SPMW!I66,SSEH!I66,SSES!I66)</f>
        <v>0</v>
      </c>
      <c r="J66" s="14"/>
      <c r="K66" s="14"/>
      <c r="L66" s="14"/>
      <c r="M66" s="14"/>
      <c r="N66" s="14"/>
      <c r="O66" s="14"/>
      <c r="P66" s="14"/>
      <c r="Q66" s="14"/>
      <c r="R66" s="14"/>
      <c r="S66" s="14"/>
      <c r="T66" s="14"/>
      <c r="U66" s="14"/>
      <c r="V66" s="14"/>
      <c r="W66" s="14"/>
      <c r="X66" s="14"/>
      <c r="Y66" s="14"/>
      <c r="Z66" s="14"/>
      <c r="AQ66" s="222"/>
    </row>
    <row r="67" spans="1:43" s="151" customFormat="1" ht="15" customHeight="1">
      <c r="E67" s="222"/>
      <c r="F67" s="222"/>
      <c r="G67" s="222"/>
      <c r="H67" s="222"/>
      <c r="I67" s="222"/>
      <c r="J67" s="222"/>
      <c r="K67" s="222"/>
      <c r="L67" s="222"/>
      <c r="M67" s="222"/>
      <c r="N67" s="222"/>
      <c r="O67" s="222"/>
      <c r="P67" s="222"/>
      <c r="Q67" s="222"/>
      <c r="R67" s="222"/>
      <c r="S67" s="222"/>
      <c r="T67" s="222"/>
      <c r="U67" s="222"/>
      <c r="V67" s="222"/>
      <c r="W67" s="222"/>
      <c r="X67" s="222"/>
      <c r="Y67" s="222"/>
      <c r="Z67" s="222"/>
      <c r="AA67" s="222"/>
      <c r="AB67" s="222"/>
      <c r="AC67" s="222"/>
      <c r="AD67" s="222"/>
      <c r="AE67" s="222"/>
      <c r="AF67" s="222"/>
      <c r="AG67" s="222"/>
      <c r="AH67" s="222"/>
      <c r="AI67" s="222"/>
      <c r="AJ67" s="222"/>
      <c r="AK67" s="222"/>
      <c r="AL67" s="222"/>
      <c r="AM67" s="222"/>
      <c r="AN67" s="222"/>
      <c r="AO67" s="222"/>
      <c r="AP67" s="222"/>
      <c r="AQ67" s="222"/>
    </row>
    <row r="68" spans="1:43" s="151" customFormat="1" ht="15" customHeight="1">
      <c r="E68" s="151" t="s">
        <v>738</v>
      </c>
      <c r="G68" s="99" t="s">
        <v>49</v>
      </c>
      <c r="I68" s="433">
        <f>CHOOSE(m_identity,ENWL!I68, NPgN!I68, NPgY!I68, WMID!I68, EMID!I68, SWALES!I68, SWEST!I68, LPN!I68,SPN!I68,EPN!I68,SPD!I68,SPMW!I68,SSEH!I68,SSES!I68)</f>
        <v>0</v>
      </c>
      <c r="J68" s="14"/>
      <c r="K68" s="14"/>
      <c r="L68" s="14"/>
      <c r="M68" s="14"/>
      <c r="N68" s="14"/>
      <c r="O68" s="14"/>
      <c r="P68" s="14"/>
      <c r="Q68" s="14"/>
      <c r="R68" s="14"/>
      <c r="S68" s="14"/>
      <c r="T68" s="14"/>
      <c r="U68" s="14"/>
      <c r="V68" s="14"/>
      <c r="W68" s="14"/>
      <c r="X68" s="14"/>
      <c r="Y68" s="14"/>
      <c r="Z68" s="14"/>
      <c r="AQ68" s="222"/>
    </row>
    <row r="69" spans="1:43" s="151" customFormat="1" ht="15" customHeight="1">
      <c r="J69" s="14"/>
      <c r="K69" s="14"/>
      <c r="L69" s="14"/>
      <c r="M69" s="14"/>
      <c r="N69" s="14"/>
      <c r="O69" s="14"/>
      <c r="P69" s="14"/>
      <c r="Q69" s="14"/>
      <c r="R69" s="14"/>
      <c r="S69" s="14"/>
      <c r="T69" s="14"/>
      <c r="U69" s="14"/>
      <c r="V69" s="14"/>
      <c r="W69" s="14"/>
      <c r="X69" s="14"/>
      <c r="Y69" s="14"/>
      <c r="Z69" s="14"/>
      <c r="AQ69" s="222"/>
    </row>
    <row r="70" spans="1:43" s="19" customFormat="1" ht="15" customHeight="1">
      <c r="D70" s="158"/>
      <c r="E70" s="53" t="s">
        <v>427</v>
      </c>
      <c r="F70" s="99"/>
      <c r="G70" s="99" t="s">
        <v>49</v>
      </c>
      <c r="H70" s="99"/>
      <c r="I70" s="238">
        <f>CHOOSE(m_identity,ENWL!I70, NPgN!I70, NPgY!I70, WMID!I70, EMID!I70, SWALES!I70, SWEST!I70, LPN!I70,SPN!I70,EPN!I70,SPD!I70,SPMW!I70,SSEH!I70,SSES!I70)</f>
        <v>0.75</v>
      </c>
      <c r="J70" s="88"/>
      <c r="K70" s="88"/>
      <c r="L70" s="88"/>
      <c r="M70" s="88"/>
      <c r="N70" s="88"/>
      <c r="O70" s="88"/>
      <c r="P70" s="88"/>
      <c r="Q70" s="88"/>
      <c r="R70" s="88"/>
      <c r="S70" s="88"/>
      <c r="T70" s="88"/>
      <c r="U70" s="88"/>
      <c r="V70" s="88"/>
      <c r="W70" s="88"/>
      <c r="X70" s="88"/>
      <c r="Y70" s="88"/>
      <c r="Z70" s="88"/>
      <c r="AJ70" s="89"/>
    </row>
    <row r="71" spans="1:43" s="19" customFormat="1" ht="15" customHeight="1">
      <c r="D71" s="158"/>
      <c r="E71" s="53" t="s">
        <v>428</v>
      </c>
      <c r="F71" s="99"/>
      <c r="G71" s="99" t="s">
        <v>49</v>
      </c>
      <c r="H71" s="99"/>
      <c r="I71" s="238">
        <f>CHOOSE(m_identity,ENWL!I71, NPgN!I71, NPgY!I71, WMID!I71, EMID!I71, SWALES!I71, SWEST!I71, LPN!I71,SPN!I71,EPN!I71,SPD!I71,SPMW!I71,SSEH!I71,SSES!I71)</f>
        <v>0.25</v>
      </c>
      <c r="J71" s="88"/>
      <c r="K71" s="88"/>
      <c r="L71" s="88"/>
      <c r="M71" s="88"/>
      <c r="N71" s="88"/>
      <c r="O71" s="88"/>
      <c r="P71" s="88"/>
      <c r="Q71" s="88"/>
      <c r="R71" s="88"/>
      <c r="S71" s="88"/>
      <c r="T71" s="88"/>
      <c r="U71" s="88"/>
      <c r="V71" s="88"/>
      <c r="W71" s="88"/>
      <c r="X71" s="88"/>
      <c r="Y71" s="88"/>
      <c r="Z71" s="88"/>
      <c r="AJ71" s="89"/>
    </row>
    <row r="72" spans="1:43" s="19" customFormat="1" ht="15" customHeight="1">
      <c r="D72" s="158"/>
      <c r="E72" s="53"/>
      <c r="F72" s="99"/>
      <c r="G72" s="99"/>
      <c r="H72" s="99"/>
      <c r="I72" s="89"/>
      <c r="J72" s="88"/>
      <c r="K72" s="88"/>
      <c r="L72" s="88"/>
      <c r="M72" s="88"/>
      <c r="N72" s="88"/>
      <c r="O72" s="88"/>
      <c r="P72" s="88"/>
      <c r="Q72" s="88"/>
      <c r="R72" s="88"/>
      <c r="S72" s="88"/>
      <c r="T72" s="88"/>
      <c r="U72" s="88"/>
      <c r="V72" s="88"/>
      <c r="W72" s="88"/>
      <c r="X72" s="88"/>
      <c r="Y72" s="88"/>
      <c r="Z72" s="88"/>
      <c r="AJ72" s="89"/>
    </row>
    <row r="73" spans="1:43" s="19" customFormat="1" ht="15" customHeight="1">
      <c r="D73" s="158"/>
      <c r="E73" s="158" t="s">
        <v>869</v>
      </c>
      <c r="G73" s="195" t="s">
        <v>844</v>
      </c>
      <c r="I73" s="236">
        <f>CHOOSE(m_identity,ENWL!I73, NPgN!I73, NPgY!I73, WMID!I73, EMID!I73, SWALES!I73, SWEST!I73, LPN!I73,SPN!I73,EPN!I73,SPD!I73,SPMW!I73,SSEH!I73,SSES!I73)</f>
        <v>1867.8524040706066</v>
      </c>
      <c r="J73" s="88"/>
      <c r="K73" s="88"/>
      <c r="L73" s="88"/>
      <c r="M73" s="88"/>
      <c r="N73" s="88"/>
      <c r="O73" s="88"/>
      <c r="P73" s="88"/>
      <c r="Q73" s="88"/>
      <c r="R73" s="88"/>
      <c r="S73" s="88"/>
      <c r="T73" s="88"/>
      <c r="U73" s="88"/>
      <c r="V73" s="88"/>
      <c r="W73" s="88"/>
      <c r="X73" s="88"/>
      <c r="Y73" s="88"/>
      <c r="Z73" s="88"/>
      <c r="AJ73" s="89"/>
    </row>
    <row r="74" spans="1:43" s="19" customFormat="1" ht="15" customHeight="1">
      <c r="D74" s="158"/>
      <c r="E74" s="158" t="s">
        <v>870</v>
      </c>
      <c r="G74" s="195" t="s">
        <v>844</v>
      </c>
      <c r="I74" s="236">
        <f>CHOOSE(m_identity,ENWL!I74, NPgN!I74, NPgY!I74, WMID!I74, EMID!I74, SWALES!I74, SWEST!I74, LPN!I74,SPN!I74,EPN!I74,SPD!I74,SPMW!I74,SSEH!I74,SSES!I74)</f>
        <v>1867.8524040706066</v>
      </c>
      <c r="J74" s="88"/>
      <c r="K74" s="88"/>
      <c r="L74" s="88"/>
      <c r="M74" s="88"/>
      <c r="N74" s="88"/>
      <c r="O74" s="88"/>
      <c r="P74" s="88"/>
      <c r="Q74" s="88"/>
      <c r="R74" s="88"/>
      <c r="S74" s="88"/>
      <c r="T74" s="88"/>
      <c r="U74" s="88"/>
      <c r="V74" s="88"/>
      <c r="W74" s="88"/>
      <c r="X74" s="88"/>
      <c r="Y74" s="88"/>
      <c r="Z74" s="88"/>
      <c r="AJ74" s="89"/>
    </row>
    <row r="75" spans="1:43" s="19" customFormat="1" ht="15" customHeight="1">
      <c r="D75" s="158"/>
      <c r="E75" s="53"/>
      <c r="F75" s="99"/>
      <c r="G75" s="99"/>
      <c r="H75" s="99"/>
      <c r="I75" s="89"/>
      <c r="J75" s="88"/>
      <c r="K75" s="88"/>
      <c r="L75" s="88"/>
      <c r="M75" s="88"/>
      <c r="N75" s="88"/>
      <c r="O75" s="88"/>
      <c r="P75" s="88"/>
      <c r="Q75" s="88"/>
      <c r="R75" s="88"/>
      <c r="S75" s="88"/>
      <c r="T75" s="88"/>
      <c r="U75" s="88"/>
      <c r="V75" s="88"/>
      <c r="W75" s="88"/>
      <c r="X75" s="88"/>
      <c r="Y75" s="88"/>
      <c r="Z75" s="88"/>
      <c r="AJ75" s="89"/>
    </row>
    <row r="76" spans="1:43" s="19" customFormat="1" ht="15" customHeight="1">
      <c r="E76" s="158" t="s">
        <v>871</v>
      </c>
      <c r="G76" s="195" t="s">
        <v>844</v>
      </c>
      <c r="I76" s="236">
        <f>CHOOSE(m_identity,ENWL!I76, NPgN!I76, NPgY!I76, WMID!I76, EMID!I76, SWALES!I76, SWEST!I76, LPN!I76,SPN!I76,EPN!I76,SPD!I76,SPMW!I76,SSEH!I76,SSES!I76)</f>
        <v>6608.1484301111032</v>
      </c>
      <c r="J76" s="88"/>
      <c r="K76" s="88"/>
      <c r="L76" s="88"/>
      <c r="M76" s="88"/>
      <c r="N76" s="88"/>
      <c r="O76" s="88"/>
      <c r="P76" s="88"/>
      <c r="Q76" s="88"/>
      <c r="R76" s="88"/>
      <c r="S76" s="88"/>
      <c r="T76" s="88"/>
      <c r="U76" s="88"/>
      <c r="V76" s="88"/>
      <c r="W76" s="88"/>
      <c r="X76" s="88"/>
      <c r="Y76" s="88"/>
      <c r="Z76" s="88"/>
      <c r="AJ76" s="89"/>
    </row>
    <row r="77" spans="1:43" s="19" customFormat="1" ht="15" customHeight="1">
      <c r="E77" s="158" t="s">
        <v>872</v>
      </c>
      <c r="G77" s="195" t="s">
        <v>844</v>
      </c>
      <c r="I77" s="236">
        <f>CHOOSE(m_identity,ENWL!I77, NPgN!I77, NPgY!I77, WMID!I77, EMID!I77, SWALES!I77, SWEST!I77, LPN!I77,SPN!I77,EPN!I77,SPD!I77,SPMW!I77,SSEH!I77,SSES!I77)</f>
        <v>6608.1484301111032</v>
      </c>
      <c r="J77" s="88"/>
      <c r="K77" s="88"/>
      <c r="L77" s="88"/>
      <c r="M77" s="88"/>
      <c r="N77" s="88"/>
      <c r="O77" s="88"/>
      <c r="P77" s="88"/>
      <c r="Q77" s="88"/>
      <c r="R77" s="88"/>
      <c r="S77" s="88"/>
      <c r="T77" s="88"/>
      <c r="U77" s="88"/>
      <c r="V77" s="88"/>
      <c r="W77" s="88"/>
      <c r="X77" s="88"/>
      <c r="Y77" s="88"/>
      <c r="Z77" s="88"/>
      <c r="AJ77" s="89"/>
    </row>
    <row r="78" spans="1:43" s="19" customFormat="1" ht="15" customHeight="1">
      <c r="E78" s="158"/>
      <c r="G78" s="195"/>
      <c r="I78" s="195"/>
      <c r="J78" s="88"/>
      <c r="K78" s="88"/>
      <c r="L78" s="88"/>
      <c r="M78" s="88"/>
      <c r="N78" s="88"/>
      <c r="O78" s="88"/>
      <c r="P78" s="88"/>
      <c r="Q78" s="88"/>
      <c r="R78" s="88"/>
      <c r="S78" s="88"/>
      <c r="T78" s="88"/>
      <c r="U78" s="88"/>
      <c r="V78" s="88"/>
      <c r="W78" s="88"/>
      <c r="X78" s="88"/>
      <c r="Y78" s="88"/>
      <c r="Z78" s="88"/>
      <c r="AJ78" s="89"/>
    </row>
    <row r="79" spans="1:43" s="44" customFormat="1" ht="15" customHeight="1">
      <c r="A79" s="158"/>
      <c r="B79" s="158"/>
      <c r="C79" s="160" t="s">
        <v>219</v>
      </c>
      <c r="D79" s="160"/>
      <c r="E79" s="160"/>
      <c r="F79" s="160"/>
      <c r="G79" s="160"/>
      <c r="H79" s="160"/>
      <c r="I79" s="160"/>
      <c r="J79" s="160"/>
      <c r="K79" s="160"/>
      <c r="L79" s="160"/>
      <c r="M79" s="160"/>
      <c r="N79" s="160"/>
      <c r="O79" s="160"/>
      <c r="P79" s="160"/>
      <c r="Q79" s="160"/>
      <c r="R79" s="160"/>
      <c r="S79" s="160"/>
      <c r="T79" s="160"/>
      <c r="U79" s="160"/>
      <c r="V79" s="160"/>
      <c r="W79" s="160"/>
      <c r="X79" s="160"/>
      <c r="Y79" s="160"/>
      <c r="Z79" s="160"/>
      <c r="AA79" s="160"/>
      <c r="AB79" s="160"/>
      <c r="AC79" s="160"/>
      <c r="AD79" s="160"/>
      <c r="AE79" s="160"/>
      <c r="AF79" s="160"/>
      <c r="AG79" s="160"/>
      <c r="AH79" s="160"/>
      <c r="AI79" s="160"/>
      <c r="AJ79" s="160"/>
      <c r="AK79" s="160"/>
      <c r="AL79" s="160"/>
      <c r="AM79" s="160"/>
      <c r="AN79" s="160"/>
      <c r="AO79" s="160"/>
      <c r="AP79" s="160"/>
      <c r="AQ79" s="160"/>
    </row>
    <row r="80" spans="1:43" s="44" customFormat="1" ht="15" customHeight="1">
      <c r="E80" s="3"/>
      <c r="F80" s="3"/>
      <c r="G80" s="3"/>
      <c r="H80" s="3"/>
      <c r="I80" s="3"/>
      <c r="J80" s="92"/>
      <c r="K80" s="92"/>
      <c r="L80" s="92"/>
      <c r="M80" s="179"/>
      <c r="N80" s="179"/>
      <c r="O80" s="92"/>
      <c r="P80" s="92"/>
      <c r="Q80" s="92"/>
      <c r="R80" s="92"/>
      <c r="S80" s="92"/>
      <c r="T80" s="92"/>
      <c r="U80" s="92"/>
      <c r="V80" s="92"/>
      <c r="W80" s="92"/>
      <c r="X80" s="92"/>
      <c r="Y80" s="92"/>
      <c r="Z80" s="92"/>
      <c r="AA80" s="97"/>
      <c r="AB80" s="97"/>
      <c r="AC80" s="97"/>
      <c r="AD80" s="94"/>
      <c r="AE80" s="94"/>
      <c r="AF80" s="94"/>
      <c r="AG80" s="94"/>
      <c r="AH80" s="94"/>
      <c r="AI80" s="94"/>
      <c r="AJ80" s="94"/>
      <c r="AK80" s="94"/>
      <c r="AL80" s="94"/>
      <c r="AM80" s="94"/>
      <c r="AN80" s="94"/>
      <c r="AO80" s="94"/>
      <c r="AP80" s="94"/>
      <c r="AQ80" s="94"/>
    </row>
    <row r="81" spans="2:43" s="44" customFormat="1" ht="15" customHeight="1">
      <c r="E81" s="157" t="s">
        <v>425</v>
      </c>
      <c r="F81" s="3"/>
      <c r="G81" s="3" t="s">
        <v>49</v>
      </c>
      <c r="H81" s="3"/>
      <c r="I81" s="238">
        <f>CHOOSE(m_identity,ENWL!I81, NPgN!I81, NPgY!I81, WMID!I81, EMID!I81, SWALES!I81, SWEST!I81, LPN!I81,SPN!I81,EPN!I81,SPD!I81,SPMW!I81,SSEH!I81,SSES!I81)</f>
        <v>0.05</v>
      </c>
      <c r="J81" s="33"/>
      <c r="K81" s="33"/>
      <c r="L81" s="33"/>
      <c r="M81" s="33"/>
      <c r="N81" s="33"/>
      <c r="O81" s="33"/>
      <c r="P81" s="33"/>
      <c r="Q81" s="33"/>
      <c r="R81" s="33"/>
      <c r="S81" s="33"/>
      <c r="T81" s="33"/>
      <c r="U81" s="33"/>
      <c r="V81" s="33"/>
      <c r="W81" s="33"/>
      <c r="X81" s="33"/>
      <c r="Y81" s="33"/>
      <c r="Z81" s="33"/>
      <c r="AA81" s="3"/>
      <c r="AB81" s="3"/>
      <c r="AD81" s="3"/>
      <c r="AE81" s="3"/>
      <c r="AG81" s="91"/>
      <c r="AI81" s="3"/>
      <c r="AK81" s="3"/>
      <c r="AL81" s="3"/>
      <c r="AM81" s="3"/>
      <c r="AN81" s="3"/>
      <c r="AO81" s="3"/>
      <c r="AP81" s="3"/>
      <c r="AQ81" s="3"/>
    </row>
    <row r="82" spans="2:43" s="44" customFormat="1" ht="15" customHeight="1">
      <c r="E82" s="3" t="s">
        <v>33</v>
      </c>
      <c r="F82" s="3"/>
      <c r="G82" s="3" t="s">
        <v>49</v>
      </c>
      <c r="H82" s="3"/>
      <c r="I82" s="238">
        <f>CHOOSE(m_identity,ENWL!I82, NPgN!I82, NPgY!I82, WMID!I82, EMID!I82, SWALES!I82, SWEST!I82, LPN!I82,SPN!I82,EPN!I82,SPD!I82,SPMW!I82,SSEH!I82,SSES!I82)</f>
        <v>0.05</v>
      </c>
      <c r="J82" s="33"/>
      <c r="K82" s="33"/>
      <c r="L82" s="33"/>
      <c r="M82" s="33"/>
      <c r="N82" s="33"/>
      <c r="O82" s="33"/>
      <c r="P82" s="33"/>
      <c r="Q82" s="33"/>
      <c r="R82" s="33"/>
      <c r="S82" s="33"/>
      <c r="T82" s="33"/>
      <c r="U82" s="33"/>
      <c r="V82" s="33"/>
      <c r="W82" s="33"/>
      <c r="X82" s="33"/>
      <c r="Y82" s="33"/>
      <c r="Z82" s="33"/>
      <c r="AL82" s="3"/>
      <c r="AM82" s="3"/>
      <c r="AN82" s="91"/>
      <c r="AO82" s="3"/>
      <c r="AP82" s="3"/>
      <c r="AQ82" s="3"/>
    </row>
    <row r="83" spans="2:43" s="44" customFormat="1" ht="15" customHeight="1">
      <c r="E83" s="195" t="s">
        <v>50</v>
      </c>
      <c r="F83" s="16"/>
      <c r="G83" s="16" t="s">
        <v>49</v>
      </c>
      <c r="H83" s="16"/>
      <c r="I83" s="238">
        <f>CHOOSE(m_identity,ENWL!I83, NPgN!I83, NPgY!I83, WMID!I83, EMID!I83, SWALES!I83, SWEST!I83, LPN!I83,SPN!I83,EPN!I83,SPD!I83,SPMW!I83,SSEH!I83,SSES!I83)</f>
        <v>0.05</v>
      </c>
      <c r="J83" s="104"/>
      <c r="K83" s="104"/>
      <c r="L83" s="104"/>
      <c r="M83" s="179"/>
      <c r="N83" s="179"/>
      <c r="O83" s="104"/>
      <c r="P83" s="104"/>
      <c r="Q83" s="104"/>
      <c r="R83" s="104"/>
      <c r="S83" s="104"/>
      <c r="T83" s="104"/>
      <c r="U83" s="104"/>
      <c r="V83" s="104"/>
      <c r="W83" s="104"/>
      <c r="X83" s="104"/>
      <c r="Y83" s="104"/>
      <c r="Z83" s="104"/>
      <c r="AJ83" s="216"/>
    </row>
    <row r="84" spans="2:43" s="44" customFormat="1" ht="15" customHeight="1">
      <c r="E84" s="3"/>
      <c r="F84" s="3"/>
      <c r="G84" s="3"/>
      <c r="H84" s="3"/>
      <c r="I84" s="3"/>
      <c r="J84" s="33"/>
      <c r="K84" s="33"/>
      <c r="L84" s="33"/>
      <c r="M84" s="33"/>
      <c r="N84" s="33"/>
      <c r="O84" s="33"/>
      <c r="P84" s="33"/>
      <c r="Q84" s="33"/>
      <c r="R84" s="33"/>
      <c r="S84" s="33"/>
      <c r="T84" s="33"/>
      <c r="U84" s="33"/>
      <c r="V84" s="33"/>
      <c r="W84" s="33"/>
      <c r="X84" s="33"/>
      <c r="Y84" s="33"/>
      <c r="Z84" s="33"/>
      <c r="AL84" s="102"/>
      <c r="AM84" s="85"/>
      <c r="AN84" s="103"/>
      <c r="AO84" s="103"/>
      <c r="AP84" s="103"/>
      <c r="AQ84" s="103"/>
    </row>
    <row r="85" spans="2:43" s="3" customFormat="1" ht="15" customHeight="1">
      <c r="E85" s="3" t="s">
        <v>169</v>
      </c>
      <c r="G85" s="195" t="s">
        <v>49</v>
      </c>
      <c r="I85" s="37"/>
      <c r="J85" s="33"/>
      <c r="K85" s="33"/>
      <c r="L85" s="33"/>
      <c r="M85" s="33"/>
      <c r="N85" s="33"/>
      <c r="O85" s="33"/>
      <c r="P85" s="33"/>
      <c r="Q85" s="33"/>
      <c r="R85" s="33"/>
      <c r="S85" s="33"/>
      <c r="T85" s="33"/>
      <c r="U85" s="33"/>
      <c r="V85" s="33"/>
      <c r="W85" s="33"/>
      <c r="X85" s="33"/>
      <c r="Y85" s="33"/>
      <c r="Z85" s="33"/>
      <c r="AJ85" s="238">
        <f>CHOOSE(m_identity,ENWL!AJ85, NPgN!AJ85, NPgY!AJ85, WMID!AJ85, EMID!AJ85, SWALES!AJ85, SWEST!AJ85, LPN!AJ85,SPN!AJ85,EPN!AJ85,SPD!AJ85,SPMW!AJ85,SSEH!AJ85,SSES!AJ85)</f>
        <v>0.65</v>
      </c>
      <c r="AK85" s="238">
        <f>CHOOSE(m_identity,ENWL!AK85, NPgN!AK85, NPgY!AK85, WMID!AK85, EMID!AK85, SWALES!AK85, SWEST!AK85, LPN!AK85,SPN!AK85,EPN!AK85,SPD!AK85,SPMW!AK85,SSEH!AK85,SSES!AK85)</f>
        <v>0.65</v>
      </c>
      <c r="AL85" s="238">
        <f>CHOOSE(m_identity,ENWL!AL85, NPgN!AL85, NPgY!AL85, WMID!AL85, EMID!AL85, SWALES!AL85, SWEST!AL85, LPN!AL85,SPN!AL85,EPN!AL85,SPD!AL85,SPMW!AL85,SSEH!AL85,SSES!AL85)</f>
        <v>0.65</v>
      </c>
      <c r="AM85" s="238">
        <f>CHOOSE(m_identity,ENWL!AM85, NPgN!AM85, NPgY!AM85, WMID!AM85, EMID!AM85, SWALES!AM85, SWEST!AM85, LPN!AM85,SPN!AM85,EPN!AM85,SPD!AM85,SPMW!AM85,SSEH!AM85,SSES!AM85)</f>
        <v>0.65</v>
      </c>
      <c r="AN85" s="238">
        <f>CHOOSE(m_identity,ENWL!AN85, NPgN!AN85, NPgY!AN85, WMID!AN85, EMID!AN85, SWALES!AN85, SWEST!AN85, LPN!AN85,SPN!AN85,EPN!AN85,SPD!AN85,SPMW!AN85,SSEH!AN85,SSES!AN85)</f>
        <v>0.65</v>
      </c>
      <c r="AO85" s="238">
        <f>CHOOSE(m_identity,ENWL!AO85, NPgN!AO85, NPgY!AO85, WMID!AO85, EMID!AO85, SWALES!AO85, SWEST!AO85, LPN!AO85,SPN!AO85,EPN!AO85,SPD!AO85,SPMW!AO85,SSEH!AO85,SSES!AO85)</f>
        <v>0.65</v>
      </c>
      <c r="AP85" s="238">
        <f>CHOOSE(m_identity,ENWL!AP85, NPgN!AP85, NPgY!AP85, WMID!AP85, EMID!AP85, SWALES!AP85, SWEST!AP85, LPN!AP85,SPN!AP85,EPN!AP85,SPD!AP85,SPMW!AP85,SSEH!AP85,SSES!AP85)</f>
        <v>0.65</v>
      </c>
      <c r="AQ85" s="238">
        <f>CHOOSE(m_identity,ENWL!AQ85, NPgN!AQ85, NPgY!AQ85, WMID!AQ85, EMID!AQ85, SWALES!AQ85, SWEST!AQ85, LPN!AQ85,SPN!AQ85,EPN!AQ85,SPD!AQ85,SPMW!AQ85,SSEH!AQ85,SSES!AQ85)</f>
        <v>0.65</v>
      </c>
    </row>
    <row r="86" spans="2:43" s="44" customFormat="1" ht="15" customHeight="1">
      <c r="E86" s="3"/>
      <c r="F86" s="3"/>
      <c r="G86" s="3"/>
      <c r="H86" s="3"/>
      <c r="I86" s="3"/>
      <c r="J86" s="33"/>
      <c r="K86" s="33"/>
      <c r="L86" s="33"/>
      <c r="M86" s="33"/>
      <c r="N86" s="33"/>
      <c r="O86" s="33"/>
      <c r="P86" s="33"/>
      <c r="Q86" s="33"/>
      <c r="R86" s="33"/>
      <c r="S86" s="33"/>
      <c r="T86" s="33"/>
      <c r="U86" s="33"/>
      <c r="V86" s="33"/>
      <c r="W86" s="33"/>
      <c r="X86" s="33"/>
      <c r="Y86" s="33"/>
      <c r="Z86" s="33"/>
      <c r="AL86" s="102"/>
      <c r="AM86" s="85"/>
      <c r="AN86" s="103"/>
      <c r="AO86" s="103"/>
      <c r="AP86" s="103"/>
      <c r="AQ86" s="103"/>
    </row>
    <row r="87" spans="2:43" s="155" customFormat="1" ht="15" customHeight="1">
      <c r="E87" s="3" t="s">
        <v>256</v>
      </c>
      <c r="F87" s="3"/>
      <c r="G87" s="16" t="s">
        <v>49</v>
      </c>
      <c r="H87" s="3"/>
      <c r="I87" s="3"/>
      <c r="J87" s="33"/>
      <c r="K87" s="33"/>
      <c r="L87" s="33"/>
      <c r="M87" s="33"/>
      <c r="N87" s="33"/>
      <c r="O87" s="33"/>
      <c r="P87" s="33"/>
      <c r="Q87" s="33"/>
      <c r="R87" s="33"/>
      <c r="S87" s="33"/>
      <c r="T87" s="33"/>
      <c r="U87" s="33"/>
      <c r="V87" s="33"/>
      <c r="W87" s="33"/>
      <c r="X87" s="33"/>
      <c r="Y87" s="33"/>
      <c r="Z87" s="33"/>
      <c r="AJ87" s="238">
        <f>CHOOSE(m_identity,ENWL!AJ87, NPgN!AJ87, NPgY!AJ87, WMID!AJ87, EMID!AJ87, SWALES!AJ87, SWEST!AJ87, LPN!AJ87,SPN!AJ87,EPN!AJ87,SPD!AJ87,SPMW!AJ87,SSEH!AJ87,SSES!AJ87)</f>
        <v>0.25</v>
      </c>
      <c r="AK87" s="238">
        <f>CHOOSE(m_identity,ENWL!AK87, NPgN!AK87, NPgY!AK87, WMID!AK87, EMID!AK87, SWALES!AK87, SWEST!AK87, LPN!AK87,SPN!AK87,EPN!AK87,SPD!AK87,SPMW!AK87,SSEH!AK87,SSES!AK87)</f>
        <v>0.25</v>
      </c>
      <c r="AL87" s="238">
        <f>CHOOSE(m_identity,ENWL!AL87, NPgN!AL87, NPgY!AL87, WMID!AL87, EMID!AL87, SWALES!AL87, SWEST!AL87, LPN!AL87,SPN!AL87,EPN!AL87,SPD!AL87,SPMW!AL87,SSEH!AL87,SSES!AL87)</f>
        <v>0.25</v>
      </c>
      <c r="AM87" s="238">
        <f>CHOOSE(m_identity,ENWL!AM87, NPgN!AM87, NPgY!AM87, WMID!AM87, EMID!AM87, SWALES!AM87, SWEST!AM87, LPN!AM87,SPN!AM87,EPN!AM87,SPD!AM87,SPMW!AM87,SSEH!AM87,SSES!AM87)</f>
        <v>0.25</v>
      </c>
      <c r="AN87" s="238">
        <f>CHOOSE(m_identity,ENWL!AN87, NPgN!AN87, NPgY!AN87, WMID!AN87, EMID!AN87, SWALES!AN87, SWEST!AN87, LPN!AN87,SPN!AN87,EPN!AN87,SPD!AN87,SPMW!AN87,SSEH!AN87,SSES!AN87)</f>
        <v>0.25</v>
      </c>
      <c r="AO87" s="238">
        <f>CHOOSE(m_identity,ENWL!AO87, NPgN!AO87, NPgY!AO87, WMID!AO87, EMID!AO87, SWALES!AO87, SWEST!AO87, LPN!AO87,SPN!AO87,EPN!AO87,SPD!AO87,SPMW!AO87,SSEH!AO87,SSES!AO87)</f>
        <v>0.25</v>
      </c>
      <c r="AP87" s="238">
        <f>CHOOSE(m_identity,ENWL!AP87, NPgN!AP87, NPgY!AP87, WMID!AP87, EMID!AP87, SWALES!AP87, SWEST!AP87, LPN!AP87,SPN!AP87,EPN!AP87,SPD!AP87,SPMW!AP87,SSEH!AP87,SSES!AP87)</f>
        <v>0.25</v>
      </c>
      <c r="AQ87" s="238">
        <f>CHOOSE(m_identity,ENWL!AQ87, NPgN!AQ87, NPgY!AQ87, WMID!AQ87, EMID!AQ87, SWALES!AQ87, SWEST!AQ87, LPN!AQ87,SPN!AQ87,EPN!AQ87,SPD!AQ87,SPMW!AQ87,SSEH!AQ87,SSES!AQ87)</f>
        <v>0.25</v>
      </c>
    </row>
    <row r="88" spans="2:43" s="155" customFormat="1" ht="15" customHeight="1">
      <c r="E88" s="3"/>
      <c r="F88" s="3"/>
      <c r="G88" s="3"/>
      <c r="H88" s="3"/>
      <c r="I88" s="3"/>
      <c r="J88" s="33"/>
      <c r="K88" s="33"/>
      <c r="L88" s="33"/>
      <c r="M88" s="33"/>
      <c r="N88" s="33"/>
      <c r="O88" s="33"/>
      <c r="P88" s="33"/>
      <c r="Q88" s="33"/>
      <c r="R88" s="33"/>
      <c r="S88" s="33"/>
      <c r="T88" s="33"/>
      <c r="U88" s="33"/>
      <c r="V88" s="33"/>
      <c r="W88" s="33"/>
      <c r="X88" s="33"/>
      <c r="Y88" s="33"/>
      <c r="Z88" s="33"/>
      <c r="AL88" s="102"/>
      <c r="AM88" s="85"/>
      <c r="AN88" s="103"/>
      <c r="AO88" s="103"/>
      <c r="AP88" s="103"/>
      <c r="AQ88" s="103"/>
    </row>
    <row r="89" spans="2:43" s="12" customFormat="1" ht="15" customHeight="1">
      <c r="B89" s="161" t="s">
        <v>195</v>
      </c>
      <c r="C89" s="161"/>
      <c r="D89" s="161"/>
      <c r="E89" s="161"/>
      <c r="F89" s="161"/>
      <c r="G89" s="161"/>
      <c r="H89" s="161"/>
      <c r="I89" s="161"/>
      <c r="J89" s="161"/>
      <c r="K89" s="161"/>
      <c r="L89" s="161"/>
      <c r="M89" s="161"/>
      <c r="N89" s="161"/>
      <c r="O89" s="161"/>
      <c r="P89" s="161"/>
      <c r="Q89" s="161"/>
      <c r="R89" s="161"/>
      <c r="S89" s="161"/>
      <c r="T89" s="161"/>
      <c r="U89" s="161"/>
      <c r="V89" s="161"/>
      <c r="W89" s="161"/>
      <c r="X89" s="161"/>
      <c r="Y89" s="161"/>
      <c r="Z89" s="161"/>
      <c r="AA89" s="161"/>
      <c r="AB89" s="161"/>
      <c r="AC89" s="161"/>
      <c r="AD89" s="161"/>
      <c r="AE89" s="161"/>
      <c r="AF89" s="161"/>
      <c r="AG89" s="161"/>
      <c r="AH89" s="161"/>
      <c r="AI89" s="161"/>
      <c r="AJ89" s="15"/>
      <c r="AK89" s="161"/>
      <c r="AL89" s="161"/>
      <c r="AM89" s="161"/>
      <c r="AN89" s="161"/>
      <c r="AO89" s="161"/>
      <c r="AP89" s="161"/>
      <c r="AQ89" s="161"/>
    </row>
    <row r="90" spans="2:43" s="12" customFormat="1" ht="15" customHeight="1">
      <c r="J90" s="14"/>
      <c r="K90" s="14"/>
      <c r="L90" s="14"/>
      <c r="M90" s="14"/>
      <c r="N90" s="14"/>
      <c r="O90" s="14"/>
      <c r="P90" s="14"/>
      <c r="Q90" s="14"/>
      <c r="R90" s="14"/>
      <c r="S90" s="14"/>
      <c r="T90" s="14"/>
      <c r="U90" s="14"/>
      <c r="V90" s="14"/>
      <c r="W90" s="14"/>
      <c r="X90" s="14"/>
      <c r="Y90" s="14"/>
      <c r="Z90" s="14"/>
    </row>
    <row r="91" spans="2:43" s="12" customFormat="1" ht="15" customHeight="1">
      <c r="C91" s="17" t="s">
        <v>69</v>
      </c>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row>
    <row r="92" spans="2:43" s="12" customFormat="1" ht="15" customHeight="1">
      <c r="J92" s="14"/>
      <c r="K92" s="14"/>
      <c r="L92" s="14"/>
      <c r="M92" s="14"/>
      <c r="N92" s="14"/>
      <c r="O92" s="14"/>
      <c r="P92" s="14"/>
      <c r="Q92" s="14"/>
      <c r="R92" s="14"/>
      <c r="S92" s="14"/>
      <c r="T92" s="14"/>
      <c r="U92" s="14"/>
      <c r="V92" s="14"/>
      <c r="W92" s="14"/>
      <c r="X92" s="14"/>
      <c r="Y92" s="14"/>
      <c r="Z92" s="14"/>
    </row>
    <row r="93" spans="2:43" s="148" customFormat="1" ht="15" customHeight="1">
      <c r="D93" s="162" t="s">
        <v>430</v>
      </c>
      <c r="E93" s="162"/>
      <c r="F93" s="162"/>
      <c r="G93" s="162"/>
      <c r="H93" s="162"/>
      <c r="I93" s="162"/>
      <c r="J93" s="162"/>
      <c r="K93" s="162"/>
      <c r="L93" s="162"/>
      <c r="M93" s="162"/>
      <c r="N93" s="162"/>
      <c r="O93" s="162"/>
      <c r="P93" s="162"/>
      <c r="Q93" s="162"/>
      <c r="R93" s="162"/>
      <c r="S93" s="162"/>
      <c r="T93" s="162"/>
      <c r="U93" s="162"/>
      <c r="V93" s="162"/>
      <c r="W93" s="162"/>
      <c r="X93" s="162"/>
      <c r="Y93" s="162"/>
      <c r="Z93" s="162"/>
      <c r="AA93" s="162"/>
      <c r="AB93" s="162"/>
      <c r="AC93" s="162"/>
      <c r="AD93" s="162"/>
      <c r="AE93" s="162"/>
      <c r="AF93" s="162"/>
      <c r="AG93" s="162"/>
      <c r="AH93" s="162"/>
      <c r="AI93" s="162"/>
      <c r="AJ93" s="162"/>
      <c r="AK93" s="162"/>
      <c r="AL93" s="162"/>
      <c r="AM93" s="162"/>
      <c r="AN93" s="162"/>
      <c r="AO93" s="162"/>
      <c r="AP93" s="162"/>
      <c r="AQ93" s="162"/>
    </row>
    <row r="94" spans="2:43" s="148" customFormat="1" ht="15" customHeight="1">
      <c r="E94" s="151"/>
      <c r="J94" s="14"/>
      <c r="K94" s="14"/>
      <c r="L94" s="14"/>
      <c r="M94" s="14"/>
      <c r="N94" s="14"/>
      <c r="O94" s="14"/>
      <c r="P94" s="14"/>
      <c r="Q94" s="14"/>
      <c r="R94" s="14"/>
      <c r="S94" s="14"/>
      <c r="T94" s="14"/>
      <c r="U94" s="14"/>
      <c r="V94" s="14"/>
      <c r="W94" s="14"/>
      <c r="X94" s="14"/>
      <c r="Y94" s="14"/>
      <c r="Z94" s="14"/>
    </row>
    <row r="95" spans="2:43" s="55" customFormat="1" ht="15" customHeight="1">
      <c r="E95" s="163" t="s">
        <v>399</v>
      </c>
      <c r="F95" s="19"/>
      <c r="G95" s="98" t="s">
        <v>844</v>
      </c>
      <c r="H95" s="19"/>
      <c r="I95" s="57"/>
      <c r="J95" s="19"/>
      <c r="K95" s="19"/>
      <c r="L95" s="19"/>
      <c r="M95" s="19"/>
      <c r="N95" s="19"/>
      <c r="O95" s="19"/>
      <c r="P95" s="19"/>
      <c r="Q95" s="19"/>
      <c r="R95" s="19"/>
      <c r="S95" s="19"/>
      <c r="T95" s="19"/>
      <c r="U95" s="19"/>
      <c r="V95" s="19"/>
      <c r="W95" s="19"/>
      <c r="X95" s="19"/>
      <c r="Y95" s="19"/>
      <c r="Z95" s="19"/>
      <c r="AA95" s="19"/>
      <c r="AB95" s="19"/>
      <c r="AC95" s="19"/>
      <c r="AD95" s="19"/>
      <c r="AE95" s="11"/>
      <c r="AH95" s="59"/>
      <c r="AI95" s="59"/>
      <c r="AJ95" s="236">
        <f>CHOOSE(m_identity,ENWL!AJ95, NPgN!AJ95, NPgY!AJ95, WMID!AJ95, EMID!AJ95, SWALES!AJ95, SWEST!AJ95, LPN!AJ95,SPN!AJ95,EPN!AJ95,SPD!AJ95,SPMW!AJ95,SSEH!AJ95,SSES!AJ95)</f>
        <v>0</v>
      </c>
      <c r="AK95" s="236">
        <f>CHOOSE(m_identity,ENWL!AK95, NPgN!AK95, NPgY!AK95, WMID!AK95, EMID!AK95, SWALES!AK95, SWEST!AK95, LPN!AK95,SPN!AK95,EPN!AK95,SPD!AK95,SPMW!AK95,SSEH!AK95,SSES!AK95)</f>
        <v>0</v>
      </c>
      <c r="AL95" s="236">
        <f>CHOOSE(m_identity,ENWL!AL95, NPgN!AL95, NPgY!AL95, WMID!AL95, EMID!AL95, SWALES!AL95, SWEST!AL95, LPN!AL95,SPN!AL95,EPN!AL95,SPD!AL95,SPMW!AL95,SSEH!AL95,SSES!AL95)</f>
        <v>0</v>
      </c>
      <c r="AM95" s="236">
        <f>CHOOSE(m_identity,ENWL!AM95, NPgN!AM95, NPgY!AM95, WMID!AM95, EMID!AM95, SWALES!AM95, SWEST!AM95, LPN!AM95,SPN!AM95,EPN!AM95,SPD!AM95,SPMW!AM95,SSEH!AM95,SSES!AM95)</f>
        <v>0</v>
      </c>
      <c r="AN95" s="236">
        <f>CHOOSE(m_identity,ENWL!AN95, NPgN!AN95, NPgY!AN95, WMID!AN95, EMID!AN95, SWALES!AN95, SWEST!AN95, LPN!AN95,SPN!AN95,EPN!AN95,SPD!AN95,SPMW!AN95,SSEH!AN95,SSES!AN95)</f>
        <v>0</v>
      </c>
      <c r="AO95" s="236">
        <f>CHOOSE(m_identity,ENWL!AO95, NPgN!AO95, NPgY!AO95, WMID!AO95, EMID!AO95, SWALES!AO95, SWEST!AO95, LPN!AO95,SPN!AO95,EPN!AO95,SPD!AO95,SPMW!AO95,SSEH!AO95,SSES!AO95)</f>
        <v>0</v>
      </c>
      <c r="AP95" s="236">
        <f>CHOOSE(m_identity,ENWL!AP95, NPgN!AP95, NPgY!AP95, WMID!AP95, EMID!AP95, SWALES!AP95, SWEST!AP95, LPN!AP95,SPN!AP95,EPN!AP95,SPD!AP95,SPMW!AP95,SSEH!AP95,SSES!AP95)</f>
        <v>0</v>
      </c>
      <c r="AQ95" s="236">
        <f>CHOOSE(m_identity,ENWL!AQ95, NPgN!AQ95, NPgY!AQ95, WMID!AQ95, EMID!AQ95, SWALES!AQ95, SWEST!AQ95, LPN!AQ95,SPN!AQ95,EPN!AQ95,SPD!AQ95,SPMW!AQ95,SSEH!AQ95,SSES!AQ95)</f>
        <v>0</v>
      </c>
    </row>
    <row r="96" spans="2:43" s="55" customFormat="1" ht="15" customHeight="1">
      <c r="E96" s="163" t="s">
        <v>662</v>
      </c>
      <c r="G96" s="98" t="s">
        <v>844</v>
      </c>
      <c r="I96" s="58"/>
      <c r="M96" s="98"/>
      <c r="N96" s="98"/>
      <c r="AE96" s="11"/>
      <c r="AJ96" s="236">
        <f>CHOOSE(m_identity,ENWL!AJ96, NPgN!AJ96, NPgY!AJ96, WMID!AJ96, EMID!AJ96, SWALES!AJ96, SWEST!AJ96, LPN!AJ96,SPN!AJ96,EPN!AJ96,SPD!AJ96,SPMW!AJ96,SSEH!AJ96,SSES!AJ96)</f>
        <v>58.241762059550652</v>
      </c>
      <c r="AK96" s="236">
        <f>CHOOSE(m_identity,ENWL!AK96, NPgN!AK96, NPgY!AK96, WMID!AK96, EMID!AK96, SWALES!AK96, SWEST!AK96, LPN!AK96,SPN!AK96,EPN!AK96,SPD!AK96,SPMW!AK96,SSEH!AK96,SSES!AK96)</f>
        <v>67.60151601242957</v>
      </c>
      <c r="AL96" s="236">
        <f>CHOOSE(m_identity,ENWL!AL96, NPgN!AL96, NPgY!AL96, WMID!AL96, EMID!AL96, SWALES!AL96, SWEST!AL96, LPN!AL96,SPN!AL96,EPN!AL96,SPD!AL96,SPMW!AL96,SSEH!AL96,SSES!AL96)</f>
        <v>63.685786608426014</v>
      </c>
      <c r="AM96" s="236">
        <f>CHOOSE(m_identity,ENWL!AM96, NPgN!AM96, NPgY!AM96, WMID!AM96, EMID!AM96, SWALES!AM96, SWEST!AM96, LPN!AM96,SPN!AM96,EPN!AM96,SPD!AM96,SPMW!AM96,SSEH!AM96,SSES!AM96)</f>
        <v>63.988969856161901</v>
      </c>
      <c r="AN96" s="236">
        <f>CHOOSE(m_identity,ENWL!AN96, NPgN!AN96, NPgY!AN96, WMID!AN96, EMID!AN96, SWALES!AN96, SWEST!AN96, LPN!AN96,SPN!AN96,EPN!AN96,SPD!AN96,SPMW!AN96,SSEH!AN96,SSES!AN96)</f>
        <v>62.861331229506987</v>
      </c>
      <c r="AO96" s="236">
        <f>CHOOSE(m_identity,ENWL!AO96, NPgN!AO96, NPgY!AO96, WMID!AO96, EMID!AO96, SWALES!AO96, SWEST!AO96, LPN!AO96,SPN!AO96,EPN!AO96,SPD!AO96,SPMW!AO96,SSEH!AO96,SSES!AO96)</f>
        <v>62.567136719531455</v>
      </c>
      <c r="AP96" s="236">
        <f>CHOOSE(m_identity,ENWL!AP96, NPgN!AP96, NPgY!AP96, WMID!AP96, EMID!AP96, SWALES!AP96, SWEST!AP96, LPN!AP96,SPN!AP96,EPN!AP96,SPD!AP96,SPMW!AP96,SSEH!AP96,SSES!AP96)</f>
        <v>58.862741628195216</v>
      </c>
      <c r="AQ96" s="236">
        <f>CHOOSE(m_identity,ENWL!AQ96, NPgN!AQ96, NPgY!AQ96, WMID!AQ96, EMID!AQ96, SWALES!AQ96, SWEST!AQ96, LPN!AQ96,SPN!AQ96,EPN!AQ96,SPD!AQ96,SPMW!AQ96,SSEH!AQ96,SSES!AQ96)</f>
        <v>57.066748754906456</v>
      </c>
    </row>
    <row r="97" spans="4:43" s="55" customFormat="1" ht="15" customHeight="1">
      <c r="E97" s="163" t="s">
        <v>400</v>
      </c>
      <c r="G97" s="98" t="s">
        <v>844</v>
      </c>
      <c r="I97" s="58"/>
      <c r="M97" s="98"/>
      <c r="N97" s="98"/>
      <c r="AG97" s="59"/>
      <c r="AH97" s="59"/>
      <c r="AI97" s="59"/>
      <c r="AJ97" s="236">
        <f>CHOOSE(m_identity,ENWL!AJ97, NPgN!AJ97, NPgY!AJ97, WMID!AJ97, EMID!AJ97, SWALES!AJ97, SWEST!AJ97, LPN!AJ97,SPN!AJ97,EPN!AJ97,SPD!AJ97,SPMW!AJ97,SSEH!AJ97,SSES!AJ97)</f>
        <v>13.991215034853029</v>
      </c>
      <c r="AK97" s="236">
        <f>CHOOSE(m_identity,ENWL!AK97, NPgN!AK97, NPgY!AK97, WMID!AK97, EMID!AK97, SWALES!AK97, SWEST!AK97, LPN!AK97,SPN!AK97,EPN!AK97,SPD!AK97,SPMW!AK97,SSEH!AK97,SSES!AK97)</f>
        <v>18.928463332794266</v>
      </c>
      <c r="AL97" s="236">
        <f>CHOOSE(m_identity,ENWL!AL97, NPgN!AL97, NPgY!AL97, WMID!AL97, EMID!AL97, SWALES!AL97, SWEST!AL97, LPN!AL97,SPN!AL97,EPN!AL97,SPD!AL97,SPMW!AL97,SSEH!AL97,SSES!AL97)</f>
        <v>16.482738082368776</v>
      </c>
      <c r="AM97" s="236">
        <f>CHOOSE(m_identity,ENWL!AM97, NPgN!AM97, NPgY!AM97, WMID!AM97, EMID!AM97, SWALES!AM97, SWEST!AM97, LPN!AM97,SPN!AM97,EPN!AM97,SPD!AM97,SPMW!AM97,SSEH!AM97,SSES!AM97)</f>
        <v>15.458043617419392</v>
      </c>
      <c r="AN97" s="236">
        <f>CHOOSE(m_identity,ENWL!AN97, NPgN!AN97, NPgY!AN97, WMID!AN97, EMID!AN97, SWALES!AN97, SWEST!AN97, LPN!AN97,SPN!AN97,EPN!AN97,SPD!AN97,SPMW!AN97,SSEH!AN97,SSES!AN97)</f>
        <v>15.767547692558061</v>
      </c>
      <c r="AO97" s="236">
        <f>CHOOSE(m_identity,ENWL!AO97, NPgN!AO97, NPgY!AO97, WMID!AO97, EMID!AO97, SWALES!AO97, SWEST!AO97, LPN!AO97,SPN!AO97,EPN!AO97,SPD!AO97,SPMW!AO97,SSEH!AO97,SSES!AO97)</f>
        <v>14.502008789609039</v>
      </c>
      <c r="AP97" s="236">
        <f>CHOOSE(m_identity,ENWL!AP97, NPgN!AP97, NPgY!AP97, WMID!AP97, EMID!AP97, SWALES!AP97, SWEST!AP97, LPN!AP97,SPN!AP97,EPN!AP97,SPD!AP97,SPMW!AP97,SSEH!AP97,SSES!AP97)</f>
        <v>16.731030495438947</v>
      </c>
      <c r="AQ97" s="236">
        <f>CHOOSE(m_identity,ENWL!AQ97, NPgN!AQ97, NPgY!AQ97, WMID!AQ97, EMID!AQ97, SWALES!AQ97, SWEST!AQ97, LPN!AQ97,SPN!AQ97,EPN!AQ97,SPD!AQ97,SPMW!AQ97,SSEH!AQ97,SSES!AQ97)</f>
        <v>15.271170582085546</v>
      </c>
    </row>
    <row r="98" spans="4:43" s="98" customFormat="1" ht="15" customHeight="1">
      <c r="E98" s="163" t="s">
        <v>703</v>
      </c>
      <c r="G98" s="98" t="s">
        <v>844</v>
      </c>
      <c r="I98" s="58"/>
      <c r="AG98" s="59"/>
      <c r="AH98" s="59"/>
      <c r="AI98" s="59"/>
      <c r="AJ98" s="236">
        <f>CHOOSE(m_identity,ENWL!AJ98, NPgN!AJ98, NPgY!AJ98, WMID!AJ98, EMID!AJ98, SWALES!AJ98, SWEST!AJ98, LPN!AJ98,SPN!AJ98,EPN!AJ98,SPD!AJ98,SPMW!AJ98,SSEH!AJ98,SSES!AJ98)</f>
        <v>23.008090432561694</v>
      </c>
      <c r="AK98" s="236">
        <f>CHOOSE(m_identity,ENWL!AK98, NPgN!AK98, NPgY!AK98, WMID!AK98, EMID!AK98, SWALES!AK98, SWEST!AK98, LPN!AK98,SPN!AK98,EPN!AK98,SPD!AK98,SPMW!AK98,SSEH!AK98,SSES!AK98)</f>
        <v>22.892742106570036</v>
      </c>
      <c r="AL98" s="236">
        <f>CHOOSE(m_identity,ENWL!AL98, NPgN!AL98, NPgY!AL98, WMID!AL98, EMID!AL98, SWALES!AL98, SWEST!AL98, LPN!AL98,SPN!AL98,EPN!AL98,SPD!AL98,SPMW!AL98,SSEH!AL98,SSES!AL98)</f>
        <v>22.858878503846469</v>
      </c>
      <c r="AM98" s="236">
        <f>CHOOSE(m_identity,ENWL!AM98, NPgN!AM98, NPgY!AM98, WMID!AM98, EMID!AM98, SWALES!AM98, SWEST!AM98, LPN!AM98,SPN!AM98,EPN!AM98,SPD!AM98,SPMW!AM98,SSEH!AM98,SSES!AM98)</f>
        <v>22.97314495624822</v>
      </c>
      <c r="AN98" s="236">
        <f>CHOOSE(m_identity,ENWL!AN98, NPgN!AN98, NPgY!AN98, WMID!AN98, EMID!AN98, SWALES!AN98, SWEST!AN98, LPN!AN98,SPN!AN98,EPN!AN98,SPD!AN98,SPMW!AN98,SSEH!AN98,SSES!AN98)</f>
        <v>23.120071766167612</v>
      </c>
      <c r="AO98" s="236">
        <f>CHOOSE(m_identity,ENWL!AO98, NPgN!AO98, NPgY!AO98, WMID!AO98, EMID!AO98, SWALES!AO98, SWEST!AO98, LPN!AO98,SPN!AO98,EPN!AO98,SPD!AO98,SPMW!AO98,SSEH!AO98,SSES!AO98)</f>
        <v>23.374384462375929</v>
      </c>
      <c r="AP98" s="236">
        <f>CHOOSE(m_identity,ENWL!AP98, NPgN!AP98, NPgY!AP98, WMID!AP98, EMID!AP98, SWALES!AP98, SWEST!AP98, LPN!AP98,SPN!AP98,EPN!AP98,SPD!AP98,SPMW!AP98,SSEH!AP98,SSES!AP98)</f>
        <v>23.980841433706388</v>
      </c>
      <c r="AQ98" s="236">
        <f>CHOOSE(m_identity,ENWL!AQ98, NPgN!AQ98, NPgY!AQ98, WMID!AQ98, EMID!AQ98, SWALES!AQ98, SWEST!AQ98, LPN!AQ98,SPN!AQ98,EPN!AQ98,SPD!AQ98,SPMW!AQ98,SSEH!AQ98,SSES!AQ98)</f>
        <v>24.498382573441969</v>
      </c>
    </row>
    <row r="99" spans="4:43" s="98" customFormat="1" ht="15" customHeight="1">
      <c r="E99" s="549" t="s">
        <v>993</v>
      </c>
      <c r="G99" s="98" t="s">
        <v>844</v>
      </c>
      <c r="I99" s="58"/>
      <c r="AG99" s="59"/>
      <c r="AH99" s="59"/>
      <c r="AI99" s="59"/>
      <c r="AJ99" s="236">
        <f>CHOOSE(m_identity,ENWL!AJ99, NPgN!AJ99, NPgY!AJ99, WMID!AJ99, EMID!AJ99, SWALES!AJ99, SWEST!AJ99, LPN!AJ99,SPN!AJ99,EPN!AJ99,SPD!AJ99,SPMW!AJ99,SSEH!AJ99,SSES!AJ99)</f>
        <v>8.2841718957351382</v>
      </c>
      <c r="AK99" s="236">
        <f>CHOOSE(m_identity,ENWL!AK99, NPgN!AK99, NPgY!AK99, WMID!AK99, EMID!AK99, SWALES!AK99, SWEST!AK99, LPN!AK99,SPN!AK99,EPN!AK99,SPD!AK99,SPMW!AK99,SSEH!AK99,SSES!AK99)</f>
        <v>8.3879646906665197</v>
      </c>
      <c r="AL99" s="236">
        <f>CHOOSE(m_identity,ENWL!AL99, NPgN!AL99, NPgY!AL99, WMID!AL99, EMID!AL99, SWALES!AL99, SWEST!AL99, LPN!AL99,SPN!AL99,EPN!AL99,SPD!AL99,SPMW!AL99,SSEH!AL99,SSES!AL99)</f>
        <v>8.4927246531457889</v>
      </c>
      <c r="AM99" s="236">
        <f>CHOOSE(m_identity,ENWL!AM99, NPgN!AM99, NPgY!AM99, WMID!AM99, EMID!AM99, SWALES!AM99, SWEST!AM99, LPN!AM99,SPN!AM99,EPN!AM99,SPD!AM99,SPMW!AM99,SSEH!AM99,SSES!AM99)</f>
        <v>8.5851383427340835</v>
      </c>
      <c r="AN99" s="236">
        <f>CHOOSE(m_identity,ENWL!AN99, NPgN!AN99, NPgY!AN99, WMID!AN99, EMID!AN99, SWALES!AN99, SWEST!AN99, LPN!AN99,SPN!AN99,EPN!AN99,SPD!AN99,SPMW!AN99,SSEH!AN99,SSES!AN99)</f>
        <v>8.7337511061520772</v>
      </c>
      <c r="AO99" s="236">
        <f>CHOOSE(m_identity,ENWL!AO99, NPgN!AO99, NPgY!AO99, WMID!AO99, EMID!AO99, SWALES!AO99, SWEST!AO99, LPN!AO99,SPN!AO99,EPN!AO99,SPD!AO99,SPMW!AO99,SSEH!AO99,SSES!AO99)</f>
        <v>8.7244212967361001</v>
      </c>
      <c r="AP99" s="236">
        <f>CHOOSE(m_identity,ENWL!AP99, NPgN!AP99, NPgY!AP99, WMID!AP99, EMID!AP99, SWALES!AP99, SWEST!AP99, LPN!AP99,SPN!AP99,EPN!AP99,SPD!AP99,SPMW!AP99,SSEH!AP99,SSES!AP99)</f>
        <v>8.7251645355224134</v>
      </c>
      <c r="AQ99" s="236">
        <f>CHOOSE(m_identity,ENWL!AQ99, NPgN!AQ99, NPgY!AQ99, WMID!AQ99, EMID!AQ99, SWALES!AQ99, SWEST!AQ99, LPN!AQ99,SPN!AQ99,EPN!AQ99,SPD!AQ99,SPMW!AQ99,SSEH!AQ99,SSES!AQ99)</f>
        <v>8.7084713647120999</v>
      </c>
    </row>
    <row r="100" spans="4:43" s="98" customFormat="1" ht="15" customHeight="1">
      <c r="E100" s="163" t="s">
        <v>919</v>
      </c>
      <c r="G100" s="98" t="s">
        <v>844</v>
      </c>
      <c r="I100" s="58"/>
      <c r="AG100" s="59"/>
      <c r="AH100" s="59"/>
      <c r="AI100" s="59"/>
      <c r="AJ100" s="236">
        <f>CHOOSE(m_identity,ENWL!AJ100, NPgN!AJ100, NPgY!AJ100, WMID!AJ100, EMID!AJ100, SWALES!AJ100, SWEST!AJ100, LPN!AJ100,SPN!AJ100,EPN!AJ100,SPD!AJ100,SPMW!AJ100,SSEH!AJ100,SSES!AJ100)</f>
        <v>12.005047995283977</v>
      </c>
      <c r="AK100" s="236">
        <f>CHOOSE(m_identity,ENWL!AK100, NPgN!AK100, NPgY!AK100, WMID!AK100, EMID!AK100, SWALES!AK100, SWEST!AK100, LPN!AK100,SPN!AK100,EPN!AK100,SPD!AK100,SPMW!AK100,SSEH!AK100,SSES!AK100)</f>
        <v>11.866710411009489</v>
      </c>
      <c r="AL100" s="236">
        <f>CHOOSE(m_identity,ENWL!AL100, NPgN!AL100, NPgY!AL100, WMID!AL100, EMID!AL100, SWALES!AL100, SWEST!AL100, LPN!AL100,SPN!AL100,EPN!AL100,SPD!AL100,SPMW!AL100,SSEH!AL100,SSES!AL100)</f>
        <v>11.488819313469863</v>
      </c>
      <c r="AM100" s="236">
        <f>CHOOSE(m_identity,ENWL!AM100, NPgN!AM100, NPgY!AM100, WMID!AM100, EMID!AM100, SWALES!AM100, SWEST!AM100, LPN!AM100,SPN!AM100,EPN!AM100,SPD!AM100,SPMW!AM100,SSEH!AM100,SSES!AM100)</f>
        <v>11.133211424279915</v>
      </c>
      <c r="AN100" s="236">
        <f>CHOOSE(m_identity,ENWL!AN100, NPgN!AN100, NPgY!AN100, WMID!AN100, EMID!AN100, SWALES!AN100, SWEST!AN100, LPN!AN100,SPN!AN100,EPN!AN100,SPD!AN100,SPMW!AN100,SSEH!AN100,SSES!AN100)</f>
        <v>10.672034763404998</v>
      </c>
      <c r="AO100" s="236">
        <f>CHOOSE(m_identity,ENWL!AO100, NPgN!AO100, NPgY!AO100, WMID!AO100, EMID!AO100, SWALES!AO100, SWEST!AO100, LPN!AO100,SPN!AO100,EPN!AO100,SPD!AO100,SPMW!AO100,SSEH!AO100,SSES!AO100)</f>
        <v>10.187313667721998</v>
      </c>
      <c r="AP100" s="236">
        <f>CHOOSE(m_identity,ENWL!AP100, NPgN!AP100, NPgY!AP100, WMID!AP100, EMID!AP100, SWALES!AP100, SWEST!AP100, LPN!AP100,SPN!AP100,EPN!AP100,SPD!AP100,SPMW!AP100,SSEH!AP100,SSES!AP100)</f>
        <v>9.4352877511775048</v>
      </c>
      <c r="AQ100" s="236">
        <f>CHOOSE(m_identity,ENWL!AQ100, NPgN!AQ100, NPgY!AQ100, WMID!AQ100, EMID!AQ100, SWALES!AQ100, SWEST!AQ100, LPN!AQ100,SPN!AQ100,EPN!AQ100,SPD!AQ100,SPMW!AQ100,SSEH!AQ100,SSES!AQ100)</f>
        <v>8.8523194192476673</v>
      </c>
    </row>
    <row r="101" spans="4:43" s="55" customFormat="1" ht="15" customHeight="1">
      <c r="E101" s="163" t="s">
        <v>401</v>
      </c>
      <c r="G101" s="98" t="s">
        <v>844</v>
      </c>
      <c r="I101" s="58"/>
      <c r="M101" s="98"/>
      <c r="N101" s="98"/>
      <c r="AJ101" s="236">
        <f>CHOOSE(m_identity,ENWL!AJ101, NPgN!AJ101, NPgY!AJ101, WMID!AJ101, EMID!AJ101, SWALES!AJ101, SWEST!AJ101, LPN!AJ101,SPN!AJ101,EPN!AJ101,SPD!AJ101,SPMW!AJ101,SSEH!AJ101,SSES!AJ101)</f>
        <v>79.755690507905229</v>
      </c>
      <c r="AK101" s="236">
        <f>CHOOSE(m_identity,ENWL!AK101, NPgN!AK101, NPgY!AK101, WMID!AK101, EMID!AK101, SWALES!AK101, SWEST!AK101, LPN!AK101,SPN!AK101,EPN!AK101,SPD!AK101,SPMW!AK101,SSEH!AK101,SSES!AK101)</f>
        <v>79.107224852823933</v>
      </c>
      <c r="AL101" s="236">
        <f>CHOOSE(m_identity,ENWL!AL101, NPgN!AL101, NPgY!AL101, WMID!AL101, EMID!AL101, SWALES!AL101, SWEST!AL101, LPN!AL101,SPN!AL101,EPN!AL101,SPD!AL101,SPMW!AL101,SSEH!AL101,SSES!AL101)</f>
        <v>77.504996094820783</v>
      </c>
      <c r="AM101" s="236">
        <f>CHOOSE(m_identity,ENWL!AM101, NPgN!AM101, NPgY!AM101, WMID!AM101, EMID!AM101, SWALES!AM101, SWEST!AM101, LPN!AM101,SPN!AM101,EPN!AM101,SPD!AM101,SPMW!AM101,SSEH!AM101,SSES!AM101)</f>
        <v>77.413193066922062</v>
      </c>
      <c r="AN101" s="236">
        <f>CHOOSE(m_identity,ENWL!AN101, NPgN!AN101, NPgY!AN101, WMID!AN101, EMID!AN101, SWALES!AN101, SWEST!AN101, LPN!AN101,SPN!AN101,EPN!AN101,SPD!AN101,SPMW!AN101,SSEH!AN101,SSES!AN101)</f>
        <v>76.439106663338691</v>
      </c>
      <c r="AO101" s="236">
        <f>CHOOSE(m_identity,ENWL!AO101, NPgN!AO101, NPgY!AO101, WMID!AO101, EMID!AO101, SWALES!AO101, SWEST!AO101, LPN!AO101,SPN!AO101,EPN!AO101,SPD!AO101,SPMW!AO101,SSEH!AO101,SSES!AO101)</f>
        <v>75.993393679638743</v>
      </c>
      <c r="AP101" s="236">
        <f>CHOOSE(m_identity,ENWL!AP101, NPgN!AP101, NPgY!AP101, WMID!AP101, EMID!AP101, SWALES!AP101, SWEST!AP101, LPN!AP101,SPN!AP101,EPN!AP101,SPD!AP101,SPMW!AP101,SSEH!AP101,SSES!AP101)</f>
        <v>77.089081902134112</v>
      </c>
      <c r="AQ101" s="236">
        <f>CHOOSE(m_identity,ENWL!AQ101, NPgN!AQ101, NPgY!AQ101, WMID!AQ101, EMID!AQ101, SWALES!AQ101, SWEST!AQ101, LPN!AQ101,SPN!AQ101,EPN!AQ101,SPD!AQ101,SPMW!AQ101,SSEH!AQ101,SSES!AQ101)</f>
        <v>76.485895790522221</v>
      </c>
    </row>
    <row r="103" spans="4:43" s="55" customFormat="1" ht="15" customHeight="1">
      <c r="D103" s="162" t="s">
        <v>398</v>
      </c>
      <c r="E103" s="162"/>
      <c r="F103" s="162"/>
      <c r="G103" s="162"/>
      <c r="H103" s="162"/>
      <c r="I103" s="162"/>
      <c r="J103" s="162"/>
      <c r="K103" s="162"/>
      <c r="L103" s="162"/>
      <c r="M103" s="162"/>
      <c r="N103" s="162"/>
      <c r="O103" s="162"/>
      <c r="P103" s="162"/>
      <c r="Q103" s="162"/>
      <c r="R103" s="162"/>
      <c r="S103" s="162"/>
      <c r="T103" s="162"/>
      <c r="U103" s="162"/>
      <c r="V103" s="162"/>
      <c r="W103" s="162"/>
      <c r="X103" s="162"/>
      <c r="Y103" s="162"/>
      <c r="Z103" s="162"/>
      <c r="AA103" s="162"/>
      <c r="AB103" s="162"/>
      <c r="AC103" s="162"/>
      <c r="AD103" s="162"/>
      <c r="AE103" s="162"/>
      <c r="AF103" s="162"/>
      <c r="AG103" s="162"/>
      <c r="AH103" s="162"/>
      <c r="AI103" s="162"/>
      <c r="AJ103" s="162"/>
      <c r="AK103" s="162"/>
      <c r="AL103" s="162"/>
      <c r="AM103" s="162"/>
      <c r="AN103" s="162"/>
      <c r="AO103" s="162"/>
      <c r="AP103" s="162"/>
      <c r="AQ103" s="162"/>
    </row>
    <row r="104" spans="4:43" s="55" customFormat="1" ht="15" customHeight="1">
      <c r="E104" s="163"/>
      <c r="I104" s="58"/>
      <c r="M104" s="98"/>
      <c r="N104" s="98"/>
      <c r="AJ104" s="151"/>
      <c r="AK104" s="151"/>
      <c r="AL104" s="151"/>
      <c r="AM104" s="151"/>
      <c r="AN104" s="151"/>
      <c r="AO104" s="151"/>
      <c r="AP104" s="151"/>
      <c r="AQ104" s="151"/>
    </row>
    <row r="105" spans="4:43" s="98" customFormat="1" ht="15" customHeight="1">
      <c r="E105" s="154" t="str">
        <f>E19</f>
        <v xml:space="preserve">Allowed Expenditure - Enhanced Physical Site Security                                                                                                   </v>
      </c>
      <c r="G105" s="98" t="s">
        <v>844</v>
      </c>
      <c r="I105" s="58"/>
      <c r="AJ105" s="221">
        <f>AJ19</f>
        <v>2.5152614695250004</v>
      </c>
      <c r="AK105" s="221">
        <f t="shared" ref="AK105:AQ105" si="2">AK19</f>
        <v>0</v>
      </c>
      <c r="AL105" s="221">
        <f t="shared" si="2"/>
        <v>0</v>
      </c>
      <c r="AM105" s="221">
        <f t="shared" si="2"/>
        <v>2.5860496786900762</v>
      </c>
      <c r="AN105" s="221">
        <f t="shared" si="2"/>
        <v>3.1323096701978663</v>
      </c>
      <c r="AO105" s="221">
        <f t="shared" si="2"/>
        <v>1.0539113881358191</v>
      </c>
      <c r="AP105" s="221">
        <f t="shared" si="2"/>
        <v>0</v>
      </c>
      <c r="AQ105" s="221">
        <f t="shared" si="2"/>
        <v>0</v>
      </c>
    </row>
    <row r="106" spans="4:43" s="98" customFormat="1" ht="15" customHeight="1">
      <c r="E106" s="268" t="s">
        <v>522</v>
      </c>
      <c r="G106" s="98" t="s">
        <v>49</v>
      </c>
      <c r="I106" s="158"/>
      <c r="AJ106" s="238">
        <f>CHOOSE(m_identity,ENWL!AJ106, NPgN!AJ106, NPgY!AJ106, WMID!AJ106, EMID!AJ106, SWALES!AJ106, SWEST!AJ106, LPN!AJ106,SPN!AJ106,EPN!AJ106,SPD!AJ106,SPMW!AJ106,SSEH!AJ106,SSES!AJ106)</f>
        <v>0</v>
      </c>
      <c r="AK106" s="238">
        <f>CHOOSE(m_identity,ENWL!AK106, NPgN!AK106, NPgY!AK106, WMID!AK106, EMID!AK106, SWALES!AK106, SWEST!AK106, LPN!AK106,SPN!AK106,EPN!AK106,SPD!AK106,SPMW!AK106,SSEH!AK106,SSES!AK106)</f>
        <v>0</v>
      </c>
      <c r="AL106" s="238">
        <f>CHOOSE(m_identity,ENWL!AL106, NPgN!AL106, NPgY!AL106, WMID!AL106, EMID!AL106, SWALES!AL106, SWEST!AL106, LPN!AL106,SPN!AL106,EPN!AL106,SPD!AL106,SPMW!AL106,SSEH!AL106,SSES!AL106)</f>
        <v>0</v>
      </c>
      <c r="AM106" s="238">
        <f>CHOOSE(m_identity,ENWL!AM106, NPgN!AM106, NPgY!AM106, WMID!AM106, EMID!AM106, SWALES!AM106, SWEST!AM106, LPN!AM106,SPN!AM106,EPN!AM106,SPD!AM106,SPMW!AM106,SSEH!AM106,SSES!AM106)</f>
        <v>0</v>
      </c>
      <c r="AN106" s="238">
        <f>CHOOSE(m_identity,ENWL!AN106, NPgN!AN106, NPgY!AN106, WMID!AN106, EMID!AN106, SWALES!AN106, SWEST!AN106, LPN!AN106,SPN!AN106,EPN!AN106,SPD!AN106,SPMW!AN106,SSEH!AN106,SSES!AN106)</f>
        <v>0</v>
      </c>
      <c r="AO106" s="238">
        <f>CHOOSE(m_identity,ENWL!AO106, NPgN!AO106, NPgY!AO106, WMID!AO106, EMID!AO106, SWALES!AO106, SWEST!AO106, LPN!AO106,SPN!AO106,EPN!AO106,SPD!AO106,SPMW!AO106,SSEH!AO106,SSES!AO106)</f>
        <v>0</v>
      </c>
      <c r="AP106" s="238">
        <f>CHOOSE(m_identity,ENWL!AP106, NPgN!AP106, NPgY!AP106, WMID!AP106, EMID!AP106, SWALES!AP106, SWEST!AP106, LPN!AP106,SPN!AP106,EPN!AP106,SPD!AP106,SPMW!AP106,SSEH!AP106,SSES!AP106)</f>
        <v>0</v>
      </c>
      <c r="AQ106" s="238">
        <f>CHOOSE(m_identity,ENWL!AQ106, NPgN!AQ106, NPgY!AQ106, WMID!AQ106, EMID!AQ106, SWALES!AQ106, SWEST!AQ106, LPN!AQ106,SPN!AQ106,EPN!AQ106,SPD!AQ106,SPMW!AQ106,SSEH!AQ106,SSES!AQ106)</f>
        <v>0</v>
      </c>
    </row>
    <row r="107" spans="4:43" s="98" customFormat="1" ht="15" customHeight="1">
      <c r="E107" s="268" t="s">
        <v>663</v>
      </c>
      <c r="G107" s="98" t="s">
        <v>49</v>
      </c>
      <c r="I107" s="158"/>
      <c r="AJ107" s="238">
        <f>CHOOSE(m_identity,ENWL!AJ107, NPgN!AJ107, NPgY!AJ107, WMID!AJ107, EMID!AJ107, SWALES!AJ107, SWEST!AJ107, LPN!AJ107,SPN!AJ107,EPN!AJ107,SPD!AJ107,SPMW!AJ107,SSEH!AJ107,SSES!AJ107)</f>
        <v>1</v>
      </c>
      <c r="AK107" s="238">
        <f>CHOOSE(m_identity,ENWL!AK107, NPgN!AK107, NPgY!AK107, WMID!AK107, EMID!AK107, SWALES!AK107, SWEST!AK107, LPN!AK107,SPN!AK107,EPN!AK107,SPD!AK107,SPMW!AK107,SSEH!AK107,SSES!AK107)</f>
        <v>0.90842335073075053</v>
      </c>
      <c r="AL107" s="238">
        <f>CHOOSE(m_identity,ENWL!AL107, NPgN!AL107, NPgY!AL107, WMID!AL107, EMID!AL107, SWALES!AL107, SWEST!AL107, LPN!AL107,SPN!AL107,EPN!AL107,SPD!AL107,SPMW!AL107,SSEH!AL107,SSES!AL107)</f>
        <v>0.90843012702524795</v>
      </c>
      <c r="AM107" s="238">
        <f>CHOOSE(m_identity,ENWL!AM107, NPgN!AM107, NPgY!AM107, WMID!AM107, EMID!AM107, SWALES!AM107, SWEST!AM107, LPN!AM107,SPN!AM107,EPN!AM107,SPD!AM107,SPMW!AM107,SSEH!AM107,SSES!AM107)</f>
        <v>1</v>
      </c>
      <c r="AN107" s="238">
        <f>CHOOSE(m_identity,ENWL!AN107, NPgN!AN107, NPgY!AN107, WMID!AN107, EMID!AN107, SWALES!AN107, SWEST!AN107, LPN!AN107,SPN!AN107,EPN!AN107,SPD!AN107,SPMW!AN107,SSEH!AN107,SSES!AN107)</f>
        <v>1</v>
      </c>
      <c r="AO107" s="238">
        <f>CHOOSE(m_identity,ENWL!AO107, NPgN!AO107, NPgY!AO107, WMID!AO107, EMID!AO107, SWALES!AO107, SWEST!AO107, LPN!AO107,SPN!AO107,EPN!AO107,SPD!AO107,SPMW!AO107,SSEH!AO107,SSES!AO107)</f>
        <v>1</v>
      </c>
      <c r="AP107" s="238">
        <f>CHOOSE(m_identity,ENWL!AP107, NPgN!AP107, NPgY!AP107, WMID!AP107, EMID!AP107, SWALES!AP107, SWEST!AP107, LPN!AP107,SPN!AP107,EPN!AP107,SPD!AP107,SPMW!AP107,SSEH!AP107,SSES!AP107)</f>
        <v>0.92210844685728055</v>
      </c>
      <c r="AQ107" s="238">
        <f>CHOOSE(m_identity,ENWL!AQ107, NPgN!AQ107, NPgY!AQ107, WMID!AQ107, EMID!AQ107, SWALES!AQ107, SWEST!AQ107, LPN!AQ107,SPN!AQ107,EPN!AQ107,SPD!AQ107,SPMW!AQ107,SSEH!AQ107,SSES!AQ107)</f>
        <v>0.92607363567130285</v>
      </c>
    </row>
    <row r="108" spans="4:43" s="98" customFormat="1" ht="15" customHeight="1">
      <c r="E108" s="268" t="s">
        <v>523</v>
      </c>
      <c r="G108" s="98" t="s">
        <v>49</v>
      </c>
      <c r="I108" s="158"/>
      <c r="AJ108" s="238">
        <f>CHOOSE(m_identity,ENWL!AJ108, NPgN!AJ108, NPgY!AJ108, WMID!AJ108, EMID!AJ108, SWALES!AJ108, SWEST!AJ108, LPN!AJ108,SPN!AJ108,EPN!AJ108,SPD!AJ108,SPMW!AJ108,SSEH!AJ108,SSES!AJ108)</f>
        <v>0</v>
      </c>
      <c r="AK108" s="238">
        <f>CHOOSE(m_identity,ENWL!AK108, NPgN!AK108, NPgY!AK108, WMID!AK108, EMID!AK108, SWALES!AK108, SWEST!AK108, LPN!AK108,SPN!AK108,EPN!AK108,SPD!AK108,SPMW!AK108,SSEH!AK108,SSES!AK108)</f>
        <v>0</v>
      </c>
      <c r="AL108" s="238">
        <f>CHOOSE(m_identity,ENWL!AL108, NPgN!AL108, NPgY!AL108, WMID!AL108, EMID!AL108, SWALES!AL108, SWEST!AL108, LPN!AL108,SPN!AL108,EPN!AL108,SPD!AL108,SPMW!AL108,SSEH!AL108,SSES!AL108)</f>
        <v>0</v>
      </c>
      <c r="AM108" s="238">
        <f>CHOOSE(m_identity,ENWL!AM108, NPgN!AM108, NPgY!AM108, WMID!AM108, EMID!AM108, SWALES!AM108, SWEST!AM108, LPN!AM108,SPN!AM108,EPN!AM108,SPD!AM108,SPMW!AM108,SSEH!AM108,SSES!AM108)</f>
        <v>0</v>
      </c>
      <c r="AN108" s="238">
        <f>CHOOSE(m_identity,ENWL!AN108, NPgN!AN108, NPgY!AN108, WMID!AN108, EMID!AN108, SWALES!AN108, SWEST!AN108, LPN!AN108,SPN!AN108,EPN!AN108,SPD!AN108,SPMW!AN108,SSEH!AN108,SSES!AN108)</f>
        <v>0</v>
      </c>
      <c r="AO108" s="238">
        <f>CHOOSE(m_identity,ENWL!AO108, NPgN!AO108, NPgY!AO108, WMID!AO108, EMID!AO108, SWALES!AO108, SWEST!AO108, LPN!AO108,SPN!AO108,EPN!AO108,SPD!AO108,SPMW!AO108,SSEH!AO108,SSES!AO108)</f>
        <v>0</v>
      </c>
      <c r="AP108" s="238">
        <f>CHOOSE(m_identity,ENWL!AP108, NPgN!AP108, NPgY!AP108, WMID!AP108, EMID!AP108, SWALES!AP108, SWEST!AP108, LPN!AP108,SPN!AP108,EPN!AP108,SPD!AP108,SPMW!AP108,SSEH!AP108,SSES!AP108)</f>
        <v>0</v>
      </c>
      <c r="AQ108" s="238">
        <f>CHOOSE(m_identity,ENWL!AQ108, NPgN!AQ108, NPgY!AQ108, WMID!AQ108, EMID!AQ108, SWALES!AQ108, SWEST!AQ108, LPN!AQ108,SPN!AQ108,EPN!AQ108,SPD!AQ108,SPMW!AQ108,SSEH!AQ108,SSES!AQ108)</f>
        <v>0</v>
      </c>
    </row>
    <row r="109" spans="4:43" s="98" customFormat="1" ht="15" customHeight="1">
      <c r="E109" s="268" t="s">
        <v>704</v>
      </c>
      <c r="G109" s="98" t="s">
        <v>49</v>
      </c>
      <c r="I109" s="158"/>
      <c r="AJ109" s="238">
        <f>CHOOSE(m_identity,ENWL!AJ109, NPgN!AJ109, NPgY!AJ109, WMID!AJ109, EMID!AJ109, SWALES!AJ109, SWEST!AJ109, LPN!AJ109,SPN!AJ109,EPN!AJ109,SPD!AJ109,SPMW!AJ109,SSEH!AJ109,SSES!AJ109)</f>
        <v>0</v>
      </c>
      <c r="AK109" s="238">
        <f>CHOOSE(m_identity,ENWL!AK109, NPgN!AK109, NPgY!AK109, WMID!AK109, EMID!AK109, SWALES!AK109, SWEST!AK109, LPN!AK109,SPN!AK109,EPN!AK109,SPD!AK109,SPMW!AK109,SSEH!AK109,SSES!AK109)</f>
        <v>0</v>
      </c>
      <c r="AL109" s="238">
        <f>CHOOSE(m_identity,ENWL!AL109, NPgN!AL109, NPgY!AL109, WMID!AL109, EMID!AL109, SWALES!AL109, SWEST!AL109, LPN!AL109,SPN!AL109,EPN!AL109,SPD!AL109,SPMW!AL109,SSEH!AL109,SSES!AL109)</f>
        <v>0</v>
      </c>
      <c r="AM109" s="238">
        <f>CHOOSE(m_identity,ENWL!AM109, NPgN!AM109, NPgY!AM109, WMID!AM109, EMID!AM109, SWALES!AM109, SWEST!AM109, LPN!AM109,SPN!AM109,EPN!AM109,SPD!AM109,SPMW!AM109,SSEH!AM109,SSES!AM109)</f>
        <v>0</v>
      </c>
      <c r="AN109" s="238">
        <f>CHOOSE(m_identity,ENWL!AN109, NPgN!AN109, NPgY!AN109, WMID!AN109, EMID!AN109, SWALES!AN109, SWEST!AN109, LPN!AN109,SPN!AN109,EPN!AN109,SPD!AN109,SPMW!AN109,SSEH!AN109,SSES!AN109)</f>
        <v>0</v>
      </c>
      <c r="AO109" s="238">
        <f>CHOOSE(m_identity,ENWL!AO109, NPgN!AO109, NPgY!AO109, WMID!AO109, EMID!AO109, SWALES!AO109, SWEST!AO109, LPN!AO109,SPN!AO109,EPN!AO109,SPD!AO109,SPMW!AO109,SSEH!AO109,SSES!AO109)</f>
        <v>0</v>
      </c>
      <c r="AP109" s="238">
        <f>CHOOSE(m_identity,ENWL!AP109, NPgN!AP109, NPgY!AP109, WMID!AP109, EMID!AP109, SWALES!AP109, SWEST!AP109, LPN!AP109,SPN!AP109,EPN!AP109,SPD!AP109,SPMW!AP109,SSEH!AP109,SSES!AP109)</f>
        <v>0</v>
      </c>
      <c r="AQ109" s="238">
        <f>CHOOSE(m_identity,ENWL!AQ109, NPgN!AQ109, NPgY!AQ109, WMID!AQ109, EMID!AQ109, SWALES!AQ109, SWEST!AQ109, LPN!AQ109,SPN!AQ109,EPN!AQ109,SPD!AQ109,SPMW!AQ109,SSEH!AQ109,SSES!AQ109)</f>
        <v>0</v>
      </c>
    </row>
    <row r="110" spans="4:43" s="98" customFormat="1" ht="15" customHeight="1">
      <c r="E110" s="550" t="s">
        <v>994</v>
      </c>
      <c r="G110" s="98" t="s">
        <v>49</v>
      </c>
      <c r="I110" s="158"/>
      <c r="AJ110" s="238">
        <f>CHOOSE(m_identity,ENWL!AJ110, NPgN!AJ110, NPgY!AJ110, WMID!AJ110, EMID!AJ110, SWALES!AJ110, SWEST!AJ110, LPN!AJ110,SPN!AJ110,EPN!AJ110,SPD!AJ110,SPMW!AJ110,SSEH!AJ110,SSES!AJ110)</f>
        <v>0</v>
      </c>
      <c r="AK110" s="238">
        <f>CHOOSE(m_identity,ENWL!AK110, NPgN!AK110, NPgY!AK110, WMID!AK110, EMID!AK110, SWALES!AK110, SWEST!AK110, LPN!AK110,SPN!AK110,EPN!AK110,SPD!AK110,SPMW!AK110,SSEH!AK110,SSES!AK110)</f>
        <v>0</v>
      </c>
      <c r="AL110" s="238">
        <f>CHOOSE(m_identity,ENWL!AL110, NPgN!AL110, NPgY!AL110, WMID!AL110, EMID!AL110, SWALES!AL110, SWEST!AL110, LPN!AL110,SPN!AL110,EPN!AL110,SPD!AL110,SPMW!AL110,SSEH!AL110,SSES!AL110)</f>
        <v>0</v>
      </c>
      <c r="AM110" s="238">
        <f>CHOOSE(m_identity,ENWL!AM110, NPgN!AM110, NPgY!AM110, WMID!AM110, EMID!AM110, SWALES!AM110, SWEST!AM110, LPN!AM110,SPN!AM110,EPN!AM110,SPD!AM110,SPMW!AM110,SSEH!AM110,SSES!AM110)</f>
        <v>0</v>
      </c>
      <c r="AN110" s="238">
        <f>CHOOSE(m_identity,ENWL!AN110, NPgN!AN110, NPgY!AN110, WMID!AN110, EMID!AN110, SWALES!AN110, SWEST!AN110, LPN!AN110,SPN!AN110,EPN!AN110,SPD!AN110,SPMW!AN110,SSEH!AN110,SSES!AN110)</f>
        <v>0</v>
      </c>
      <c r="AO110" s="238">
        <f>CHOOSE(m_identity,ENWL!AO110, NPgN!AO110, NPgY!AO110, WMID!AO110, EMID!AO110, SWALES!AO110, SWEST!AO110, LPN!AO110,SPN!AO110,EPN!AO110,SPD!AO110,SPMW!AO110,SSEH!AO110,SSES!AO110)</f>
        <v>0</v>
      </c>
      <c r="AP110" s="238">
        <f>CHOOSE(m_identity,ENWL!AP110, NPgN!AP110, NPgY!AP110, WMID!AP110, EMID!AP110, SWALES!AP110, SWEST!AP110, LPN!AP110,SPN!AP110,EPN!AP110,SPD!AP110,SPMW!AP110,SSEH!AP110,SSES!AP110)</f>
        <v>0</v>
      </c>
      <c r="AQ110" s="238">
        <f>CHOOSE(m_identity,ENWL!AQ110, NPgN!AQ110, NPgY!AQ110, WMID!AQ110, EMID!AQ110, SWALES!AQ110, SWEST!AQ110, LPN!AQ110,SPN!AQ110,EPN!AQ110,SPD!AQ110,SPMW!AQ110,SSEH!AQ110,SSES!AQ110)</f>
        <v>0</v>
      </c>
    </row>
    <row r="111" spans="4:43" s="98" customFormat="1" ht="15" customHeight="1">
      <c r="E111" s="268" t="s">
        <v>920</v>
      </c>
      <c r="G111" s="98" t="s">
        <v>49</v>
      </c>
      <c r="I111" s="158"/>
      <c r="AJ111" s="238">
        <f>CHOOSE(m_identity,ENWL!AJ111, NPgN!AJ111, NPgY!AJ111, WMID!AJ111, EMID!AJ111, SWALES!AJ111, SWEST!AJ111, LPN!AJ111,SPN!AJ111,EPN!AJ111,SPD!AJ111,SPMW!AJ111,SSEH!AJ111,SSES!AJ111)</f>
        <v>0</v>
      </c>
      <c r="AK111" s="238">
        <f>CHOOSE(m_identity,ENWL!AK111, NPgN!AK111, NPgY!AK111, WMID!AK111, EMID!AK111, SWALES!AK111, SWEST!AK111, LPN!AK111,SPN!AK111,EPN!AK111,SPD!AK111,SPMW!AK111,SSEH!AK111,SSES!AK111)</f>
        <v>9.1576649269249466E-2</v>
      </c>
      <c r="AL111" s="238">
        <f>CHOOSE(m_identity,ENWL!AL111, NPgN!AL111, NPgY!AL111, WMID!AL111, EMID!AL111, SWALES!AL111, SWEST!AL111, LPN!AL111,SPN!AL111,EPN!AL111,SPD!AL111,SPMW!AL111,SSEH!AL111,SSES!AL111)</f>
        <v>9.1569872974752053E-2</v>
      </c>
      <c r="AM111" s="238">
        <f>CHOOSE(m_identity,ENWL!AM111, NPgN!AM111, NPgY!AM111, WMID!AM111, EMID!AM111, SWALES!AM111, SWEST!AM111, LPN!AM111,SPN!AM111,EPN!AM111,SPD!AM111,SPMW!AM111,SSEH!AM111,SSES!AM111)</f>
        <v>0</v>
      </c>
      <c r="AN111" s="238">
        <f>CHOOSE(m_identity,ENWL!AN111, NPgN!AN111, NPgY!AN111, WMID!AN111, EMID!AN111, SWALES!AN111, SWEST!AN111, LPN!AN111,SPN!AN111,EPN!AN111,SPD!AN111,SPMW!AN111,SSEH!AN111,SSES!AN111)</f>
        <v>0</v>
      </c>
      <c r="AO111" s="238">
        <f>CHOOSE(m_identity,ENWL!AO111, NPgN!AO111, NPgY!AO111, WMID!AO111, EMID!AO111, SWALES!AO111, SWEST!AO111, LPN!AO111,SPN!AO111,EPN!AO111,SPD!AO111,SPMW!AO111,SSEH!AO111,SSES!AO111)</f>
        <v>0</v>
      </c>
      <c r="AP111" s="238">
        <f>CHOOSE(m_identity,ENWL!AP111, NPgN!AP111, NPgY!AP111, WMID!AP111, EMID!AP111, SWALES!AP111, SWEST!AP111, LPN!AP111,SPN!AP111,EPN!AP111,SPD!AP111,SPMW!AP111,SSEH!AP111,SSES!AP111)</f>
        <v>7.789155314271945E-2</v>
      </c>
      <c r="AQ111" s="238">
        <f>CHOOSE(m_identity,ENWL!AQ111, NPgN!AQ111, NPgY!AQ111, WMID!AQ111, EMID!AQ111, SWALES!AQ111, SWEST!AQ111, LPN!AQ111,SPN!AQ111,EPN!AQ111,SPD!AQ111,SPMW!AQ111,SSEH!AQ111,SSES!AQ111)</f>
        <v>7.3926364328697147E-2</v>
      </c>
    </row>
    <row r="112" spans="4:43" s="98" customFormat="1" ht="15" customHeight="1">
      <c r="E112" s="268" t="s">
        <v>524</v>
      </c>
      <c r="G112" s="98" t="s">
        <v>49</v>
      </c>
      <c r="I112" s="158"/>
      <c r="AJ112" s="238">
        <f>CHOOSE(m_identity,ENWL!AJ112, NPgN!AJ112, NPgY!AJ112, WMID!AJ112, EMID!AJ112, SWALES!AJ112, SWEST!AJ112, LPN!AJ112,SPN!AJ112,EPN!AJ112,SPD!AJ112,SPMW!AJ112,SSEH!AJ112,SSES!AJ112)</f>
        <v>0</v>
      </c>
      <c r="AK112" s="238">
        <f>CHOOSE(m_identity,ENWL!AK112, NPgN!AK112, NPgY!AK112, WMID!AK112, EMID!AK112, SWALES!AK112, SWEST!AK112, LPN!AK112,SPN!AK112,EPN!AK112,SPD!AK112,SPMW!AK112,SSEH!AK112,SSES!AK112)</f>
        <v>0</v>
      </c>
      <c r="AL112" s="238">
        <f>CHOOSE(m_identity,ENWL!AL112, NPgN!AL112, NPgY!AL112, WMID!AL112, EMID!AL112, SWALES!AL112, SWEST!AL112, LPN!AL112,SPN!AL112,EPN!AL112,SPD!AL112,SPMW!AL112,SSEH!AL112,SSES!AL112)</f>
        <v>0</v>
      </c>
      <c r="AM112" s="238">
        <f>CHOOSE(m_identity,ENWL!AM112, NPgN!AM112, NPgY!AM112, WMID!AM112, EMID!AM112, SWALES!AM112, SWEST!AM112, LPN!AM112,SPN!AM112,EPN!AM112,SPD!AM112,SPMW!AM112,SSEH!AM112,SSES!AM112)</f>
        <v>0</v>
      </c>
      <c r="AN112" s="238">
        <f>CHOOSE(m_identity,ENWL!AN112, NPgN!AN112, NPgY!AN112, WMID!AN112, EMID!AN112, SWALES!AN112, SWEST!AN112, LPN!AN112,SPN!AN112,EPN!AN112,SPD!AN112,SPMW!AN112,SSEH!AN112,SSES!AN112)</f>
        <v>0</v>
      </c>
      <c r="AO112" s="238">
        <f>CHOOSE(m_identity,ENWL!AO112, NPgN!AO112, NPgY!AO112, WMID!AO112, EMID!AO112, SWALES!AO112, SWEST!AO112, LPN!AO112,SPN!AO112,EPN!AO112,SPD!AO112,SPMW!AO112,SSEH!AO112,SSES!AO112)</f>
        <v>0</v>
      </c>
      <c r="AP112" s="238">
        <f>CHOOSE(m_identity,ENWL!AP112, NPgN!AP112, NPgY!AP112, WMID!AP112, EMID!AP112, SWALES!AP112, SWEST!AP112, LPN!AP112,SPN!AP112,EPN!AP112,SPD!AP112,SPMW!AP112,SSEH!AP112,SSES!AP112)</f>
        <v>0</v>
      </c>
      <c r="AQ112" s="238">
        <f>CHOOSE(m_identity,ENWL!AQ112, NPgN!AQ112, NPgY!AQ112, WMID!AQ112, EMID!AQ112, SWALES!AQ112, SWEST!AQ112, LPN!AQ112,SPN!AQ112,EPN!AQ112,SPD!AQ112,SPMW!AQ112,SSEH!AQ112,SSES!AQ112)</f>
        <v>0</v>
      </c>
    </row>
    <row r="113" spans="5:43" s="98" customFormat="1" ht="15" customHeight="1">
      <c r="E113" s="267"/>
      <c r="I113" s="58"/>
      <c r="AJ113" s="147"/>
      <c r="AK113" s="147"/>
      <c r="AL113" s="147"/>
      <c r="AM113" s="147"/>
      <c r="AN113" s="147"/>
      <c r="AO113" s="147"/>
      <c r="AP113" s="147"/>
      <c r="AQ113" s="147"/>
    </row>
    <row r="114" spans="5:43" s="98" customFormat="1" ht="15" customHeight="1">
      <c r="E114" s="154" t="str">
        <f>E20</f>
        <v>Allowed Expenditure - High Value Projects</v>
      </c>
      <c r="G114" s="98" t="s">
        <v>844</v>
      </c>
      <c r="I114" s="58"/>
      <c r="AJ114" s="221">
        <f t="shared" ref="AJ114:AQ114" si="3">AJ20</f>
        <v>5.2012850463206401</v>
      </c>
      <c r="AK114" s="221">
        <f t="shared" si="3"/>
        <v>6.37155744513095</v>
      </c>
      <c r="AL114" s="221">
        <f t="shared" si="3"/>
        <v>6.3547719984256448</v>
      </c>
      <c r="AM114" s="221">
        <f t="shared" si="3"/>
        <v>5.9505840986754546</v>
      </c>
      <c r="AN114" s="221">
        <f t="shared" si="3"/>
        <v>4.9613310651294755</v>
      </c>
      <c r="AO114" s="221">
        <f t="shared" si="3"/>
        <v>2.9872918053546043</v>
      </c>
      <c r="AP114" s="221">
        <f t="shared" si="3"/>
        <v>0</v>
      </c>
      <c r="AQ114" s="221">
        <f t="shared" si="3"/>
        <v>0</v>
      </c>
    </row>
    <row r="115" spans="5:43" s="98" customFormat="1" ht="15" customHeight="1">
      <c r="E115" s="268" t="s">
        <v>522</v>
      </c>
      <c r="G115" s="98" t="s">
        <v>49</v>
      </c>
      <c r="I115" s="158"/>
      <c r="AJ115" s="238">
        <f>CHOOSE(m_identity,ENWL!AJ115, NPgN!AJ115, NPgY!AJ115, WMID!AJ115, EMID!AJ115, SWALES!AJ115, SWEST!AJ115, LPN!AJ115,SPN!AJ115,EPN!AJ115,SPD!AJ115,SPMW!AJ115,SSEH!AJ115,SSES!AJ115)</f>
        <v>0</v>
      </c>
      <c r="AK115" s="238">
        <f>CHOOSE(m_identity,ENWL!AK115, NPgN!AK115, NPgY!AK115, WMID!AK115, EMID!AK115, SWALES!AK115, SWEST!AK115, LPN!AK115,SPN!AK115,EPN!AK115,SPD!AK115,SPMW!AK115,SSEH!AK115,SSES!AK115)</f>
        <v>0</v>
      </c>
      <c r="AL115" s="238">
        <f>CHOOSE(m_identity,ENWL!AL115, NPgN!AL115, NPgY!AL115, WMID!AL115, EMID!AL115, SWALES!AL115, SWEST!AL115, LPN!AL115,SPN!AL115,EPN!AL115,SPD!AL115,SPMW!AL115,SSEH!AL115,SSES!AL115)</f>
        <v>0</v>
      </c>
      <c r="AM115" s="238">
        <f>CHOOSE(m_identity,ENWL!AM115, NPgN!AM115, NPgY!AM115, WMID!AM115, EMID!AM115, SWALES!AM115, SWEST!AM115, LPN!AM115,SPN!AM115,EPN!AM115,SPD!AM115,SPMW!AM115,SSEH!AM115,SSES!AM115)</f>
        <v>0</v>
      </c>
      <c r="AN115" s="238">
        <f>CHOOSE(m_identity,ENWL!AN115, NPgN!AN115, NPgY!AN115, WMID!AN115, EMID!AN115, SWALES!AN115, SWEST!AN115, LPN!AN115,SPN!AN115,EPN!AN115,SPD!AN115,SPMW!AN115,SSEH!AN115,SSES!AN115)</f>
        <v>0</v>
      </c>
      <c r="AO115" s="238">
        <f>CHOOSE(m_identity,ENWL!AO115, NPgN!AO115, NPgY!AO115, WMID!AO115, EMID!AO115, SWALES!AO115, SWEST!AO115, LPN!AO115,SPN!AO115,EPN!AO115,SPD!AO115,SPMW!AO115,SSEH!AO115,SSES!AO115)</f>
        <v>0</v>
      </c>
      <c r="AP115" s="238">
        <f>CHOOSE(m_identity,ENWL!AP115, NPgN!AP115, NPgY!AP115, WMID!AP115, EMID!AP115, SWALES!AP115, SWEST!AP115, LPN!AP115,SPN!AP115,EPN!AP115,SPD!AP115,SPMW!AP115,SSEH!AP115,SSES!AP115)</f>
        <v>0</v>
      </c>
      <c r="AQ115" s="238">
        <f>CHOOSE(m_identity,ENWL!AQ115, NPgN!AQ115, NPgY!AQ115, WMID!AQ115, EMID!AQ115, SWALES!AQ115, SWEST!AQ115, LPN!AQ115,SPN!AQ115,EPN!AQ115,SPD!AQ115,SPMW!AQ115,SSEH!AQ115,SSES!AQ115)</f>
        <v>0</v>
      </c>
    </row>
    <row r="116" spans="5:43" s="98" customFormat="1" ht="15" customHeight="1">
      <c r="E116" s="268" t="s">
        <v>663</v>
      </c>
      <c r="G116" s="98" t="s">
        <v>49</v>
      </c>
      <c r="I116" s="158"/>
      <c r="AJ116" s="238">
        <f>CHOOSE(m_identity,ENWL!AJ116, NPgN!AJ116, NPgY!AJ116, WMID!AJ116, EMID!AJ116, SWALES!AJ116, SWEST!AJ116, LPN!AJ116,SPN!AJ116,EPN!AJ116,SPD!AJ116,SPMW!AJ116,SSEH!AJ116,SSES!AJ116)</f>
        <v>0.99283538828211682</v>
      </c>
      <c r="AK116" s="238">
        <f>CHOOSE(m_identity,ENWL!AK116, NPgN!AK116, NPgY!AK116, WMID!AK116, EMID!AK116, SWALES!AK116, SWEST!AK116, LPN!AK116,SPN!AK116,EPN!AK116,SPD!AK116,SPMW!AK116,SSEH!AK116,SSES!AK116)</f>
        <v>0.99283538828211682</v>
      </c>
      <c r="AL116" s="238">
        <f>CHOOSE(m_identity,ENWL!AL116, NPgN!AL116, NPgY!AL116, WMID!AL116, EMID!AL116, SWALES!AL116, SWEST!AL116, LPN!AL116,SPN!AL116,EPN!AL116,SPD!AL116,SPMW!AL116,SSEH!AL116,SSES!AL116)</f>
        <v>0.9928353882821167</v>
      </c>
      <c r="AM116" s="238">
        <f>CHOOSE(m_identity,ENWL!AM116, NPgN!AM116, NPgY!AM116, WMID!AM116, EMID!AM116, SWALES!AM116, SWEST!AM116, LPN!AM116,SPN!AM116,EPN!AM116,SPD!AM116,SPMW!AM116,SSEH!AM116,SSES!AM116)</f>
        <v>0.99283538828211682</v>
      </c>
      <c r="AN116" s="238">
        <f>CHOOSE(m_identity,ENWL!AN116, NPgN!AN116, NPgY!AN116, WMID!AN116, EMID!AN116, SWALES!AN116, SWEST!AN116, LPN!AN116,SPN!AN116,EPN!AN116,SPD!AN116,SPMW!AN116,SSEH!AN116,SSES!AN116)</f>
        <v>0.99283538828211682</v>
      </c>
      <c r="AO116" s="238">
        <f>CHOOSE(m_identity,ENWL!AO116, NPgN!AO116, NPgY!AO116, WMID!AO116, EMID!AO116, SWALES!AO116, SWEST!AO116, LPN!AO116,SPN!AO116,EPN!AO116,SPD!AO116,SPMW!AO116,SSEH!AO116,SSES!AO116)</f>
        <v>0.9928353882821167</v>
      </c>
      <c r="AP116" s="238">
        <f>CHOOSE(m_identity,ENWL!AP116, NPgN!AP116, NPgY!AP116, WMID!AP116, EMID!AP116, SWALES!AP116, SWEST!AP116, LPN!AP116,SPN!AP116,EPN!AP116,SPD!AP116,SPMW!AP116,SSEH!AP116,SSES!AP116)</f>
        <v>0</v>
      </c>
      <c r="AQ116" s="238">
        <f>CHOOSE(m_identity,ENWL!AQ116, NPgN!AQ116, NPgY!AQ116, WMID!AQ116, EMID!AQ116, SWALES!AQ116, SWEST!AQ116, LPN!AQ116,SPN!AQ116,EPN!AQ116,SPD!AQ116,SPMW!AQ116,SSEH!AQ116,SSES!AQ116)</f>
        <v>0</v>
      </c>
    </row>
    <row r="117" spans="5:43" s="98" customFormat="1" ht="15" customHeight="1">
      <c r="E117" s="268" t="s">
        <v>523</v>
      </c>
      <c r="G117" s="98" t="s">
        <v>49</v>
      </c>
      <c r="I117" s="158"/>
      <c r="AJ117" s="238">
        <f>CHOOSE(m_identity,ENWL!AJ117, NPgN!AJ117, NPgY!AJ117, WMID!AJ117, EMID!AJ117, SWALES!AJ117, SWEST!AJ117, LPN!AJ117,SPN!AJ117,EPN!AJ117,SPD!AJ117,SPMW!AJ117,SSEH!AJ117,SSES!AJ117)</f>
        <v>0</v>
      </c>
      <c r="AK117" s="238">
        <f>CHOOSE(m_identity,ENWL!AK117, NPgN!AK117, NPgY!AK117, WMID!AK117, EMID!AK117, SWALES!AK117, SWEST!AK117, LPN!AK117,SPN!AK117,EPN!AK117,SPD!AK117,SPMW!AK117,SSEH!AK117,SSES!AK117)</f>
        <v>0</v>
      </c>
      <c r="AL117" s="238">
        <f>CHOOSE(m_identity,ENWL!AL117, NPgN!AL117, NPgY!AL117, WMID!AL117, EMID!AL117, SWALES!AL117, SWEST!AL117, LPN!AL117,SPN!AL117,EPN!AL117,SPD!AL117,SPMW!AL117,SSEH!AL117,SSES!AL117)</f>
        <v>0</v>
      </c>
      <c r="AM117" s="238">
        <f>CHOOSE(m_identity,ENWL!AM117, NPgN!AM117, NPgY!AM117, WMID!AM117, EMID!AM117, SWALES!AM117, SWEST!AM117, LPN!AM117,SPN!AM117,EPN!AM117,SPD!AM117,SPMW!AM117,SSEH!AM117,SSES!AM117)</f>
        <v>0</v>
      </c>
      <c r="AN117" s="238">
        <f>CHOOSE(m_identity,ENWL!AN117, NPgN!AN117, NPgY!AN117, WMID!AN117, EMID!AN117, SWALES!AN117, SWEST!AN117, LPN!AN117,SPN!AN117,EPN!AN117,SPD!AN117,SPMW!AN117,SSEH!AN117,SSES!AN117)</f>
        <v>0</v>
      </c>
      <c r="AO117" s="238">
        <f>CHOOSE(m_identity,ENWL!AO117, NPgN!AO117, NPgY!AO117, WMID!AO117, EMID!AO117, SWALES!AO117, SWEST!AO117, LPN!AO117,SPN!AO117,EPN!AO117,SPD!AO117,SPMW!AO117,SSEH!AO117,SSES!AO117)</f>
        <v>0</v>
      </c>
      <c r="AP117" s="238">
        <f>CHOOSE(m_identity,ENWL!AP117, NPgN!AP117, NPgY!AP117, WMID!AP117, EMID!AP117, SWALES!AP117, SWEST!AP117, LPN!AP117,SPN!AP117,EPN!AP117,SPD!AP117,SPMW!AP117,SSEH!AP117,SSES!AP117)</f>
        <v>0</v>
      </c>
      <c r="AQ117" s="238">
        <f>CHOOSE(m_identity,ENWL!AQ117, NPgN!AQ117, NPgY!AQ117, WMID!AQ117, EMID!AQ117, SWALES!AQ117, SWEST!AQ117, LPN!AQ117,SPN!AQ117,EPN!AQ117,SPD!AQ117,SPMW!AQ117,SSEH!AQ117,SSES!AQ117)</f>
        <v>0</v>
      </c>
    </row>
    <row r="118" spans="5:43" s="98" customFormat="1" ht="15" customHeight="1">
      <c r="E118" s="268" t="s">
        <v>704</v>
      </c>
      <c r="G118" s="98" t="s">
        <v>49</v>
      </c>
      <c r="I118" s="158"/>
      <c r="AJ118" s="238">
        <f>CHOOSE(m_identity,ENWL!AJ118, NPgN!AJ118, NPgY!AJ118, WMID!AJ118, EMID!AJ118, SWALES!AJ118, SWEST!AJ118, LPN!AJ118,SPN!AJ118,EPN!AJ118,SPD!AJ118,SPMW!AJ118,SSEH!AJ118,SSES!AJ118)</f>
        <v>0</v>
      </c>
      <c r="AK118" s="238">
        <f>CHOOSE(m_identity,ENWL!AK118, NPgN!AK118, NPgY!AK118, WMID!AK118, EMID!AK118, SWALES!AK118, SWEST!AK118, LPN!AK118,SPN!AK118,EPN!AK118,SPD!AK118,SPMW!AK118,SSEH!AK118,SSES!AK118)</f>
        <v>0</v>
      </c>
      <c r="AL118" s="238">
        <f>CHOOSE(m_identity,ENWL!AL118, NPgN!AL118, NPgY!AL118, WMID!AL118, EMID!AL118, SWALES!AL118, SWEST!AL118, LPN!AL118,SPN!AL118,EPN!AL118,SPD!AL118,SPMW!AL118,SSEH!AL118,SSES!AL118)</f>
        <v>0</v>
      </c>
      <c r="AM118" s="238">
        <f>CHOOSE(m_identity,ENWL!AM118, NPgN!AM118, NPgY!AM118, WMID!AM118, EMID!AM118, SWALES!AM118, SWEST!AM118, LPN!AM118,SPN!AM118,EPN!AM118,SPD!AM118,SPMW!AM118,SSEH!AM118,SSES!AM118)</f>
        <v>0</v>
      </c>
      <c r="AN118" s="238">
        <f>CHOOSE(m_identity,ENWL!AN118, NPgN!AN118, NPgY!AN118, WMID!AN118, EMID!AN118, SWALES!AN118, SWEST!AN118, LPN!AN118,SPN!AN118,EPN!AN118,SPD!AN118,SPMW!AN118,SSEH!AN118,SSES!AN118)</f>
        <v>0</v>
      </c>
      <c r="AO118" s="238">
        <f>CHOOSE(m_identity,ENWL!AO118, NPgN!AO118, NPgY!AO118, WMID!AO118, EMID!AO118, SWALES!AO118, SWEST!AO118, LPN!AO118,SPN!AO118,EPN!AO118,SPD!AO118,SPMW!AO118,SSEH!AO118,SSES!AO118)</f>
        <v>0</v>
      </c>
      <c r="AP118" s="238">
        <f>CHOOSE(m_identity,ENWL!AP118, NPgN!AP118, NPgY!AP118, WMID!AP118, EMID!AP118, SWALES!AP118, SWEST!AP118, LPN!AP118,SPN!AP118,EPN!AP118,SPD!AP118,SPMW!AP118,SSEH!AP118,SSES!AP118)</f>
        <v>0</v>
      </c>
      <c r="AQ118" s="238">
        <f>CHOOSE(m_identity,ENWL!AQ118, NPgN!AQ118, NPgY!AQ118, WMID!AQ118, EMID!AQ118, SWALES!AQ118, SWEST!AQ118, LPN!AQ118,SPN!AQ118,EPN!AQ118,SPD!AQ118,SPMW!AQ118,SSEH!AQ118,SSES!AQ118)</f>
        <v>0</v>
      </c>
    </row>
    <row r="119" spans="5:43" s="98" customFormat="1" ht="15" customHeight="1">
      <c r="E119" s="550" t="s">
        <v>994</v>
      </c>
      <c r="G119" s="98" t="s">
        <v>49</v>
      </c>
      <c r="I119" s="158"/>
      <c r="AJ119" s="238">
        <f>CHOOSE(m_identity,ENWL!AJ119, NPgN!AJ119, NPgY!AJ119, WMID!AJ119, EMID!AJ119, SWALES!AJ119, SWEST!AJ119, LPN!AJ119,SPN!AJ119,EPN!AJ119,SPD!AJ119,SPMW!AJ119,SSEH!AJ119,SSES!AJ119)</f>
        <v>0</v>
      </c>
      <c r="AK119" s="238">
        <f>CHOOSE(m_identity,ENWL!AK119, NPgN!AK119, NPgY!AK119, WMID!AK119, EMID!AK119, SWALES!AK119, SWEST!AK119, LPN!AK119,SPN!AK119,EPN!AK119,SPD!AK119,SPMW!AK119,SSEH!AK119,SSES!AK119)</f>
        <v>0</v>
      </c>
      <c r="AL119" s="238">
        <f>CHOOSE(m_identity,ENWL!AL119, NPgN!AL119, NPgY!AL119, WMID!AL119, EMID!AL119, SWALES!AL119, SWEST!AL119, LPN!AL119,SPN!AL119,EPN!AL119,SPD!AL119,SPMW!AL119,SSEH!AL119,SSES!AL119)</f>
        <v>0</v>
      </c>
      <c r="AM119" s="238">
        <f>CHOOSE(m_identity,ENWL!AM119, NPgN!AM119, NPgY!AM119, WMID!AM119, EMID!AM119, SWALES!AM119, SWEST!AM119, LPN!AM119,SPN!AM119,EPN!AM119,SPD!AM119,SPMW!AM119,SSEH!AM119,SSES!AM119)</f>
        <v>0</v>
      </c>
      <c r="AN119" s="238">
        <f>CHOOSE(m_identity,ENWL!AN119, NPgN!AN119, NPgY!AN119, WMID!AN119, EMID!AN119, SWALES!AN119, SWEST!AN119, LPN!AN119,SPN!AN119,EPN!AN119,SPD!AN119,SPMW!AN119,SSEH!AN119,SSES!AN119)</f>
        <v>0</v>
      </c>
      <c r="AO119" s="238">
        <f>CHOOSE(m_identity,ENWL!AO119, NPgN!AO119, NPgY!AO119, WMID!AO119, EMID!AO119, SWALES!AO119, SWEST!AO119, LPN!AO119,SPN!AO119,EPN!AO119,SPD!AO119,SPMW!AO119,SSEH!AO119,SSES!AO119)</f>
        <v>0</v>
      </c>
      <c r="AP119" s="238">
        <f>CHOOSE(m_identity,ENWL!AP119, NPgN!AP119, NPgY!AP119, WMID!AP119, EMID!AP119, SWALES!AP119, SWEST!AP119, LPN!AP119,SPN!AP119,EPN!AP119,SPD!AP119,SPMW!AP119,SSEH!AP119,SSES!AP119)</f>
        <v>0</v>
      </c>
      <c r="AQ119" s="238">
        <f>CHOOSE(m_identity,ENWL!AQ119, NPgN!AQ119, NPgY!AQ119, WMID!AQ119, EMID!AQ119, SWALES!AQ119, SWEST!AQ119, LPN!AQ119,SPN!AQ119,EPN!AQ119,SPD!AQ119,SPMW!AQ119,SSEH!AQ119,SSES!AQ119)</f>
        <v>0</v>
      </c>
    </row>
    <row r="120" spans="5:43" s="98" customFormat="1" ht="15" customHeight="1">
      <c r="E120" s="268" t="s">
        <v>920</v>
      </c>
      <c r="G120" s="98" t="s">
        <v>49</v>
      </c>
      <c r="I120" s="158"/>
      <c r="AJ120" s="238">
        <f>CHOOSE(m_identity,ENWL!AJ120, NPgN!AJ120, NPgY!AJ120, WMID!AJ120, EMID!AJ120, SWALES!AJ120, SWEST!AJ120, LPN!AJ120,SPN!AJ120,EPN!AJ120,SPD!AJ120,SPMW!AJ120,SSEH!AJ120,SSES!AJ120)</f>
        <v>7.1646117178832966E-3</v>
      </c>
      <c r="AK120" s="238">
        <f>CHOOSE(m_identity,ENWL!AK120, NPgN!AK120, NPgY!AK120, WMID!AK120, EMID!AK120, SWALES!AK120, SWEST!AK120, LPN!AK120,SPN!AK120,EPN!AK120,SPD!AK120,SPMW!AK120,SSEH!AK120,SSES!AK120)</f>
        <v>7.1646117178832932E-3</v>
      </c>
      <c r="AL120" s="238">
        <f>CHOOSE(m_identity,ENWL!AL120, NPgN!AL120, NPgY!AL120, WMID!AL120, EMID!AL120, SWALES!AL120, SWEST!AL120, LPN!AL120,SPN!AL120,EPN!AL120,SPD!AL120,SPMW!AL120,SSEH!AL120,SSES!AL120)</f>
        <v>7.1646117178832949E-3</v>
      </c>
      <c r="AM120" s="238">
        <f>CHOOSE(m_identity,ENWL!AM120, NPgN!AM120, NPgY!AM120, WMID!AM120, EMID!AM120, SWALES!AM120, SWEST!AM120, LPN!AM120,SPN!AM120,EPN!AM120,SPD!AM120,SPMW!AM120,SSEH!AM120,SSES!AM120)</f>
        <v>7.1646117178832949E-3</v>
      </c>
      <c r="AN120" s="238">
        <f>CHOOSE(m_identity,ENWL!AN120, NPgN!AN120, NPgY!AN120, WMID!AN120, EMID!AN120, SWALES!AN120, SWEST!AN120, LPN!AN120,SPN!AN120,EPN!AN120,SPD!AN120,SPMW!AN120,SSEH!AN120,SSES!AN120)</f>
        <v>7.1646117178832975E-3</v>
      </c>
      <c r="AO120" s="238">
        <f>CHOOSE(m_identity,ENWL!AO120, NPgN!AO120, NPgY!AO120, WMID!AO120, EMID!AO120, SWALES!AO120, SWEST!AO120, LPN!AO120,SPN!AO120,EPN!AO120,SPD!AO120,SPMW!AO120,SSEH!AO120,SSES!AO120)</f>
        <v>7.1646117178832949E-3</v>
      </c>
      <c r="AP120" s="238">
        <f>CHOOSE(m_identity,ENWL!AP120, NPgN!AP120, NPgY!AP120, WMID!AP120, EMID!AP120, SWALES!AP120, SWEST!AP120, LPN!AP120,SPN!AP120,EPN!AP120,SPD!AP120,SPMW!AP120,SSEH!AP120,SSES!AP120)</f>
        <v>0</v>
      </c>
      <c r="AQ120" s="238">
        <f>CHOOSE(m_identity,ENWL!AQ120, NPgN!AQ120, NPgY!AQ120, WMID!AQ120, EMID!AQ120, SWALES!AQ120, SWEST!AQ120, LPN!AQ120,SPN!AQ120,EPN!AQ120,SPD!AQ120,SPMW!AQ120,SSEH!AQ120,SSES!AQ120)</f>
        <v>0</v>
      </c>
    </row>
    <row r="121" spans="5:43" s="98" customFormat="1" ht="15" customHeight="1">
      <c r="E121" s="268" t="s">
        <v>524</v>
      </c>
      <c r="G121" s="98" t="s">
        <v>49</v>
      </c>
      <c r="I121" s="158"/>
      <c r="AJ121" s="238">
        <f>CHOOSE(m_identity,ENWL!AJ121, NPgN!AJ121, NPgY!AJ121, WMID!AJ121, EMID!AJ121, SWALES!AJ121, SWEST!AJ121, LPN!AJ121,SPN!AJ121,EPN!AJ121,SPD!AJ121,SPMW!AJ121,SSEH!AJ121,SSES!AJ121)</f>
        <v>0</v>
      </c>
      <c r="AK121" s="238">
        <f>CHOOSE(m_identity,ENWL!AK121, NPgN!AK121, NPgY!AK121, WMID!AK121, EMID!AK121, SWALES!AK121, SWEST!AK121, LPN!AK121,SPN!AK121,EPN!AK121,SPD!AK121,SPMW!AK121,SSEH!AK121,SSES!AK121)</f>
        <v>0</v>
      </c>
      <c r="AL121" s="238">
        <f>CHOOSE(m_identity,ENWL!AL121, NPgN!AL121, NPgY!AL121, WMID!AL121, EMID!AL121, SWALES!AL121, SWEST!AL121, LPN!AL121,SPN!AL121,EPN!AL121,SPD!AL121,SPMW!AL121,SSEH!AL121,SSES!AL121)</f>
        <v>0</v>
      </c>
      <c r="AM121" s="238">
        <f>CHOOSE(m_identity,ENWL!AM121, NPgN!AM121, NPgY!AM121, WMID!AM121, EMID!AM121, SWALES!AM121, SWEST!AM121, LPN!AM121,SPN!AM121,EPN!AM121,SPD!AM121,SPMW!AM121,SSEH!AM121,SSES!AM121)</f>
        <v>0</v>
      </c>
      <c r="AN121" s="238">
        <f>CHOOSE(m_identity,ENWL!AN121, NPgN!AN121, NPgY!AN121, WMID!AN121, EMID!AN121, SWALES!AN121, SWEST!AN121, LPN!AN121,SPN!AN121,EPN!AN121,SPD!AN121,SPMW!AN121,SSEH!AN121,SSES!AN121)</f>
        <v>0</v>
      </c>
      <c r="AO121" s="238">
        <f>CHOOSE(m_identity,ENWL!AO121, NPgN!AO121, NPgY!AO121, WMID!AO121, EMID!AO121, SWALES!AO121, SWEST!AO121, LPN!AO121,SPN!AO121,EPN!AO121,SPD!AO121,SPMW!AO121,SSEH!AO121,SSES!AO121)</f>
        <v>0</v>
      </c>
      <c r="AP121" s="238">
        <f>CHOOSE(m_identity,ENWL!AP121, NPgN!AP121, NPgY!AP121, WMID!AP121, EMID!AP121, SWALES!AP121, SWEST!AP121, LPN!AP121,SPN!AP121,EPN!AP121,SPD!AP121,SPMW!AP121,SSEH!AP121,SSES!AP121)</f>
        <v>0</v>
      </c>
      <c r="AQ121" s="238">
        <f>CHOOSE(m_identity,ENWL!AQ121, NPgN!AQ121, NPgY!AQ121, WMID!AQ121, EMID!AQ121, SWALES!AQ121, SWEST!AQ121, LPN!AQ121,SPN!AQ121,EPN!AQ121,SPD!AQ121,SPMW!AQ121,SSEH!AQ121,SSES!AQ121)</f>
        <v>0</v>
      </c>
    </row>
    <row r="123" spans="5:43" s="98" customFormat="1" ht="15" customHeight="1">
      <c r="E123" s="154" t="str">
        <f>E21</f>
        <v xml:space="preserve">Allowed Expenditure - Visual Amenity Allowed (TIM neutral)                                                                                                      </v>
      </c>
      <c r="G123" s="98" t="s">
        <v>844</v>
      </c>
      <c r="I123" s="58"/>
      <c r="AJ123" s="221">
        <f>AJ21</f>
        <v>0</v>
      </c>
      <c r="AK123" s="221">
        <f t="shared" ref="AK123:AQ123" si="4">AK21</f>
        <v>0</v>
      </c>
      <c r="AL123" s="221">
        <f t="shared" si="4"/>
        <v>0</v>
      </c>
      <c r="AM123" s="221">
        <f t="shared" si="4"/>
        <v>0</v>
      </c>
      <c r="AN123" s="221">
        <f t="shared" si="4"/>
        <v>0</v>
      </c>
      <c r="AO123" s="221">
        <f t="shared" si="4"/>
        <v>0</v>
      </c>
      <c r="AP123" s="221">
        <f t="shared" si="4"/>
        <v>0</v>
      </c>
      <c r="AQ123" s="221">
        <f t="shared" si="4"/>
        <v>0</v>
      </c>
    </row>
    <row r="124" spans="5:43" s="98" customFormat="1" ht="15" customHeight="1">
      <c r="E124" s="268" t="s">
        <v>522</v>
      </c>
      <c r="G124" s="98" t="s">
        <v>49</v>
      </c>
      <c r="I124" s="158"/>
      <c r="AJ124" s="238">
        <f>CHOOSE(m_identity,ENWL!AJ124, NPgN!AJ124, NPgY!AJ124, WMID!AJ124, EMID!AJ124, SWALES!AJ124, SWEST!AJ124, LPN!AJ124,SPN!AJ124,EPN!AJ124,SPD!AJ124,SPMW!AJ124,SSEH!AJ124,SSES!AJ124)</f>
        <v>0</v>
      </c>
      <c r="AK124" s="238">
        <f>CHOOSE(m_identity,ENWL!AK124, NPgN!AK124, NPgY!AK124, WMID!AK124, EMID!AK124, SWALES!AK124, SWEST!AK124, LPN!AK124,SPN!AK124,EPN!AK124,SPD!AK124,SPMW!AK124,SSEH!AK124,SSES!AK124)</f>
        <v>0</v>
      </c>
      <c r="AL124" s="238">
        <f>CHOOSE(m_identity,ENWL!AL124, NPgN!AL124, NPgY!AL124, WMID!AL124, EMID!AL124, SWALES!AL124, SWEST!AL124, LPN!AL124,SPN!AL124,EPN!AL124,SPD!AL124,SPMW!AL124,SSEH!AL124,SSES!AL124)</f>
        <v>0</v>
      </c>
      <c r="AM124" s="238">
        <f>CHOOSE(m_identity,ENWL!AM124, NPgN!AM124, NPgY!AM124, WMID!AM124, EMID!AM124, SWALES!AM124, SWEST!AM124, LPN!AM124,SPN!AM124,EPN!AM124,SPD!AM124,SPMW!AM124,SSEH!AM124,SSES!AM124)</f>
        <v>0</v>
      </c>
      <c r="AN124" s="238">
        <f>CHOOSE(m_identity,ENWL!AN124, NPgN!AN124, NPgY!AN124, WMID!AN124, EMID!AN124, SWALES!AN124, SWEST!AN124, LPN!AN124,SPN!AN124,EPN!AN124,SPD!AN124,SPMW!AN124,SSEH!AN124,SSES!AN124)</f>
        <v>0</v>
      </c>
      <c r="AO124" s="238">
        <f>CHOOSE(m_identity,ENWL!AO124, NPgN!AO124, NPgY!AO124, WMID!AO124, EMID!AO124, SWALES!AO124, SWEST!AO124, LPN!AO124,SPN!AO124,EPN!AO124,SPD!AO124,SPMW!AO124,SSEH!AO124,SSES!AO124)</f>
        <v>0</v>
      </c>
      <c r="AP124" s="238">
        <f>CHOOSE(m_identity,ENWL!AP124, NPgN!AP124, NPgY!AP124, WMID!AP124, EMID!AP124, SWALES!AP124, SWEST!AP124, LPN!AP124,SPN!AP124,EPN!AP124,SPD!AP124,SPMW!AP124,SSEH!AP124,SSES!AP124)</f>
        <v>0</v>
      </c>
      <c r="AQ124" s="238">
        <f>CHOOSE(m_identity,ENWL!AQ124, NPgN!AQ124, NPgY!AQ124, WMID!AQ124, EMID!AQ124, SWALES!AQ124, SWEST!AQ124, LPN!AQ124,SPN!AQ124,EPN!AQ124,SPD!AQ124,SPMW!AQ124,SSEH!AQ124,SSES!AQ124)</f>
        <v>0</v>
      </c>
    </row>
    <row r="125" spans="5:43" s="98" customFormat="1" ht="15" customHeight="1">
      <c r="E125" s="268" t="s">
        <v>663</v>
      </c>
      <c r="G125" s="98" t="s">
        <v>49</v>
      </c>
      <c r="I125" s="158"/>
      <c r="AJ125" s="238">
        <f>CHOOSE(m_identity,ENWL!AJ125, NPgN!AJ125, NPgY!AJ125, WMID!AJ125, EMID!AJ125, SWALES!AJ125, SWEST!AJ125, LPN!AJ125,SPN!AJ125,EPN!AJ125,SPD!AJ125,SPMW!AJ125,SSEH!AJ125,SSES!AJ125)</f>
        <v>0</v>
      </c>
      <c r="AK125" s="238">
        <f>CHOOSE(m_identity,ENWL!AK125, NPgN!AK125, NPgY!AK125, WMID!AK125, EMID!AK125, SWALES!AK125, SWEST!AK125, LPN!AK125,SPN!AK125,EPN!AK125,SPD!AK125,SPMW!AK125,SSEH!AK125,SSES!AK125)</f>
        <v>0</v>
      </c>
      <c r="AL125" s="238">
        <f>CHOOSE(m_identity,ENWL!AL125, NPgN!AL125, NPgY!AL125, WMID!AL125, EMID!AL125, SWALES!AL125, SWEST!AL125, LPN!AL125,SPN!AL125,EPN!AL125,SPD!AL125,SPMW!AL125,SSEH!AL125,SSES!AL125)</f>
        <v>0</v>
      </c>
      <c r="AM125" s="238">
        <f>CHOOSE(m_identity,ENWL!AM125, NPgN!AM125, NPgY!AM125, WMID!AM125, EMID!AM125, SWALES!AM125, SWEST!AM125, LPN!AM125,SPN!AM125,EPN!AM125,SPD!AM125,SPMW!AM125,SSEH!AM125,SSES!AM125)</f>
        <v>0</v>
      </c>
      <c r="AN125" s="238">
        <f>CHOOSE(m_identity,ENWL!AN125, NPgN!AN125, NPgY!AN125, WMID!AN125, EMID!AN125, SWALES!AN125, SWEST!AN125, LPN!AN125,SPN!AN125,EPN!AN125,SPD!AN125,SPMW!AN125,SSEH!AN125,SSES!AN125)</f>
        <v>0</v>
      </c>
      <c r="AO125" s="238">
        <f>CHOOSE(m_identity,ENWL!AO125, NPgN!AO125, NPgY!AO125, WMID!AO125, EMID!AO125, SWALES!AO125, SWEST!AO125, LPN!AO125,SPN!AO125,EPN!AO125,SPD!AO125,SPMW!AO125,SSEH!AO125,SSES!AO125)</f>
        <v>0</v>
      </c>
      <c r="AP125" s="238">
        <f>CHOOSE(m_identity,ENWL!AP125, NPgN!AP125, NPgY!AP125, WMID!AP125, EMID!AP125, SWALES!AP125, SWEST!AP125, LPN!AP125,SPN!AP125,EPN!AP125,SPD!AP125,SPMW!AP125,SSEH!AP125,SSES!AP125)</f>
        <v>0</v>
      </c>
      <c r="AQ125" s="238">
        <f>CHOOSE(m_identity,ENWL!AQ125, NPgN!AQ125, NPgY!AQ125, WMID!AQ125, EMID!AQ125, SWALES!AQ125, SWEST!AQ125, LPN!AQ125,SPN!AQ125,EPN!AQ125,SPD!AQ125,SPMW!AQ125,SSEH!AQ125,SSES!AQ125)</f>
        <v>0</v>
      </c>
    </row>
    <row r="126" spans="5:43" s="98" customFormat="1" ht="15" customHeight="1">
      <c r="E126" s="268" t="s">
        <v>523</v>
      </c>
      <c r="G126" s="98" t="s">
        <v>49</v>
      </c>
      <c r="I126" s="158"/>
      <c r="AJ126" s="238">
        <f>CHOOSE(m_identity,ENWL!AJ126, NPgN!AJ126, NPgY!AJ126, WMID!AJ126, EMID!AJ126, SWALES!AJ126, SWEST!AJ126, LPN!AJ126,SPN!AJ126,EPN!AJ126,SPD!AJ126,SPMW!AJ126,SSEH!AJ126,SSES!AJ126)</f>
        <v>1</v>
      </c>
      <c r="AK126" s="238">
        <f>CHOOSE(m_identity,ENWL!AK126, NPgN!AK126, NPgY!AK126, WMID!AK126, EMID!AK126, SWALES!AK126, SWEST!AK126, LPN!AK126,SPN!AK126,EPN!AK126,SPD!AK126,SPMW!AK126,SSEH!AK126,SSES!AK126)</f>
        <v>1</v>
      </c>
      <c r="AL126" s="238">
        <f>CHOOSE(m_identity,ENWL!AL126, NPgN!AL126, NPgY!AL126, WMID!AL126, EMID!AL126, SWALES!AL126, SWEST!AL126, LPN!AL126,SPN!AL126,EPN!AL126,SPD!AL126,SPMW!AL126,SSEH!AL126,SSES!AL126)</f>
        <v>1</v>
      </c>
      <c r="AM126" s="238">
        <f>CHOOSE(m_identity,ENWL!AM126, NPgN!AM126, NPgY!AM126, WMID!AM126, EMID!AM126, SWALES!AM126, SWEST!AM126, LPN!AM126,SPN!AM126,EPN!AM126,SPD!AM126,SPMW!AM126,SSEH!AM126,SSES!AM126)</f>
        <v>1</v>
      </c>
      <c r="AN126" s="238">
        <f>CHOOSE(m_identity,ENWL!AN126, NPgN!AN126, NPgY!AN126, WMID!AN126, EMID!AN126, SWALES!AN126, SWEST!AN126, LPN!AN126,SPN!AN126,EPN!AN126,SPD!AN126,SPMW!AN126,SSEH!AN126,SSES!AN126)</f>
        <v>1</v>
      </c>
      <c r="AO126" s="238">
        <f>CHOOSE(m_identity,ENWL!AO126, NPgN!AO126, NPgY!AO126, WMID!AO126, EMID!AO126, SWALES!AO126, SWEST!AO126, LPN!AO126,SPN!AO126,EPN!AO126,SPD!AO126,SPMW!AO126,SSEH!AO126,SSES!AO126)</f>
        <v>1</v>
      </c>
      <c r="AP126" s="238">
        <f>CHOOSE(m_identity,ENWL!AP126, NPgN!AP126, NPgY!AP126, WMID!AP126, EMID!AP126, SWALES!AP126, SWEST!AP126, LPN!AP126,SPN!AP126,EPN!AP126,SPD!AP126,SPMW!AP126,SSEH!AP126,SSES!AP126)</f>
        <v>1</v>
      </c>
      <c r="AQ126" s="238">
        <f>CHOOSE(m_identity,ENWL!AQ126, NPgN!AQ126, NPgY!AQ126, WMID!AQ126, EMID!AQ126, SWALES!AQ126, SWEST!AQ126, LPN!AQ126,SPN!AQ126,EPN!AQ126,SPD!AQ126,SPMW!AQ126,SSEH!AQ126,SSES!AQ126)</f>
        <v>1</v>
      </c>
    </row>
    <row r="127" spans="5:43" s="98" customFormat="1" ht="15" customHeight="1">
      <c r="E127" s="268" t="s">
        <v>704</v>
      </c>
      <c r="G127" s="98" t="s">
        <v>49</v>
      </c>
      <c r="I127" s="158"/>
      <c r="AJ127" s="238">
        <f>CHOOSE(m_identity,ENWL!AJ127, NPgN!AJ127, NPgY!AJ127, WMID!AJ127, EMID!AJ127, SWALES!AJ127, SWEST!AJ127, LPN!AJ127,SPN!AJ127,EPN!AJ127,SPD!AJ127,SPMW!AJ127,SSEH!AJ127,SSES!AJ127)</f>
        <v>0</v>
      </c>
      <c r="AK127" s="238">
        <f>CHOOSE(m_identity,ENWL!AK127, NPgN!AK127, NPgY!AK127, WMID!AK127, EMID!AK127, SWALES!AK127, SWEST!AK127, LPN!AK127,SPN!AK127,EPN!AK127,SPD!AK127,SPMW!AK127,SSEH!AK127,SSES!AK127)</f>
        <v>0</v>
      </c>
      <c r="AL127" s="238">
        <f>CHOOSE(m_identity,ENWL!AL127, NPgN!AL127, NPgY!AL127, WMID!AL127, EMID!AL127, SWALES!AL127, SWEST!AL127, LPN!AL127,SPN!AL127,EPN!AL127,SPD!AL127,SPMW!AL127,SSEH!AL127,SSES!AL127)</f>
        <v>0</v>
      </c>
      <c r="AM127" s="238">
        <f>CHOOSE(m_identity,ENWL!AM127, NPgN!AM127, NPgY!AM127, WMID!AM127, EMID!AM127, SWALES!AM127, SWEST!AM127, LPN!AM127,SPN!AM127,EPN!AM127,SPD!AM127,SPMW!AM127,SSEH!AM127,SSES!AM127)</f>
        <v>0</v>
      </c>
      <c r="AN127" s="238">
        <f>CHOOSE(m_identity,ENWL!AN127, NPgN!AN127, NPgY!AN127, WMID!AN127, EMID!AN127, SWALES!AN127, SWEST!AN127, LPN!AN127,SPN!AN127,EPN!AN127,SPD!AN127,SPMW!AN127,SSEH!AN127,SSES!AN127)</f>
        <v>0</v>
      </c>
      <c r="AO127" s="238">
        <f>CHOOSE(m_identity,ENWL!AO127, NPgN!AO127, NPgY!AO127, WMID!AO127, EMID!AO127, SWALES!AO127, SWEST!AO127, LPN!AO127,SPN!AO127,EPN!AO127,SPD!AO127,SPMW!AO127,SSEH!AO127,SSES!AO127)</f>
        <v>0</v>
      </c>
      <c r="AP127" s="238">
        <f>CHOOSE(m_identity,ENWL!AP127, NPgN!AP127, NPgY!AP127, WMID!AP127, EMID!AP127, SWALES!AP127, SWEST!AP127, LPN!AP127,SPN!AP127,EPN!AP127,SPD!AP127,SPMW!AP127,SSEH!AP127,SSES!AP127)</f>
        <v>0</v>
      </c>
      <c r="AQ127" s="238">
        <f>CHOOSE(m_identity,ENWL!AQ127, NPgN!AQ127, NPgY!AQ127, WMID!AQ127, EMID!AQ127, SWALES!AQ127, SWEST!AQ127, LPN!AQ127,SPN!AQ127,EPN!AQ127,SPD!AQ127,SPMW!AQ127,SSEH!AQ127,SSES!AQ127)</f>
        <v>0</v>
      </c>
    </row>
    <row r="128" spans="5:43" s="98" customFormat="1" ht="15" customHeight="1">
      <c r="E128" s="550" t="s">
        <v>994</v>
      </c>
      <c r="G128" s="98" t="s">
        <v>49</v>
      </c>
      <c r="I128" s="158"/>
      <c r="AJ128" s="238">
        <f>CHOOSE(m_identity,ENWL!AJ128, NPgN!AJ128, NPgY!AJ128, WMID!AJ128, EMID!AJ128, SWALES!AJ128, SWEST!AJ128, LPN!AJ128,SPN!AJ128,EPN!AJ128,SPD!AJ128,SPMW!AJ128,SSEH!AJ128,SSES!AJ128)</f>
        <v>0</v>
      </c>
      <c r="AK128" s="238">
        <f>CHOOSE(m_identity,ENWL!AK128, NPgN!AK128, NPgY!AK128, WMID!AK128, EMID!AK128, SWALES!AK128, SWEST!AK128, LPN!AK128,SPN!AK128,EPN!AK128,SPD!AK128,SPMW!AK128,SSEH!AK128,SSES!AK128)</f>
        <v>0</v>
      </c>
      <c r="AL128" s="238">
        <f>CHOOSE(m_identity,ENWL!AL128, NPgN!AL128, NPgY!AL128, WMID!AL128, EMID!AL128, SWALES!AL128, SWEST!AL128, LPN!AL128,SPN!AL128,EPN!AL128,SPD!AL128,SPMW!AL128,SSEH!AL128,SSES!AL128)</f>
        <v>0</v>
      </c>
      <c r="AM128" s="238">
        <f>CHOOSE(m_identity,ENWL!AM128, NPgN!AM128, NPgY!AM128, WMID!AM128, EMID!AM128, SWALES!AM128, SWEST!AM128, LPN!AM128,SPN!AM128,EPN!AM128,SPD!AM128,SPMW!AM128,SSEH!AM128,SSES!AM128)</f>
        <v>0</v>
      </c>
      <c r="AN128" s="238">
        <f>CHOOSE(m_identity,ENWL!AN128, NPgN!AN128, NPgY!AN128, WMID!AN128, EMID!AN128, SWALES!AN128, SWEST!AN128, LPN!AN128,SPN!AN128,EPN!AN128,SPD!AN128,SPMW!AN128,SSEH!AN128,SSES!AN128)</f>
        <v>0</v>
      </c>
      <c r="AO128" s="238">
        <f>CHOOSE(m_identity,ENWL!AO128, NPgN!AO128, NPgY!AO128, WMID!AO128, EMID!AO128, SWALES!AO128, SWEST!AO128, LPN!AO128,SPN!AO128,EPN!AO128,SPD!AO128,SPMW!AO128,SSEH!AO128,SSES!AO128)</f>
        <v>0</v>
      </c>
      <c r="AP128" s="238">
        <f>CHOOSE(m_identity,ENWL!AP128, NPgN!AP128, NPgY!AP128, WMID!AP128, EMID!AP128, SWALES!AP128, SWEST!AP128, LPN!AP128,SPN!AP128,EPN!AP128,SPD!AP128,SPMW!AP128,SSEH!AP128,SSES!AP128)</f>
        <v>0</v>
      </c>
      <c r="AQ128" s="238">
        <f>CHOOSE(m_identity,ENWL!AQ128, NPgN!AQ128, NPgY!AQ128, WMID!AQ128, EMID!AQ128, SWALES!AQ128, SWEST!AQ128, LPN!AQ128,SPN!AQ128,EPN!AQ128,SPD!AQ128,SPMW!AQ128,SSEH!AQ128,SSES!AQ128)</f>
        <v>0</v>
      </c>
    </row>
    <row r="129" spans="5:43" s="98" customFormat="1" ht="15" customHeight="1">
      <c r="E129" s="268" t="s">
        <v>920</v>
      </c>
      <c r="G129" s="98" t="s">
        <v>49</v>
      </c>
      <c r="I129" s="158"/>
      <c r="AJ129" s="238">
        <f>CHOOSE(m_identity,ENWL!AJ129, NPgN!AJ129, NPgY!AJ129, WMID!AJ129, EMID!AJ129, SWALES!AJ129, SWEST!AJ129, LPN!AJ129,SPN!AJ129,EPN!AJ129,SPD!AJ129,SPMW!AJ129,SSEH!AJ129,SSES!AJ129)</f>
        <v>0</v>
      </c>
      <c r="AK129" s="238">
        <f>CHOOSE(m_identity,ENWL!AK129, NPgN!AK129, NPgY!AK129, WMID!AK129, EMID!AK129, SWALES!AK129, SWEST!AK129, LPN!AK129,SPN!AK129,EPN!AK129,SPD!AK129,SPMW!AK129,SSEH!AK129,SSES!AK129)</f>
        <v>0</v>
      </c>
      <c r="AL129" s="238">
        <f>CHOOSE(m_identity,ENWL!AL129, NPgN!AL129, NPgY!AL129, WMID!AL129, EMID!AL129, SWALES!AL129, SWEST!AL129, LPN!AL129,SPN!AL129,EPN!AL129,SPD!AL129,SPMW!AL129,SSEH!AL129,SSES!AL129)</f>
        <v>0</v>
      </c>
      <c r="AM129" s="238">
        <f>CHOOSE(m_identity,ENWL!AM129, NPgN!AM129, NPgY!AM129, WMID!AM129, EMID!AM129, SWALES!AM129, SWEST!AM129, LPN!AM129,SPN!AM129,EPN!AM129,SPD!AM129,SPMW!AM129,SSEH!AM129,SSES!AM129)</f>
        <v>0</v>
      </c>
      <c r="AN129" s="238">
        <f>CHOOSE(m_identity,ENWL!AN129, NPgN!AN129, NPgY!AN129, WMID!AN129, EMID!AN129, SWALES!AN129, SWEST!AN129, LPN!AN129,SPN!AN129,EPN!AN129,SPD!AN129,SPMW!AN129,SSEH!AN129,SSES!AN129)</f>
        <v>0</v>
      </c>
      <c r="AO129" s="238">
        <f>CHOOSE(m_identity,ENWL!AO129, NPgN!AO129, NPgY!AO129, WMID!AO129, EMID!AO129, SWALES!AO129, SWEST!AO129, LPN!AO129,SPN!AO129,EPN!AO129,SPD!AO129,SPMW!AO129,SSEH!AO129,SSES!AO129)</f>
        <v>0</v>
      </c>
      <c r="AP129" s="238">
        <f>CHOOSE(m_identity,ENWL!AP129, NPgN!AP129, NPgY!AP129, WMID!AP129, EMID!AP129, SWALES!AP129, SWEST!AP129, LPN!AP129,SPN!AP129,EPN!AP129,SPD!AP129,SPMW!AP129,SSEH!AP129,SSES!AP129)</f>
        <v>0</v>
      </c>
      <c r="AQ129" s="238">
        <f>CHOOSE(m_identity,ENWL!AQ129, NPgN!AQ129, NPgY!AQ129, WMID!AQ129, EMID!AQ129, SWALES!AQ129, SWEST!AQ129, LPN!AQ129,SPN!AQ129,EPN!AQ129,SPD!AQ129,SPMW!AQ129,SSEH!AQ129,SSES!AQ129)</f>
        <v>0</v>
      </c>
    </row>
    <row r="130" spans="5:43" s="98" customFormat="1" ht="15" customHeight="1">
      <c r="E130" s="268" t="s">
        <v>524</v>
      </c>
      <c r="G130" s="98" t="s">
        <v>49</v>
      </c>
      <c r="I130" s="158"/>
      <c r="AJ130" s="238">
        <f>CHOOSE(m_identity,ENWL!AJ130, NPgN!AJ130, NPgY!AJ130, WMID!AJ130, EMID!AJ130, SWALES!AJ130, SWEST!AJ130, LPN!AJ130,SPN!AJ130,EPN!AJ130,SPD!AJ130,SPMW!AJ130,SSEH!AJ130,SSES!AJ130)</f>
        <v>0</v>
      </c>
      <c r="AK130" s="238">
        <f>CHOOSE(m_identity,ENWL!AK130, NPgN!AK130, NPgY!AK130, WMID!AK130, EMID!AK130, SWALES!AK130, SWEST!AK130, LPN!AK130,SPN!AK130,EPN!AK130,SPD!AK130,SPMW!AK130,SSEH!AK130,SSES!AK130)</f>
        <v>0</v>
      </c>
      <c r="AL130" s="238">
        <f>CHOOSE(m_identity,ENWL!AL130, NPgN!AL130, NPgY!AL130, WMID!AL130, EMID!AL130, SWALES!AL130, SWEST!AL130, LPN!AL130,SPN!AL130,EPN!AL130,SPD!AL130,SPMW!AL130,SSEH!AL130,SSES!AL130)</f>
        <v>0</v>
      </c>
      <c r="AM130" s="238">
        <f>CHOOSE(m_identity,ENWL!AM130, NPgN!AM130, NPgY!AM130, WMID!AM130, EMID!AM130, SWALES!AM130, SWEST!AM130, LPN!AM130,SPN!AM130,EPN!AM130,SPD!AM130,SPMW!AM130,SSEH!AM130,SSES!AM130)</f>
        <v>0</v>
      </c>
      <c r="AN130" s="238">
        <f>CHOOSE(m_identity,ENWL!AN130, NPgN!AN130, NPgY!AN130, WMID!AN130, EMID!AN130, SWALES!AN130, SWEST!AN130, LPN!AN130,SPN!AN130,EPN!AN130,SPD!AN130,SPMW!AN130,SSEH!AN130,SSES!AN130)</f>
        <v>0</v>
      </c>
      <c r="AO130" s="238">
        <f>CHOOSE(m_identity,ENWL!AO130, NPgN!AO130, NPgY!AO130, WMID!AO130, EMID!AO130, SWALES!AO130, SWEST!AO130, LPN!AO130,SPN!AO130,EPN!AO130,SPD!AO130,SPMW!AO130,SSEH!AO130,SSES!AO130)</f>
        <v>0</v>
      </c>
      <c r="AP130" s="238">
        <f>CHOOSE(m_identity,ENWL!AP130, NPgN!AP130, NPgY!AP130, WMID!AP130, EMID!AP130, SWALES!AP130, SWEST!AP130, LPN!AP130,SPN!AP130,EPN!AP130,SPD!AP130,SPMW!AP130,SSEH!AP130,SSES!AP130)</f>
        <v>0</v>
      </c>
      <c r="AQ130" s="238">
        <f>CHOOSE(m_identity,ENWL!AQ130, NPgN!AQ130, NPgY!AQ130, WMID!AQ130, EMID!AQ130, SWALES!AQ130, SWEST!AQ130, LPN!AQ130,SPN!AQ130,EPN!AQ130,SPD!AQ130,SPMW!AQ130,SSEH!AQ130,SSES!AQ130)</f>
        <v>0</v>
      </c>
    </row>
    <row r="132" spans="5:43" s="98" customFormat="1" ht="15" customHeight="1">
      <c r="E132" s="154" t="str">
        <f>E22</f>
        <v>Allowed Expenditure - Worst Served Customers Allowed (TIM neutral)</v>
      </c>
      <c r="G132" s="98" t="s">
        <v>844</v>
      </c>
      <c r="I132" s="58"/>
      <c r="AJ132" s="221">
        <f>AJ22</f>
        <v>0</v>
      </c>
      <c r="AK132" s="221">
        <f t="shared" ref="AK132:AQ132" si="5">AK22</f>
        <v>0</v>
      </c>
      <c r="AL132" s="221">
        <f t="shared" si="5"/>
        <v>0</v>
      </c>
      <c r="AM132" s="221">
        <f t="shared" si="5"/>
        <v>0</v>
      </c>
      <c r="AN132" s="221">
        <f t="shared" si="5"/>
        <v>0</v>
      </c>
      <c r="AO132" s="221">
        <f t="shared" si="5"/>
        <v>0</v>
      </c>
      <c r="AP132" s="221">
        <f t="shared" si="5"/>
        <v>0</v>
      </c>
      <c r="AQ132" s="221">
        <f t="shared" si="5"/>
        <v>0</v>
      </c>
    </row>
    <row r="133" spans="5:43" s="98" customFormat="1" ht="15" customHeight="1">
      <c r="E133" s="268" t="s">
        <v>522</v>
      </c>
      <c r="G133" s="98" t="s">
        <v>49</v>
      </c>
      <c r="I133" s="158"/>
      <c r="AJ133" s="238">
        <f>CHOOSE(m_identity,ENWL!AJ133, NPgN!AJ133, NPgY!AJ133, WMID!AJ133, EMID!AJ133, SWALES!AJ133, SWEST!AJ133, LPN!AJ133,SPN!AJ133,EPN!AJ133,SPD!AJ133,SPMW!AJ133,SSEH!AJ133,SSES!AJ133)</f>
        <v>0</v>
      </c>
      <c r="AK133" s="238">
        <f>CHOOSE(m_identity,ENWL!AK133, NPgN!AK133, NPgY!AK133, WMID!AK133, EMID!AK133, SWALES!AK133, SWEST!AK133, LPN!AK133,SPN!AK133,EPN!AK133,SPD!AK133,SPMW!AK133,SSEH!AK133,SSES!AK133)</f>
        <v>0</v>
      </c>
      <c r="AL133" s="238">
        <f>CHOOSE(m_identity,ENWL!AL133, NPgN!AL133, NPgY!AL133, WMID!AL133, EMID!AL133, SWALES!AL133, SWEST!AL133, LPN!AL133,SPN!AL133,EPN!AL133,SPD!AL133,SPMW!AL133,SSEH!AL133,SSES!AL133)</f>
        <v>0</v>
      </c>
      <c r="AM133" s="238">
        <f>CHOOSE(m_identity,ENWL!AM133, NPgN!AM133, NPgY!AM133, WMID!AM133, EMID!AM133, SWALES!AM133, SWEST!AM133, LPN!AM133,SPN!AM133,EPN!AM133,SPD!AM133,SPMW!AM133,SSEH!AM133,SSES!AM133)</f>
        <v>0</v>
      </c>
      <c r="AN133" s="238">
        <f>CHOOSE(m_identity,ENWL!AN133, NPgN!AN133, NPgY!AN133, WMID!AN133, EMID!AN133, SWALES!AN133, SWEST!AN133, LPN!AN133,SPN!AN133,EPN!AN133,SPD!AN133,SPMW!AN133,SSEH!AN133,SSES!AN133)</f>
        <v>0</v>
      </c>
      <c r="AO133" s="238">
        <f>CHOOSE(m_identity,ENWL!AO133, NPgN!AO133, NPgY!AO133, WMID!AO133, EMID!AO133, SWALES!AO133, SWEST!AO133, LPN!AO133,SPN!AO133,EPN!AO133,SPD!AO133,SPMW!AO133,SSEH!AO133,SSES!AO133)</f>
        <v>0</v>
      </c>
      <c r="AP133" s="238">
        <f>CHOOSE(m_identity,ENWL!AP133, NPgN!AP133, NPgY!AP133, WMID!AP133, EMID!AP133, SWALES!AP133, SWEST!AP133, LPN!AP133,SPN!AP133,EPN!AP133,SPD!AP133,SPMW!AP133,SSEH!AP133,SSES!AP133)</f>
        <v>0</v>
      </c>
      <c r="AQ133" s="238">
        <f>CHOOSE(m_identity,ENWL!AQ133, NPgN!AQ133, NPgY!AQ133, WMID!AQ133, EMID!AQ133, SWALES!AQ133, SWEST!AQ133, LPN!AQ133,SPN!AQ133,EPN!AQ133,SPD!AQ133,SPMW!AQ133,SSEH!AQ133,SSES!AQ133)</f>
        <v>0</v>
      </c>
    </row>
    <row r="134" spans="5:43" s="98" customFormat="1" ht="15" customHeight="1">
      <c r="E134" s="268" t="s">
        <v>663</v>
      </c>
      <c r="G134" s="98" t="s">
        <v>49</v>
      </c>
      <c r="I134" s="158"/>
      <c r="AJ134" s="238">
        <f>CHOOSE(m_identity,ENWL!AJ134, NPgN!AJ134, NPgY!AJ134, WMID!AJ134, EMID!AJ134, SWALES!AJ134, SWEST!AJ134, LPN!AJ134,SPN!AJ134,EPN!AJ134,SPD!AJ134,SPMW!AJ134,SSEH!AJ134,SSES!AJ134)</f>
        <v>0</v>
      </c>
      <c r="AK134" s="238">
        <f>CHOOSE(m_identity,ENWL!AK134, NPgN!AK134, NPgY!AK134, WMID!AK134, EMID!AK134, SWALES!AK134, SWEST!AK134, LPN!AK134,SPN!AK134,EPN!AK134,SPD!AK134,SPMW!AK134,SSEH!AK134,SSES!AK134)</f>
        <v>0</v>
      </c>
      <c r="AL134" s="238">
        <f>CHOOSE(m_identity,ENWL!AL134, NPgN!AL134, NPgY!AL134, WMID!AL134, EMID!AL134, SWALES!AL134, SWEST!AL134, LPN!AL134,SPN!AL134,EPN!AL134,SPD!AL134,SPMW!AL134,SSEH!AL134,SSES!AL134)</f>
        <v>0</v>
      </c>
      <c r="AM134" s="238">
        <f>CHOOSE(m_identity,ENWL!AM134, NPgN!AM134, NPgY!AM134, WMID!AM134, EMID!AM134, SWALES!AM134, SWEST!AM134, LPN!AM134,SPN!AM134,EPN!AM134,SPD!AM134,SPMW!AM134,SSEH!AM134,SSES!AM134)</f>
        <v>0</v>
      </c>
      <c r="AN134" s="238">
        <f>CHOOSE(m_identity,ENWL!AN134, NPgN!AN134, NPgY!AN134, WMID!AN134, EMID!AN134, SWALES!AN134, SWEST!AN134, LPN!AN134,SPN!AN134,EPN!AN134,SPD!AN134,SPMW!AN134,SSEH!AN134,SSES!AN134)</f>
        <v>0</v>
      </c>
      <c r="AO134" s="238">
        <f>CHOOSE(m_identity,ENWL!AO134, NPgN!AO134, NPgY!AO134, WMID!AO134, EMID!AO134, SWALES!AO134, SWEST!AO134, LPN!AO134,SPN!AO134,EPN!AO134,SPD!AO134,SPMW!AO134,SSEH!AO134,SSES!AO134)</f>
        <v>0</v>
      </c>
      <c r="AP134" s="238">
        <f>CHOOSE(m_identity,ENWL!AP134, NPgN!AP134, NPgY!AP134, WMID!AP134, EMID!AP134, SWALES!AP134, SWEST!AP134, LPN!AP134,SPN!AP134,EPN!AP134,SPD!AP134,SPMW!AP134,SSEH!AP134,SSES!AP134)</f>
        <v>0</v>
      </c>
      <c r="AQ134" s="238">
        <f>CHOOSE(m_identity,ENWL!AQ134, NPgN!AQ134, NPgY!AQ134, WMID!AQ134, EMID!AQ134, SWALES!AQ134, SWEST!AQ134, LPN!AQ134,SPN!AQ134,EPN!AQ134,SPD!AQ134,SPMW!AQ134,SSEH!AQ134,SSES!AQ134)</f>
        <v>0</v>
      </c>
    </row>
    <row r="135" spans="5:43" s="98" customFormat="1" ht="15" customHeight="1">
      <c r="E135" s="268" t="s">
        <v>523</v>
      </c>
      <c r="G135" s="98" t="s">
        <v>49</v>
      </c>
      <c r="I135" s="158"/>
      <c r="AJ135" s="238">
        <f>CHOOSE(m_identity,ENWL!AJ135, NPgN!AJ135, NPgY!AJ135, WMID!AJ135, EMID!AJ135, SWALES!AJ135, SWEST!AJ135, LPN!AJ135,SPN!AJ135,EPN!AJ135,SPD!AJ135,SPMW!AJ135,SSEH!AJ135,SSES!AJ135)</f>
        <v>0.98374390821285607</v>
      </c>
      <c r="AK135" s="238">
        <f>CHOOSE(m_identity,ENWL!AK135, NPgN!AK135, NPgY!AK135, WMID!AK135, EMID!AK135, SWALES!AK135, SWEST!AK135, LPN!AK135,SPN!AK135,EPN!AK135,SPD!AK135,SPMW!AK135,SSEH!AK135,SSES!AK135)</f>
        <v>0.98374390821285607</v>
      </c>
      <c r="AL135" s="238">
        <f>CHOOSE(m_identity,ENWL!AL135, NPgN!AL135, NPgY!AL135, WMID!AL135, EMID!AL135, SWALES!AL135, SWEST!AL135, LPN!AL135,SPN!AL135,EPN!AL135,SPD!AL135,SPMW!AL135,SSEH!AL135,SSES!AL135)</f>
        <v>0.98374390821285607</v>
      </c>
      <c r="AM135" s="238">
        <f>CHOOSE(m_identity,ENWL!AM135, NPgN!AM135, NPgY!AM135, WMID!AM135, EMID!AM135, SWALES!AM135, SWEST!AM135, LPN!AM135,SPN!AM135,EPN!AM135,SPD!AM135,SPMW!AM135,SSEH!AM135,SSES!AM135)</f>
        <v>0.98374390821285607</v>
      </c>
      <c r="AN135" s="238">
        <f>CHOOSE(m_identity,ENWL!AN135, NPgN!AN135, NPgY!AN135, WMID!AN135, EMID!AN135, SWALES!AN135, SWEST!AN135, LPN!AN135,SPN!AN135,EPN!AN135,SPD!AN135,SPMW!AN135,SSEH!AN135,SSES!AN135)</f>
        <v>0.98374390821285607</v>
      </c>
      <c r="AO135" s="238">
        <f>CHOOSE(m_identity,ENWL!AO135, NPgN!AO135, NPgY!AO135, WMID!AO135, EMID!AO135, SWALES!AO135, SWEST!AO135, LPN!AO135,SPN!AO135,EPN!AO135,SPD!AO135,SPMW!AO135,SSEH!AO135,SSES!AO135)</f>
        <v>0.98374390821285607</v>
      </c>
      <c r="AP135" s="238">
        <f>CHOOSE(m_identity,ENWL!AP135, NPgN!AP135, NPgY!AP135, WMID!AP135, EMID!AP135, SWALES!AP135, SWEST!AP135, LPN!AP135,SPN!AP135,EPN!AP135,SPD!AP135,SPMW!AP135,SSEH!AP135,SSES!AP135)</f>
        <v>0.98374390821285607</v>
      </c>
      <c r="AQ135" s="238">
        <f>CHOOSE(m_identity,ENWL!AQ135, NPgN!AQ135, NPgY!AQ135, WMID!AQ135, EMID!AQ135, SWALES!AQ135, SWEST!AQ135, LPN!AQ135,SPN!AQ135,EPN!AQ135,SPD!AQ135,SPMW!AQ135,SSEH!AQ135,SSES!AQ135)</f>
        <v>0.98374390821285596</v>
      </c>
    </row>
    <row r="136" spans="5:43" s="98" customFormat="1" ht="15" customHeight="1">
      <c r="E136" s="268" t="s">
        <v>704</v>
      </c>
      <c r="G136" s="98" t="s">
        <v>49</v>
      </c>
      <c r="I136" s="158"/>
      <c r="AJ136" s="238">
        <f>CHOOSE(m_identity,ENWL!AJ136, NPgN!AJ136, NPgY!AJ136, WMID!AJ136, EMID!AJ136, SWALES!AJ136, SWEST!AJ136, LPN!AJ136,SPN!AJ136,EPN!AJ136,SPD!AJ136,SPMW!AJ136,SSEH!AJ136,SSES!AJ136)</f>
        <v>0</v>
      </c>
      <c r="AK136" s="238">
        <f>CHOOSE(m_identity,ENWL!AK136, NPgN!AK136, NPgY!AK136, WMID!AK136, EMID!AK136, SWALES!AK136, SWEST!AK136, LPN!AK136,SPN!AK136,EPN!AK136,SPD!AK136,SPMW!AK136,SSEH!AK136,SSES!AK136)</f>
        <v>0</v>
      </c>
      <c r="AL136" s="238">
        <f>CHOOSE(m_identity,ENWL!AL136, NPgN!AL136, NPgY!AL136, WMID!AL136, EMID!AL136, SWALES!AL136, SWEST!AL136, LPN!AL136,SPN!AL136,EPN!AL136,SPD!AL136,SPMW!AL136,SSEH!AL136,SSES!AL136)</f>
        <v>0</v>
      </c>
      <c r="AM136" s="238">
        <f>CHOOSE(m_identity,ENWL!AM136, NPgN!AM136, NPgY!AM136, WMID!AM136, EMID!AM136, SWALES!AM136, SWEST!AM136, LPN!AM136,SPN!AM136,EPN!AM136,SPD!AM136,SPMW!AM136,SSEH!AM136,SSES!AM136)</f>
        <v>0</v>
      </c>
      <c r="AN136" s="238">
        <f>CHOOSE(m_identity,ENWL!AN136, NPgN!AN136, NPgY!AN136, WMID!AN136, EMID!AN136, SWALES!AN136, SWEST!AN136, LPN!AN136,SPN!AN136,EPN!AN136,SPD!AN136,SPMW!AN136,SSEH!AN136,SSES!AN136)</f>
        <v>0</v>
      </c>
      <c r="AO136" s="238">
        <f>CHOOSE(m_identity,ENWL!AO136, NPgN!AO136, NPgY!AO136, WMID!AO136, EMID!AO136, SWALES!AO136, SWEST!AO136, LPN!AO136,SPN!AO136,EPN!AO136,SPD!AO136,SPMW!AO136,SSEH!AO136,SSES!AO136)</f>
        <v>0</v>
      </c>
      <c r="AP136" s="238">
        <f>CHOOSE(m_identity,ENWL!AP136, NPgN!AP136, NPgY!AP136, WMID!AP136, EMID!AP136, SWALES!AP136, SWEST!AP136, LPN!AP136,SPN!AP136,EPN!AP136,SPD!AP136,SPMW!AP136,SSEH!AP136,SSES!AP136)</f>
        <v>0</v>
      </c>
      <c r="AQ136" s="238">
        <f>CHOOSE(m_identity,ENWL!AQ136, NPgN!AQ136, NPgY!AQ136, WMID!AQ136, EMID!AQ136, SWALES!AQ136, SWEST!AQ136, LPN!AQ136,SPN!AQ136,EPN!AQ136,SPD!AQ136,SPMW!AQ136,SSEH!AQ136,SSES!AQ136)</f>
        <v>0</v>
      </c>
    </row>
    <row r="137" spans="5:43" s="98" customFormat="1" ht="15" customHeight="1">
      <c r="E137" s="550" t="s">
        <v>994</v>
      </c>
      <c r="G137" s="98" t="s">
        <v>49</v>
      </c>
      <c r="I137" s="158"/>
      <c r="AJ137" s="238">
        <f>CHOOSE(m_identity,ENWL!AJ137, NPgN!AJ137, NPgY!AJ137, WMID!AJ137, EMID!AJ137, SWALES!AJ137, SWEST!AJ137, LPN!AJ137,SPN!AJ137,EPN!AJ137,SPD!AJ137,SPMW!AJ137,SSEH!AJ137,SSES!AJ137)</f>
        <v>0</v>
      </c>
      <c r="AK137" s="238">
        <f>CHOOSE(m_identity,ENWL!AK137, NPgN!AK137, NPgY!AK137, WMID!AK137, EMID!AK137, SWALES!AK137, SWEST!AK137, LPN!AK137,SPN!AK137,EPN!AK137,SPD!AK137,SPMW!AK137,SSEH!AK137,SSES!AK137)</f>
        <v>0</v>
      </c>
      <c r="AL137" s="238">
        <f>CHOOSE(m_identity,ENWL!AL137, NPgN!AL137, NPgY!AL137, WMID!AL137, EMID!AL137, SWALES!AL137, SWEST!AL137, LPN!AL137,SPN!AL137,EPN!AL137,SPD!AL137,SPMW!AL137,SSEH!AL137,SSES!AL137)</f>
        <v>0</v>
      </c>
      <c r="AM137" s="238">
        <f>CHOOSE(m_identity,ENWL!AM137, NPgN!AM137, NPgY!AM137, WMID!AM137, EMID!AM137, SWALES!AM137, SWEST!AM137, LPN!AM137,SPN!AM137,EPN!AM137,SPD!AM137,SPMW!AM137,SSEH!AM137,SSES!AM137)</f>
        <v>0</v>
      </c>
      <c r="AN137" s="238">
        <f>CHOOSE(m_identity,ENWL!AN137, NPgN!AN137, NPgY!AN137, WMID!AN137, EMID!AN137, SWALES!AN137, SWEST!AN137, LPN!AN137,SPN!AN137,EPN!AN137,SPD!AN137,SPMW!AN137,SSEH!AN137,SSES!AN137)</f>
        <v>0</v>
      </c>
      <c r="AO137" s="238">
        <f>CHOOSE(m_identity,ENWL!AO137, NPgN!AO137, NPgY!AO137, WMID!AO137, EMID!AO137, SWALES!AO137, SWEST!AO137, LPN!AO137,SPN!AO137,EPN!AO137,SPD!AO137,SPMW!AO137,SSEH!AO137,SSES!AO137)</f>
        <v>0</v>
      </c>
      <c r="AP137" s="238">
        <f>CHOOSE(m_identity,ENWL!AP137, NPgN!AP137, NPgY!AP137, WMID!AP137, EMID!AP137, SWALES!AP137, SWEST!AP137, LPN!AP137,SPN!AP137,EPN!AP137,SPD!AP137,SPMW!AP137,SSEH!AP137,SSES!AP137)</f>
        <v>0</v>
      </c>
      <c r="AQ137" s="238">
        <f>CHOOSE(m_identity,ENWL!AQ137, NPgN!AQ137, NPgY!AQ137, WMID!AQ137, EMID!AQ137, SWALES!AQ137, SWEST!AQ137, LPN!AQ137,SPN!AQ137,EPN!AQ137,SPD!AQ137,SPMW!AQ137,SSEH!AQ137,SSES!AQ137)</f>
        <v>0</v>
      </c>
    </row>
    <row r="138" spans="5:43" s="98" customFormat="1" ht="15" customHeight="1">
      <c r="E138" s="268" t="s">
        <v>920</v>
      </c>
      <c r="G138" s="98" t="s">
        <v>49</v>
      </c>
      <c r="I138" s="158"/>
      <c r="AJ138" s="238">
        <f>CHOOSE(m_identity,ENWL!AJ138, NPgN!AJ138, NPgY!AJ138, WMID!AJ138, EMID!AJ138, SWALES!AJ138, SWEST!AJ138, LPN!AJ138,SPN!AJ138,EPN!AJ138,SPD!AJ138,SPMW!AJ138,SSEH!AJ138,SSES!AJ138)</f>
        <v>1.625609178714392E-2</v>
      </c>
      <c r="AK138" s="238">
        <f>CHOOSE(m_identity,ENWL!AK138, NPgN!AK138, NPgY!AK138, WMID!AK138, EMID!AK138, SWALES!AK138, SWEST!AK138, LPN!AK138,SPN!AK138,EPN!AK138,SPD!AK138,SPMW!AK138,SSEH!AK138,SSES!AK138)</f>
        <v>1.625609178714392E-2</v>
      </c>
      <c r="AL138" s="238">
        <f>CHOOSE(m_identity,ENWL!AL138, NPgN!AL138, NPgY!AL138, WMID!AL138, EMID!AL138, SWALES!AL138, SWEST!AL138, LPN!AL138,SPN!AL138,EPN!AL138,SPD!AL138,SPMW!AL138,SSEH!AL138,SSES!AL138)</f>
        <v>1.625609178714392E-2</v>
      </c>
      <c r="AM138" s="238">
        <f>CHOOSE(m_identity,ENWL!AM138, NPgN!AM138, NPgY!AM138, WMID!AM138, EMID!AM138, SWALES!AM138, SWEST!AM138, LPN!AM138,SPN!AM138,EPN!AM138,SPD!AM138,SPMW!AM138,SSEH!AM138,SSES!AM138)</f>
        <v>1.625609178714392E-2</v>
      </c>
      <c r="AN138" s="238">
        <f>CHOOSE(m_identity,ENWL!AN138, NPgN!AN138, NPgY!AN138, WMID!AN138, EMID!AN138, SWALES!AN138, SWEST!AN138, LPN!AN138,SPN!AN138,EPN!AN138,SPD!AN138,SPMW!AN138,SSEH!AN138,SSES!AN138)</f>
        <v>1.625609178714392E-2</v>
      </c>
      <c r="AO138" s="238">
        <f>CHOOSE(m_identity,ENWL!AO138, NPgN!AO138, NPgY!AO138, WMID!AO138, EMID!AO138, SWALES!AO138, SWEST!AO138, LPN!AO138,SPN!AO138,EPN!AO138,SPD!AO138,SPMW!AO138,SSEH!AO138,SSES!AO138)</f>
        <v>1.625609178714392E-2</v>
      </c>
      <c r="AP138" s="238">
        <f>CHOOSE(m_identity,ENWL!AP138, NPgN!AP138, NPgY!AP138, WMID!AP138, EMID!AP138, SWALES!AP138, SWEST!AP138, LPN!AP138,SPN!AP138,EPN!AP138,SPD!AP138,SPMW!AP138,SSEH!AP138,SSES!AP138)</f>
        <v>1.625609178714392E-2</v>
      </c>
      <c r="AQ138" s="238">
        <f>CHOOSE(m_identity,ENWL!AQ138, NPgN!AQ138, NPgY!AQ138, WMID!AQ138, EMID!AQ138, SWALES!AQ138, SWEST!AQ138, LPN!AQ138,SPN!AQ138,EPN!AQ138,SPD!AQ138,SPMW!AQ138,SSEH!AQ138,SSES!AQ138)</f>
        <v>1.625609178714392E-2</v>
      </c>
    </row>
    <row r="139" spans="5:43" s="98" customFormat="1" ht="15" customHeight="1">
      <c r="E139" s="268" t="s">
        <v>524</v>
      </c>
      <c r="G139" s="98" t="s">
        <v>49</v>
      </c>
      <c r="I139" s="158"/>
      <c r="AJ139" s="238">
        <f>CHOOSE(m_identity,ENWL!AJ139, NPgN!AJ139, NPgY!AJ139, WMID!AJ139, EMID!AJ139, SWALES!AJ139, SWEST!AJ139, LPN!AJ139,SPN!AJ139,EPN!AJ139,SPD!AJ139,SPMW!AJ139,SSEH!AJ139,SSES!AJ139)</f>
        <v>0</v>
      </c>
      <c r="AK139" s="238">
        <f>CHOOSE(m_identity,ENWL!AK139, NPgN!AK139, NPgY!AK139, WMID!AK139, EMID!AK139, SWALES!AK139, SWEST!AK139, LPN!AK139,SPN!AK139,EPN!AK139,SPD!AK139,SPMW!AK139,SSEH!AK139,SSES!AK139)</f>
        <v>0</v>
      </c>
      <c r="AL139" s="238">
        <f>CHOOSE(m_identity,ENWL!AL139, NPgN!AL139, NPgY!AL139, WMID!AL139, EMID!AL139, SWALES!AL139, SWEST!AL139, LPN!AL139,SPN!AL139,EPN!AL139,SPD!AL139,SPMW!AL139,SSEH!AL139,SSES!AL139)</f>
        <v>0</v>
      </c>
      <c r="AM139" s="238">
        <f>CHOOSE(m_identity,ENWL!AM139, NPgN!AM139, NPgY!AM139, WMID!AM139, EMID!AM139, SWALES!AM139, SWEST!AM139, LPN!AM139,SPN!AM139,EPN!AM139,SPD!AM139,SPMW!AM139,SSEH!AM139,SSES!AM139)</f>
        <v>0</v>
      </c>
      <c r="AN139" s="238">
        <f>CHOOSE(m_identity,ENWL!AN139, NPgN!AN139, NPgY!AN139, WMID!AN139, EMID!AN139, SWALES!AN139, SWEST!AN139, LPN!AN139,SPN!AN139,EPN!AN139,SPD!AN139,SPMW!AN139,SSEH!AN139,SSES!AN139)</f>
        <v>0</v>
      </c>
      <c r="AO139" s="238">
        <f>CHOOSE(m_identity,ENWL!AO139, NPgN!AO139, NPgY!AO139, WMID!AO139, EMID!AO139, SWALES!AO139, SWEST!AO139, LPN!AO139,SPN!AO139,EPN!AO139,SPD!AO139,SPMW!AO139,SSEH!AO139,SSES!AO139)</f>
        <v>0</v>
      </c>
      <c r="AP139" s="238">
        <f>CHOOSE(m_identity,ENWL!AP139, NPgN!AP139, NPgY!AP139, WMID!AP139, EMID!AP139, SWALES!AP139, SWEST!AP139, LPN!AP139,SPN!AP139,EPN!AP139,SPD!AP139,SPMW!AP139,SSEH!AP139,SSES!AP139)</f>
        <v>0</v>
      </c>
      <c r="AQ139" s="238">
        <f>CHOOSE(m_identity,ENWL!AQ139, NPgN!AQ139, NPgY!AQ139, WMID!AQ139, EMID!AQ139, SWALES!AQ139, SWEST!AQ139, LPN!AQ139,SPN!AQ139,EPN!AQ139,SPD!AQ139,SPMW!AQ139,SSEH!AQ139,SSES!AQ139)</f>
        <v>0</v>
      </c>
    </row>
    <row r="141" spans="5:43" s="98" customFormat="1" ht="15" customHeight="1">
      <c r="E141" s="154" t="str">
        <f>E23</f>
        <v xml:space="preserve">Allowed Expenditure - Smart Meter Allowed Expenditure                                                                                                                                          </v>
      </c>
      <c r="G141" s="98" t="s">
        <v>844</v>
      </c>
      <c r="I141" s="58"/>
      <c r="AJ141" s="221">
        <f t="shared" ref="AJ141:AQ141" si="6">AJ23</f>
        <v>1.2141391264816848</v>
      </c>
      <c r="AK141" s="221">
        <f t="shared" si="6"/>
        <v>2.0573283969813678</v>
      </c>
      <c r="AL141" s="221">
        <f t="shared" si="6"/>
        <v>2.6669305420740144</v>
      </c>
      <c r="AM141" s="221">
        <f t="shared" si="6"/>
        <v>2.9505720007760901</v>
      </c>
      <c r="AN141" s="221">
        <f t="shared" si="6"/>
        <v>2.9554379088445755</v>
      </c>
      <c r="AO141" s="221">
        <f t="shared" si="6"/>
        <v>2.1746193333421426</v>
      </c>
      <c r="AP141" s="221">
        <f t="shared" si="6"/>
        <v>0</v>
      </c>
      <c r="AQ141" s="221">
        <f t="shared" si="6"/>
        <v>0</v>
      </c>
    </row>
    <row r="142" spans="5:43" s="98" customFormat="1" ht="15" customHeight="1">
      <c r="E142" s="268" t="s">
        <v>522</v>
      </c>
      <c r="G142" s="98" t="s">
        <v>49</v>
      </c>
      <c r="I142" s="158"/>
      <c r="AJ142" s="238">
        <f>CHOOSE(m_identity,ENWL!AJ142, NPgN!AJ142, NPgY!AJ142, WMID!AJ142, EMID!AJ142, SWALES!AJ142, SWEST!AJ142, LPN!AJ142,SPN!AJ142,EPN!AJ142,SPD!AJ142,SPMW!AJ142,SSEH!AJ142,SSES!AJ142)</f>
        <v>0</v>
      </c>
      <c r="AK142" s="238">
        <f>CHOOSE(m_identity,ENWL!AK142, NPgN!AK142, NPgY!AK142, WMID!AK142, EMID!AK142, SWALES!AK142, SWEST!AK142, LPN!AK142,SPN!AK142,EPN!AK142,SPD!AK142,SPMW!AK142,SSEH!AK142,SSES!AK142)</f>
        <v>0</v>
      </c>
      <c r="AL142" s="238">
        <f>CHOOSE(m_identity,ENWL!AL142, NPgN!AL142, NPgY!AL142, WMID!AL142, EMID!AL142, SWALES!AL142, SWEST!AL142, LPN!AL142,SPN!AL142,EPN!AL142,SPD!AL142,SPMW!AL142,SSEH!AL142,SSES!AL142)</f>
        <v>0</v>
      </c>
      <c r="AM142" s="238">
        <f>CHOOSE(m_identity,ENWL!AM142, NPgN!AM142, NPgY!AM142, WMID!AM142, EMID!AM142, SWALES!AM142, SWEST!AM142, LPN!AM142,SPN!AM142,EPN!AM142,SPD!AM142,SPMW!AM142,SSEH!AM142,SSES!AM142)</f>
        <v>0</v>
      </c>
      <c r="AN142" s="238">
        <f>CHOOSE(m_identity,ENWL!AN142, NPgN!AN142, NPgY!AN142, WMID!AN142, EMID!AN142, SWALES!AN142, SWEST!AN142, LPN!AN142,SPN!AN142,EPN!AN142,SPD!AN142,SPMW!AN142,SSEH!AN142,SSES!AN142)</f>
        <v>0</v>
      </c>
      <c r="AO142" s="238">
        <f>CHOOSE(m_identity,ENWL!AO142, NPgN!AO142, NPgY!AO142, WMID!AO142, EMID!AO142, SWALES!AO142, SWEST!AO142, LPN!AO142,SPN!AO142,EPN!AO142,SPD!AO142,SPMW!AO142,SSEH!AO142,SSES!AO142)</f>
        <v>0</v>
      </c>
      <c r="AP142" s="238">
        <f>CHOOSE(m_identity,ENWL!AP142, NPgN!AP142, NPgY!AP142, WMID!AP142, EMID!AP142, SWALES!AP142, SWEST!AP142, LPN!AP142,SPN!AP142,EPN!AP142,SPD!AP142,SPMW!AP142,SSEH!AP142,SSES!AP142)</f>
        <v>0</v>
      </c>
      <c r="AQ142" s="238">
        <f>CHOOSE(m_identity,ENWL!AQ142, NPgN!AQ142, NPgY!AQ142, WMID!AQ142, EMID!AQ142, SWALES!AQ142, SWEST!AQ142, LPN!AQ142,SPN!AQ142,EPN!AQ142,SPD!AQ142,SPMW!AQ142,SSEH!AQ142,SSES!AQ142)</f>
        <v>0</v>
      </c>
    </row>
    <row r="143" spans="5:43" s="98" customFormat="1" ht="15" customHeight="1">
      <c r="E143" s="268" t="s">
        <v>663</v>
      </c>
      <c r="G143" s="98" t="s">
        <v>49</v>
      </c>
      <c r="I143" s="158"/>
      <c r="AJ143" s="238">
        <f>CHOOSE(m_identity,ENWL!AJ143, NPgN!AJ143, NPgY!AJ143, WMID!AJ143, EMID!AJ143, SWALES!AJ143, SWEST!AJ143, LPN!AJ143,SPN!AJ143,EPN!AJ143,SPD!AJ143,SPMW!AJ143,SSEH!AJ143,SSES!AJ143)</f>
        <v>0</v>
      </c>
      <c r="AK143" s="238">
        <f>CHOOSE(m_identity,ENWL!AK143, NPgN!AK143, NPgY!AK143, WMID!AK143, EMID!AK143, SWALES!AK143, SWEST!AK143, LPN!AK143,SPN!AK143,EPN!AK143,SPD!AK143,SPMW!AK143,SSEH!AK143,SSES!AK143)</f>
        <v>0</v>
      </c>
      <c r="AL143" s="238">
        <f>CHOOSE(m_identity,ENWL!AL143, NPgN!AL143, NPgY!AL143, WMID!AL143, EMID!AL143, SWALES!AL143, SWEST!AL143, LPN!AL143,SPN!AL143,EPN!AL143,SPD!AL143,SPMW!AL143,SSEH!AL143,SSES!AL143)</f>
        <v>0</v>
      </c>
      <c r="AM143" s="238">
        <f>CHOOSE(m_identity,ENWL!AM143, NPgN!AM143, NPgY!AM143, WMID!AM143, EMID!AM143, SWALES!AM143, SWEST!AM143, LPN!AM143,SPN!AM143,EPN!AM143,SPD!AM143,SPMW!AM143,SSEH!AM143,SSES!AM143)</f>
        <v>0</v>
      </c>
      <c r="AN143" s="238">
        <f>CHOOSE(m_identity,ENWL!AN143, NPgN!AN143, NPgY!AN143, WMID!AN143, EMID!AN143, SWALES!AN143, SWEST!AN143, LPN!AN143,SPN!AN143,EPN!AN143,SPD!AN143,SPMW!AN143,SSEH!AN143,SSES!AN143)</f>
        <v>0</v>
      </c>
      <c r="AO143" s="238">
        <f>CHOOSE(m_identity,ENWL!AO143, NPgN!AO143, NPgY!AO143, WMID!AO143, EMID!AO143, SWALES!AO143, SWEST!AO143, LPN!AO143,SPN!AO143,EPN!AO143,SPD!AO143,SPMW!AO143,SSEH!AO143,SSES!AO143)</f>
        <v>0</v>
      </c>
      <c r="AP143" s="238">
        <f>CHOOSE(m_identity,ENWL!AP143, NPgN!AP143, NPgY!AP143, WMID!AP143, EMID!AP143, SWALES!AP143, SWEST!AP143, LPN!AP143,SPN!AP143,EPN!AP143,SPD!AP143,SPMW!AP143,SSEH!AP143,SSES!AP143)</f>
        <v>0</v>
      </c>
      <c r="AQ143" s="238">
        <f>CHOOSE(m_identity,ENWL!AQ143, NPgN!AQ143, NPgY!AQ143, WMID!AQ143, EMID!AQ143, SWALES!AQ143, SWEST!AQ143, LPN!AQ143,SPN!AQ143,EPN!AQ143,SPD!AQ143,SPMW!AQ143,SSEH!AQ143,SSES!AQ143)</f>
        <v>0</v>
      </c>
    </row>
    <row r="144" spans="5:43" s="98" customFormat="1" ht="15" customHeight="1">
      <c r="E144" s="268" t="s">
        <v>523</v>
      </c>
      <c r="G144" s="98" t="s">
        <v>49</v>
      </c>
      <c r="I144" s="158"/>
      <c r="AJ144" s="238">
        <f>CHOOSE(m_identity,ENWL!AJ144, NPgN!AJ144, NPgY!AJ144, WMID!AJ144, EMID!AJ144, SWALES!AJ144, SWEST!AJ144, LPN!AJ144,SPN!AJ144,EPN!AJ144,SPD!AJ144,SPMW!AJ144,SSEH!AJ144,SSES!AJ144)</f>
        <v>0</v>
      </c>
      <c r="AK144" s="238">
        <f>CHOOSE(m_identity,ENWL!AK144, NPgN!AK144, NPgY!AK144, WMID!AK144, EMID!AK144, SWALES!AK144, SWEST!AK144, LPN!AK144,SPN!AK144,EPN!AK144,SPD!AK144,SPMW!AK144,SSEH!AK144,SSES!AK144)</f>
        <v>0</v>
      </c>
      <c r="AL144" s="238">
        <f>CHOOSE(m_identity,ENWL!AL144, NPgN!AL144, NPgY!AL144, WMID!AL144, EMID!AL144, SWALES!AL144, SWEST!AL144, LPN!AL144,SPN!AL144,EPN!AL144,SPD!AL144,SPMW!AL144,SSEH!AL144,SSES!AL144)</f>
        <v>0</v>
      </c>
      <c r="AM144" s="238">
        <f>CHOOSE(m_identity,ENWL!AM144, NPgN!AM144, NPgY!AM144, WMID!AM144, EMID!AM144, SWALES!AM144, SWEST!AM144, LPN!AM144,SPN!AM144,EPN!AM144,SPD!AM144,SPMW!AM144,SSEH!AM144,SSES!AM144)</f>
        <v>0</v>
      </c>
      <c r="AN144" s="238">
        <f>CHOOSE(m_identity,ENWL!AN144, NPgN!AN144, NPgY!AN144, WMID!AN144, EMID!AN144, SWALES!AN144, SWEST!AN144, LPN!AN144,SPN!AN144,EPN!AN144,SPD!AN144,SPMW!AN144,SSEH!AN144,SSES!AN144)</f>
        <v>0</v>
      </c>
      <c r="AO144" s="238">
        <f>CHOOSE(m_identity,ENWL!AO144, NPgN!AO144, NPgY!AO144, WMID!AO144, EMID!AO144, SWALES!AO144, SWEST!AO144, LPN!AO144,SPN!AO144,EPN!AO144,SPD!AO144,SPMW!AO144,SSEH!AO144,SSES!AO144)</f>
        <v>0</v>
      </c>
      <c r="AP144" s="238">
        <f>CHOOSE(m_identity,ENWL!AP144, NPgN!AP144, NPgY!AP144, WMID!AP144, EMID!AP144, SWALES!AP144, SWEST!AP144, LPN!AP144,SPN!AP144,EPN!AP144,SPD!AP144,SPMW!AP144,SSEH!AP144,SSES!AP144)</f>
        <v>0</v>
      </c>
      <c r="AQ144" s="238">
        <f>CHOOSE(m_identity,ENWL!AQ144, NPgN!AQ144, NPgY!AQ144, WMID!AQ144, EMID!AQ144, SWALES!AQ144, SWEST!AQ144, LPN!AQ144,SPN!AQ144,EPN!AQ144,SPD!AQ144,SPMW!AQ144,SSEH!AQ144,SSES!AQ144)</f>
        <v>0</v>
      </c>
    </row>
    <row r="145" spans="5:43" s="98" customFormat="1" ht="15" customHeight="1">
      <c r="E145" s="268" t="s">
        <v>704</v>
      </c>
      <c r="G145" s="98" t="s">
        <v>49</v>
      </c>
      <c r="I145" s="158"/>
      <c r="AJ145" s="238">
        <f>CHOOSE(m_identity,ENWL!AJ145, NPgN!AJ145, NPgY!AJ145, WMID!AJ145, EMID!AJ145, SWALES!AJ145, SWEST!AJ145, LPN!AJ145,SPN!AJ145,EPN!AJ145,SPD!AJ145,SPMW!AJ145,SSEH!AJ145,SSES!AJ145)</f>
        <v>0</v>
      </c>
      <c r="AK145" s="238">
        <f>CHOOSE(m_identity,ENWL!AK145, NPgN!AK145, NPgY!AK145, WMID!AK145, EMID!AK145, SWALES!AK145, SWEST!AK145, LPN!AK145,SPN!AK145,EPN!AK145,SPD!AK145,SPMW!AK145,SSEH!AK145,SSES!AK145)</f>
        <v>0</v>
      </c>
      <c r="AL145" s="238">
        <f>CHOOSE(m_identity,ENWL!AL145, NPgN!AL145, NPgY!AL145, WMID!AL145, EMID!AL145, SWALES!AL145, SWEST!AL145, LPN!AL145,SPN!AL145,EPN!AL145,SPD!AL145,SPMW!AL145,SSEH!AL145,SSES!AL145)</f>
        <v>0</v>
      </c>
      <c r="AM145" s="238">
        <f>CHOOSE(m_identity,ENWL!AM145, NPgN!AM145, NPgY!AM145, WMID!AM145, EMID!AM145, SWALES!AM145, SWEST!AM145, LPN!AM145,SPN!AM145,EPN!AM145,SPD!AM145,SPMW!AM145,SSEH!AM145,SSES!AM145)</f>
        <v>0</v>
      </c>
      <c r="AN145" s="238">
        <f>CHOOSE(m_identity,ENWL!AN145, NPgN!AN145, NPgY!AN145, WMID!AN145, EMID!AN145, SWALES!AN145, SWEST!AN145, LPN!AN145,SPN!AN145,EPN!AN145,SPD!AN145,SPMW!AN145,SSEH!AN145,SSES!AN145)</f>
        <v>0</v>
      </c>
      <c r="AO145" s="238">
        <f>CHOOSE(m_identity,ENWL!AO145, NPgN!AO145, NPgY!AO145, WMID!AO145, EMID!AO145, SWALES!AO145, SWEST!AO145, LPN!AO145,SPN!AO145,EPN!AO145,SPD!AO145,SPMW!AO145,SSEH!AO145,SSES!AO145)</f>
        <v>0</v>
      </c>
      <c r="AP145" s="238">
        <f>CHOOSE(m_identity,ENWL!AP145, NPgN!AP145, NPgY!AP145, WMID!AP145, EMID!AP145, SWALES!AP145, SWEST!AP145, LPN!AP145,SPN!AP145,EPN!AP145,SPD!AP145,SPMW!AP145,SSEH!AP145,SSES!AP145)</f>
        <v>0</v>
      </c>
      <c r="AQ145" s="238">
        <f>CHOOSE(m_identity,ENWL!AQ145, NPgN!AQ145, NPgY!AQ145, WMID!AQ145, EMID!AQ145, SWALES!AQ145, SWEST!AQ145, LPN!AQ145,SPN!AQ145,EPN!AQ145,SPD!AQ145,SPMW!AQ145,SSEH!AQ145,SSES!AQ145)</f>
        <v>0</v>
      </c>
    </row>
    <row r="146" spans="5:43" s="98" customFormat="1" ht="15" customHeight="1">
      <c r="E146" s="550" t="s">
        <v>994</v>
      </c>
      <c r="G146" s="98" t="s">
        <v>49</v>
      </c>
      <c r="I146" s="158"/>
      <c r="AJ146" s="238">
        <f>CHOOSE(m_identity,ENWL!AJ146, NPgN!AJ146, NPgY!AJ146, WMID!AJ146, EMID!AJ146, SWALES!AJ146, SWEST!AJ146, LPN!AJ146,SPN!AJ146,EPN!AJ146,SPD!AJ146,SPMW!AJ146,SSEH!AJ146,SSES!AJ146)</f>
        <v>0</v>
      </c>
      <c r="AK146" s="238">
        <f>CHOOSE(m_identity,ENWL!AK146, NPgN!AK146, NPgY!AK146, WMID!AK146, EMID!AK146, SWALES!AK146, SWEST!AK146, LPN!AK146,SPN!AK146,EPN!AK146,SPD!AK146,SPMW!AK146,SSEH!AK146,SSES!AK146)</f>
        <v>0</v>
      </c>
      <c r="AL146" s="238">
        <f>CHOOSE(m_identity,ENWL!AL146, NPgN!AL146, NPgY!AL146, WMID!AL146, EMID!AL146, SWALES!AL146, SWEST!AL146, LPN!AL146,SPN!AL146,EPN!AL146,SPD!AL146,SPMW!AL146,SSEH!AL146,SSES!AL146)</f>
        <v>0</v>
      </c>
      <c r="AM146" s="238">
        <f>CHOOSE(m_identity,ENWL!AM146, NPgN!AM146, NPgY!AM146, WMID!AM146, EMID!AM146, SWALES!AM146, SWEST!AM146, LPN!AM146,SPN!AM146,EPN!AM146,SPD!AM146,SPMW!AM146,SSEH!AM146,SSES!AM146)</f>
        <v>0</v>
      </c>
      <c r="AN146" s="238">
        <f>CHOOSE(m_identity,ENWL!AN146, NPgN!AN146, NPgY!AN146, WMID!AN146, EMID!AN146, SWALES!AN146, SWEST!AN146, LPN!AN146,SPN!AN146,EPN!AN146,SPD!AN146,SPMW!AN146,SSEH!AN146,SSES!AN146)</f>
        <v>0</v>
      </c>
      <c r="AO146" s="238">
        <f>CHOOSE(m_identity,ENWL!AO146, NPgN!AO146, NPgY!AO146, WMID!AO146, EMID!AO146, SWALES!AO146, SWEST!AO146, LPN!AO146,SPN!AO146,EPN!AO146,SPD!AO146,SPMW!AO146,SSEH!AO146,SSES!AO146)</f>
        <v>0</v>
      </c>
      <c r="AP146" s="238">
        <f>CHOOSE(m_identity,ENWL!AP146, NPgN!AP146, NPgY!AP146, WMID!AP146, EMID!AP146, SWALES!AP146, SWEST!AP146, LPN!AP146,SPN!AP146,EPN!AP146,SPD!AP146,SPMW!AP146,SSEH!AP146,SSES!AP146)</f>
        <v>0</v>
      </c>
      <c r="AQ146" s="238">
        <f>CHOOSE(m_identity,ENWL!AQ146, NPgN!AQ146, NPgY!AQ146, WMID!AQ146, EMID!AQ146, SWALES!AQ146, SWEST!AQ146, LPN!AQ146,SPN!AQ146,EPN!AQ146,SPD!AQ146,SPMW!AQ146,SSEH!AQ146,SSES!AQ146)</f>
        <v>0</v>
      </c>
    </row>
    <row r="147" spans="5:43" s="98" customFormat="1" ht="15" customHeight="1">
      <c r="E147" s="268" t="s">
        <v>920</v>
      </c>
      <c r="G147" s="98" t="s">
        <v>49</v>
      </c>
      <c r="I147" s="158"/>
      <c r="AJ147" s="238">
        <f>CHOOSE(m_identity,ENWL!AJ147, NPgN!AJ147, NPgY!AJ147, WMID!AJ147, EMID!AJ147, SWALES!AJ147, SWEST!AJ147, LPN!AJ147,SPN!AJ147,EPN!AJ147,SPD!AJ147,SPMW!AJ147,SSEH!AJ147,SSES!AJ147)</f>
        <v>0.11858869553088822</v>
      </c>
      <c r="AK147" s="238">
        <f>CHOOSE(m_identity,ENWL!AK147, NPgN!AK147, NPgY!AK147, WMID!AK147, EMID!AK147, SWALES!AK147, SWEST!AK147, LPN!AK147,SPN!AK147,EPN!AK147,SPD!AK147,SPMW!AK147,SSEH!AK147,SSES!AK147)</f>
        <v>0.1176010345939595</v>
      </c>
      <c r="AL147" s="238">
        <f>CHOOSE(m_identity,ENWL!AL147, NPgN!AL147, NPgY!AL147, WMID!AL147, EMID!AL147, SWALES!AL147, SWEST!AL147, LPN!AL147,SPN!AL147,EPN!AL147,SPD!AL147,SPMW!AL147,SSEH!AL147,SSES!AL147)</f>
        <v>0.11747350621278997</v>
      </c>
      <c r="AM147" s="238">
        <f>CHOOSE(m_identity,ENWL!AM147, NPgN!AM147, NPgY!AM147, WMID!AM147, EMID!AM147, SWALES!AM147, SWEST!AM147, LPN!AM147,SPN!AM147,EPN!AM147,SPD!AM147,SPMW!AM147,SSEH!AM147,SSES!AM147)</f>
        <v>0.11712063204305216</v>
      </c>
      <c r="AN147" s="238">
        <f>CHOOSE(m_identity,ENWL!AN147, NPgN!AN147, NPgY!AN147, WMID!AN147, EMID!AN147, SWALES!AN147, SWEST!AN147, LPN!AN147,SPN!AN147,EPN!AN147,SPD!AN147,SPMW!AN147,SSEH!AN147,SSES!AN147)</f>
        <v>0.11706825435125746</v>
      </c>
      <c r="AO147" s="238">
        <f>CHOOSE(m_identity,ENWL!AO147, NPgN!AO147, NPgY!AO147, WMID!AO147, EMID!AO147, SWALES!AO147, SWEST!AO147, LPN!AO147,SPN!AO147,EPN!AO147,SPD!AO147,SPMW!AO147,SSEH!AO147,SSES!AO147)</f>
        <v>0.11716669543286889</v>
      </c>
      <c r="AP147" s="238">
        <f>CHOOSE(m_identity,ENWL!AP147, NPgN!AP147, NPgY!AP147, WMID!AP147, EMID!AP147, SWALES!AP147, SWEST!AP147, LPN!AP147,SPN!AP147,EPN!AP147,SPD!AP147,SPMW!AP147,SSEH!AP147,SSES!AP147)</f>
        <v>0</v>
      </c>
      <c r="AQ147" s="238">
        <f>CHOOSE(m_identity,ENWL!AQ147, NPgN!AQ147, NPgY!AQ147, WMID!AQ147, EMID!AQ147, SWALES!AQ147, SWEST!AQ147, LPN!AQ147,SPN!AQ147,EPN!AQ147,SPD!AQ147,SPMW!AQ147,SSEH!AQ147,SSES!AQ147)</f>
        <v>0</v>
      </c>
    </row>
    <row r="148" spans="5:43" s="98" customFormat="1" ht="15" customHeight="1">
      <c r="E148" s="268" t="s">
        <v>524</v>
      </c>
      <c r="G148" s="98" t="s">
        <v>49</v>
      </c>
      <c r="I148" s="158"/>
      <c r="AJ148" s="238">
        <f>CHOOSE(m_identity,ENWL!AJ148, NPgN!AJ148, NPgY!AJ148, WMID!AJ148, EMID!AJ148, SWALES!AJ148, SWEST!AJ148, LPN!AJ148,SPN!AJ148,EPN!AJ148,SPD!AJ148,SPMW!AJ148,SSEH!AJ148,SSES!AJ148)</f>
        <v>0.88141130446911187</v>
      </c>
      <c r="AK148" s="238">
        <f>CHOOSE(m_identity,ENWL!AK148, NPgN!AK148, NPgY!AK148, WMID!AK148, EMID!AK148, SWALES!AK148, SWEST!AK148, LPN!AK148,SPN!AK148,EPN!AK148,SPD!AK148,SPMW!AK148,SSEH!AK148,SSES!AK148)</f>
        <v>0.88239896540604046</v>
      </c>
      <c r="AL148" s="238">
        <f>CHOOSE(m_identity,ENWL!AL148, NPgN!AL148, NPgY!AL148, WMID!AL148, EMID!AL148, SWALES!AL148, SWEST!AL148, LPN!AL148,SPN!AL148,EPN!AL148,SPD!AL148,SPMW!AL148,SSEH!AL148,SSES!AL148)</f>
        <v>0.88252649378721004</v>
      </c>
      <c r="AM148" s="238">
        <f>CHOOSE(m_identity,ENWL!AM148, NPgN!AM148, NPgY!AM148, WMID!AM148, EMID!AM148, SWALES!AM148, SWEST!AM148, LPN!AM148,SPN!AM148,EPN!AM148,SPD!AM148,SPMW!AM148,SSEH!AM148,SSES!AM148)</f>
        <v>0.88287936795694788</v>
      </c>
      <c r="AN148" s="238">
        <f>CHOOSE(m_identity,ENWL!AN148, NPgN!AN148, NPgY!AN148, WMID!AN148, EMID!AN148, SWALES!AN148, SWEST!AN148, LPN!AN148,SPN!AN148,EPN!AN148,SPD!AN148,SPMW!AN148,SSEH!AN148,SSES!AN148)</f>
        <v>0.88293174564874255</v>
      </c>
      <c r="AO148" s="238">
        <f>CHOOSE(m_identity,ENWL!AO148, NPgN!AO148, NPgY!AO148, WMID!AO148, EMID!AO148, SWALES!AO148, SWEST!AO148, LPN!AO148,SPN!AO148,EPN!AO148,SPD!AO148,SPMW!AO148,SSEH!AO148,SSES!AO148)</f>
        <v>0.88283330456713094</v>
      </c>
      <c r="AP148" s="238">
        <f>CHOOSE(m_identity,ENWL!AP148, NPgN!AP148, NPgY!AP148, WMID!AP148, EMID!AP148, SWALES!AP148, SWEST!AP148, LPN!AP148,SPN!AP148,EPN!AP148,SPD!AP148,SPMW!AP148,SSEH!AP148,SSES!AP148)</f>
        <v>0</v>
      </c>
      <c r="AQ148" s="238">
        <f>CHOOSE(m_identity,ENWL!AQ148, NPgN!AQ148, NPgY!AQ148, WMID!AQ148, EMID!AQ148, SWALES!AQ148, SWEST!AQ148, LPN!AQ148,SPN!AQ148,EPN!AQ148,SPD!AQ148,SPMW!AQ148,SSEH!AQ148,SSES!AQ148)</f>
        <v>0</v>
      </c>
    </row>
    <row r="150" spans="5:43" s="98" customFormat="1" ht="15" customHeight="1">
      <c r="E150" s="154" t="str">
        <f>E24</f>
        <v>Allowed Expenditure - Specified Street Works</v>
      </c>
      <c r="G150" s="98" t="s">
        <v>844</v>
      </c>
      <c r="I150" s="58"/>
      <c r="AJ150" s="221">
        <f t="shared" ref="AJ150:AQ150" si="7">AJ24</f>
        <v>0</v>
      </c>
      <c r="AK150" s="221">
        <f t="shared" si="7"/>
        <v>0</v>
      </c>
      <c r="AL150" s="221">
        <f t="shared" si="7"/>
        <v>0</v>
      </c>
      <c r="AM150" s="221">
        <f t="shared" si="7"/>
        <v>0</v>
      </c>
      <c r="AN150" s="221">
        <f t="shared" si="7"/>
        <v>0</v>
      </c>
      <c r="AO150" s="221">
        <f t="shared" si="7"/>
        <v>0</v>
      </c>
      <c r="AP150" s="221">
        <f t="shared" si="7"/>
        <v>0</v>
      </c>
      <c r="AQ150" s="221">
        <f t="shared" si="7"/>
        <v>0</v>
      </c>
    </row>
    <row r="151" spans="5:43" s="98" customFormat="1" ht="15" customHeight="1">
      <c r="E151" s="268" t="s">
        <v>522</v>
      </c>
      <c r="G151" s="98" t="s">
        <v>49</v>
      </c>
      <c r="I151" s="158"/>
      <c r="AJ151" s="238">
        <f>CHOOSE(m_identity,ENWL!AJ151, NPgN!AJ151, NPgY!AJ151, WMID!AJ151, EMID!AJ151, SWALES!AJ151, SWEST!AJ151, LPN!AJ151,SPN!AJ151,EPN!AJ151,SPD!AJ151,SPMW!AJ151,SSEH!AJ151,SSES!AJ151)</f>
        <v>0.26666930935395616</v>
      </c>
      <c r="AK151" s="238">
        <f>CHOOSE(m_identity,ENWL!AK151, NPgN!AK151, NPgY!AK151, WMID!AK151, EMID!AK151, SWALES!AK151, SWEST!AK151, LPN!AK151,SPN!AK151,EPN!AK151,SPD!AK151,SPMW!AK151,SSEH!AK151,SSES!AK151)</f>
        <v>0.25798798232106446</v>
      </c>
      <c r="AL151" s="238">
        <f>CHOOSE(m_identity,ENWL!AL151, NPgN!AL151, NPgY!AL151, WMID!AL151, EMID!AL151, SWALES!AL151, SWEST!AL151, LPN!AL151,SPN!AL151,EPN!AL151,SPD!AL151,SPMW!AL151,SSEH!AL151,SSES!AL151)</f>
        <v>0.25783055639375985</v>
      </c>
      <c r="AM151" s="238">
        <f>CHOOSE(m_identity,ENWL!AM151, NPgN!AM151, NPgY!AM151, WMID!AM151, EMID!AM151, SWALES!AM151, SWEST!AM151, LPN!AM151,SPN!AM151,EPN!AM151,SPD!AM151,SPMW!AM151,SSEH!AM151,SSES!AM151)</f>
        <v>0.26578741215846347</v>
      </c>
      <c r="AN151" s="238">
        <f>CHOOSE(m_identity,ENWL!AN151, NPgN!AN151, NPgY!AN151, WMID!AN151, EMID!AN151, SWALES!AN151, SWEST!AN151, LPN!AN151,SPN!AN151,EPN!AN151,SPD!AN151,SPMW!AN151,SSEH!AN151,SSES!AN151)</f>
        <v>0.26440032715450401</v>
      </c>
      <c r="AO151" s="238">
        <f>CHOOSE(m_identity,ENWL!AO151, NPgN!AO151, NPgY!AO151, WMID!AO151, EMID!AO151, SWALES!AO151, SWEST!AO151, LPN!AO151,SPN!AO151,EPN!AO151,SPD!AO151,SPMW!AO151,SSEH!AO151,SSES!AO151)</f>
        <v>0.26139877822764884</v>
      </c>
      <c r="AP151" s="238">
        <f>CHOOSE(m_identity,ENWL!AP151, NPgN!AP151, NPgY!AP151, WMID!AP151, EMID!AP151, SWALES!AP151, SWEST!AP151, LPN!AP151,SPN!AP151,EPN!AP151,SPD!AP151,SPMW!AP151,SSEH!AP151,SSES!AP151)</f>
        <v>0.25906181534741457</v>
      </c>
      <c r="AQ151" s="238">
        <f>CHOOSE(m_identity,ENWL!AQ151, NPgN!AQ151, NPgY!AQ151, WMID!AQ151, EMID!AQ151, SWALES!AQ151, SWEST!AQ151, LPN!AQ151,SPN!AQ151,EPN!AQ151,SPD!AQ151,SPMW!AQ151,SSEH!AQ151,SSES!AQ151)</f>
        <v>0.25573291707917783</v>
      </c>
    </row>
    <row r="152" spans="5:43" s="98" customFormat="1" ht="15" customHeight="1">
      <c r="E152" s="268" t="s">
        <v>663</v>
      </c>
      <c r="G152" s="98" t="s">
        <v>49</v>
      </c>
      <c r="I152" s="158"/>
      <c r="AJ152" s="238">
        <f>CHOOSE(m_identity,ENWL!AJ152, NPgN!AJ152, NPgY!AJ152, WMID!AJ152, EMID!AJ152, SWALES!AJ152, SWEST!AJ152, LPN!AJ152,SPN!AJ152,EPN!AJ152,SPD!AJ152,SPMW!AJ152,SSEH!AJ152,SSES!AJ152)</f>
        <v>6.4883441468235728E-2</v>
      </c>
      <c r="AK152" s="238">
        <f>CHOOSE(m_identity,ENWL!AK152, NPgN!AK152, NPgY!AK152, WMID!AK152, EMID!AK152, SWALES!AK152, SWEST!AK152, LPN!AK152,SPN!AK152,EPN!AK152,SPD!AK152,SPMW!AK152,SSEH!AK152,SSES!AK152)</f>
        <v>8.8020133807166598E-2</v>
      </c>
      <c r="AL152" s="238">
        <f>CHOOSE(m_identity,ENWL!AL152, NPgN!AL152, NPgY!AL152, WMID!AL152, EMID!AL152, SWALES!AL152, SWEST!AL152, LPN!AL152,SPN!AL152,EPN!AL152,SPD!AL152,SPMW!AL152,SSEH!AL152,SSES!AL152)</f>
        <v>6.9210970905443606E-2</v>
      </c>
      <c r="AM152" s="238">
        <f>CHOOSE(m_identity,ENWL!AM152, NPgN!AM152, NPgY!AM152, WMID!AM152, EMID!AM152, SWALES!AM152, SWEST!AM152, LPN!AM152,SPN!AM152,EPN!AM152,SPD!AM152,SPMW!AM152,SSEH!AM152,SSES!AM152)</f>
        <v>2.6140850145239768E-2</v>
      </c>
      <c r="AN152" s="238">
        <f>CHOOSE(m_identity,ENWL!AN152, NPgN!AN152, NPgY!AN152, WMID!AN152, EMID!AN152, SWALES!AN152, SWEST!AN152, LPN!AN152,SPN!AN152,EPN!AN152,SPD!AN152,SPMW!AN152,SSEH!AN152,SSES!AN152)</f>
        <v>3.2154550783042579E-2</v>
      </c>
      <c r="AO152" s="238">
        <f>CHOOSE(m_identity,ENWL!AO152, NPgN!AO152, NPgY!AO152, WMID!AO152, EMID!AO152, SWALES!AO152, SWEST!AO152, LPN!AO152,SPN!AO152,EPN!AO152,SPD!AO152,SPMW!AO152,SSEH!AO152,SSES!AO152)</f>
        <v>4.6478964267442732E-2</v>
      </c>
      <c r="AP152" s="238">
        <f>CHOOSE(m_identity,ENWL!AP152, NPgN!AP152, NPgY!AP152, WMID!AP152, EMID!AP152, SWALES!AP152, SWEST!AP152, LPN!AP152,SPN!AP152,EPN!AP152,SPD!AP152,SPMW!AP152,SSEH!AP152,SSES!AP152)</f>
        <v>5.7174896930420403E-2</v>
      </c>
      <c r="AQ152" s="238">
        <f>CHOOSE(m_identity,ENWL!AQ152, NPgN!AQ152, NPgY!AQ152, WMID!AQ152, EMID!AQ152, SWALES!AQ152, SWEST!AQ152, LPN!AQ152,SPN!AQ152,EPN!AQ152,SPD!AQ152,SPMW!AQ152,SSEH!AQ152,SSES!AQ152)</f>
        <v>7.3304501962309268E-2</v>
      </c>
    </row>
    <row r="153" spans="5:43" s="98" customFormat="1" ht="15" customHeight="1">
      <c r="E153" s="268" t="s">
        <v>523</v>
      </c>
      <c r="G153" s="98" t="s">
        <v>49</v>
      </c>
      <c r="I153" s="158"/>
      <c r="AJ153" s="238">
        <f>CHOOSE(m_identity,ENWL!AJ153, NPgN!AJ153, NPgY!AJ153, WMID!AJ153, EMID!AJ153, SWALES!AJ153, SWEST!AJ153, LPN!AJ153,SPN!AJ153,EPN!AJ153,SPD!AJ153,SPMW!AJ153,SSEH!AJ153,SSES!AJ153)</f>
        <v>0</v>
      </c>
      <c r="AK153" s="238">
        <f>CHOOSE(m_identity,ENWL!AK153, NPgN!AK153, NPgY!AK153, WMID!AK153, EMID!AK153, SWALES!AK153, SWEST!AK153, LPN!AK153,SPN!AK153,EPN!AK153,SPD!AK153,SPMW!AK153,SSEH!AK153,SSES!AK153)</f>
        <v>0</v>
      </c>
      <c r="AL153" s="238">
        <f>CHOOSE(m_identity,ENWL!AL153, NPgN!AL153, NPgY!AL153, WMID!AL153, EMID!AL153, SWALES!AL153, SWEST!AL153, LPN!AL153,SPN!AL153,EPN!AL153,SPD!AL153,SPMW!AL153,SSEH!AL153,SSES!AL153)</f>
        <v>0</v>
      </c>
      <c r="AM153" s="238">
        <f>CHOOSE(m_identity,ENWL!AM153, NPgN!AM153, NPgY!AM153, WMID!AM153, EMID!AM153, SWALES!AM153, SWEST!AM153, LPN!AM153,SPN!AM153,EPN!AM153,SPD!AM153,SPMW!AM153,SSEH!AM153,SSES!AM153)</f>
        <v>0</v>
      </c>
      <c r="AN153" s="238">
        <f>CHOOSE(m_identity,ENWL!AN153, NPgN!AN153, NPgY!AN153, WMID!AN153, EMID!AN153, SWALES!AN153, SWEST!AN153, LPN!AN153,SPN!AN153,EPN!AN153,SPD!AN153,SPMW!AN153,SSEH!AN153,SSES!AN153)</f>
        <v>0</v>
      </c>
      <c r="AO153" s="238">
        <f>CHOOSE(m_identity,ENWL!AO153, NPgN!AO153, NPgY!AO153, WMID!AO153, EMID!AO153, SWALES!AO153, SWEST!AO153, LPN!AO153,SPN!AO153,EPN!AO153,SPD!AO153,SPMW!AO153,SSEH!AO153,SSES!AO153)</f>
        <v>0</v>
      </c>
      <c r="AP153" s="238">
        <f>CHOOSE(m_identity,ENWL!AP153, NPgN!AP153, NPgY!AP153, WMID!AP153, EMID!AP153, SWALES!AP153, SWEST!AP153, LPN!AP153,SPN!AP153,EPN!AP153,SPD!AP153,SPMW!AP153,SSEH!AP153,SSES!AP153)</f>
        <v>0</v>
      </c>
      <c r="AQ153" s="238">
        <f>CHOOSE(m_identity,ENWL!AQ153, NPgN!AQ153, NPgY!AQ153, WMID!AQ153, EMID!AQ153, SWALES!AQ153, SWEST!AQ153, LPN!AQ153,SPN!AQ153,EPN!AQ153,SPD!AQ153,SPMW!AQ153,SSEH!AQ153,SSES!AQ153)</f>
        <v>0</v>
      </c>
    </row>
    <row r="154" spans="5:43" s="98" customFormat="1" ht="15" customHeight="1">
      <c r="E154" s="268" t="s">
        <v>704</v>
      </c>
      <c r="G154" s="98" t="s">
        <v>49</v>
      </c>
      <c r="I154" s="158"/>
      <c r="AJ154" s="238">
        <f>CHOOSE(m_identity,ENWL!AJ154, NPgN!AJ154, NPgY!AJ154, WMID!AJ154, EMID!AJ154, SWALES!AJ154, SWEST!AJ154, LPN!AJ154,SPN!AJ154,EPN!AJ154,SPD!AJ154,SPMW!AJ154,SSEH!AJ154,SSES!AJ154)</f>
        <v>0.15708386476104683</v>
      </c>
      <c r="AK154" s="238">
        <f>CHOOSE(m_identity,ENWL!AK154, NPgN!AK154, NPgY!AK154, WMID!AK154, EMID!AK154, SWALES!AK154, SWEST!AK154, LPN!AK154,SPN!AK154,EPN!AK154,SPD!AK154,SPMW!AK154,SSEH!AK154,SSES!AK154)</f>
        <v>0.14720273132995343</v>
      </c>
      <c r="AL154" s="238">
        <f>CHOOSE(m_identity,ENWL!AL154, NPgN!AL154, NPgY!AL154, WMID!AL154, EMID!AL154, SWALES!AL154, SWEST!AL154, LPN!AL154,SPN!AL154,EPN!AL154,SPD!AL154,SPMW!AL154,SSEH!AL154,SSES!AL154)</f>
        <v>0.15134827248857383</v>
      </c>
      <c r="AM154" s="238">
        <f>CHOOSE(m_identity,ENWL!AM154, NPgN!AM154, NPgY!AM154, WMID!AM154, EMID!AM154, SWALES!AM154, SWEST!AM154, LPN!AM154,SPN!AM154,EPN!AM154,SPD!AM154,SPMW!AM154,SSEH!AM154,SSES!AM154)</f>
        <v>0.16631880618224304</v>
      </c>
      <c r="AN154" s="238">
        <f>CHOOSE(m_identity,ENWL!AN154, NPgN!AN154, NPgY!AN154, WMID!AN154, EMID!AN154, SWALES!AN154, SWEST!AN154, LPN!AN154,SPN!AN154,EPN!AN154,SPD!AN154,SPMW!AN154,SSEH!AN154,SSES!AN154)</f>
        <v>0.16445951077978851</v>
      </c>
      <c r="AO154" s="238">
        <f>CHOOSE(m_identity,ENWL!AO154, NPgN!AO154, NPgY!AO154, WMID!AO154, EMID!AO154, SWALES!AO154, SWEST!AO154, LPN!AO154,SPN!AO154,EPN!AO154,SPD!AO154,SPMW!AO154,SSEH!AO154,SSES!AO154)</f>
        <v>0.159724195356897</v>
      </c>
      <c r="AP154" s="238">
        <f>CHOOSE(m_identity,ENWL!AP154, NPgN!AP154, NPgY!AP154, WMID!AP154, EMID!AP154, SWALES!AP154, SWEST!AP154, LPN!AP154,SPN!AP154,EPN!AP154,SPD!AP154,SPMW!AP154,SSEH!AP154,SSES!AP154)</f>
        <v>0.15621241732774949</v>
      </c>
      <c r="AQ154" s="238">
        <f>CHOOSE(m_identity,ENWL!AQ154, NPgN!AQ154, NPgY!AQ154, WMID!AQ154, EMID!AQ154, SWALES!AQ154, SWEST!AQ154, LPN!AQ154,SPN!AQ154,EPN!AQ154,SPD!AQ154,SPMW!AQ154,SSEH!AQ154,SSES!AQ154)</f>
        <v>0.15094858528834329</v>
      </c>
    </row>
    <row r="155" spans="5:43" s="98" customFormat="1" ht="15" customHeight="1">
      <c r="E155" s="550" t="s">
        <v>994</v>
      </c>
      <c r="G155" s="98" t="s">
        <v>49</v>
      </c>
      <c r="I155" s="158"/>
      <c r="AJ155" s="238">
        <f>CHOOSE(m_identity,ENWL!AJ155, NPgN!AJ155, NPgY!AJ155, WMID!AJ155, EMID!AJ155, SWALES!AJ155, SWEST!AJ155, LPN!AJ155,SPN!AJ155,EPN!AJ155,SPD!AJ155,SPMW!AJ155,SSEH!AJ155,SSES!AJ155)</f>
        <v>0</v>
      </c>
      <c r="AK155" s="238">
        <f>CHOOSE(m_identity,ENWL!AK155, NPgN!AK155, NPgY!AK155, WMID!AK155, EMID!AK155, SWALES!AK155, SWEST!AK155, LPN!AK155,SPN!AK155,EPN!AK155,SPD!AK155,SPMW!AK155,SSEH!AK155,SSES!AK155)</f>
        <v>0</v>
      </c>
      <c r="AL155" s="238">
        <f>CHOOSE(m_identity,ENWL!AL155, NPgN!AL155, NPgY!AL155, WMID!AL155, EMID!AL155, SWALES!AL155, SWEST!AL155, LPN!AL155,SPN!AL155,EPN!AL155,SPD!AL155,SPMW!AL155,SSEH!AL155,SSES!AL155)</f>
        <v>0</v>
      </c>
      <c r="AM155" s="238">
        <f>CHOOSE(m_identity,ENWL!AM155, NPgN!AM155, NPgY!AM155, WMID!AM155, EMID!AM155, SWALES!AM155, SWEST!AM155, LPN!AM155,SPN!AM155,EPN!AM155,SPD!AM155,SPMW!AM155,SSEH!AM155,SSES!AM155)</f>
        <v>0</v>
      </c>
      <c r="AN155" s="238">
        <f>CHOOSE(m_identity,ENWL!AN155, NPgN!AN155, NPgY!AN155, WMID!AN155, EMID!AN155, SWALES!AN155, SWEST!AN155, LPN!AN155,SPN!AN155,EPN!AN155,SPD!AN155,SPMW!AN155,SSEH!AN155,SSES!AN155)</f>
        <v>0</v>
      </c>
      <c r="AO155" s="238">
        <f>CHOOSE(m_identity,ENWL!AO155, NPgN!AO155, NPgY!AO155, WMID!AO155, EMID!AO155, SWALES!AO155, SWEST!AO155, LPN!AO155,SPN!AO155,EPN!AO155,SPD!AO155,SPMW!AO155,SSEH!AO155,SSES!AO155)</f>
        <v>0</v>
      </c>
      <c r="AP155" s="238">
        <f>CHOOSE(m_identity,ENWL!AP155, NPgN!AP155, NPgY!AP155, WMID!AP155, EMID!AP155, SWALES!AP155, SWEST!AP155, LPN!AP155,SPN!AP155,EPN!AP155,SPD!AP155,SPMW!AP155,SSEH!AP155,SSES!AP155)</f>
        <v>0</v>
      </c>
      <c r="AQ155" s="238">
        <f>CHOOSE(m_identity,ENWL!AQ155, NPgN!AQ155, NPgY!AQ155, WMID!AQ155, EMID!AQ155, SWALES!AQ155, SWEST!AQ155, LPN!AQ155,SPN!AQ155,EPN!AQ155,SPD!AQ155,SPMW!AQ155,SSEH!AQ155,SSES!AQ155)</f>
        <v>0</v>
      </c>
    </row>
    <row r="156" spans="5:43" s="98" customFormat="1" ht="15" customHeight="1">
      <c r="E156" s="268" t="s">
        <v>920</v>
      </c>
      <c r="G156" s="98" t="s">
        <v>49</v>
      </c>
      <c r="I156" s="158"/>
      <c r="AJ156" s="238">
        <f>CHOOSE(m_identity,ENWL!AJ156, NPgN!AJ156, NPgY!AJ156, WMID!AJ156, EMID!AJ156, SWALES!AJ156, SWEST!AJ156, LPN!AJ156,SPN!AJ156,EPN!AJ156,SPD!AJ156,SPMW!AJ156,SSEH!AJ156,SSES!AJ156)</f>
        <v>0.49808338698427379</v>
      </c>
      <c r="AK156" s="238">
        <f>CHOOSE(m_identity,ENWL!AK156, NPgN!AK156, NPgY!AK156, WMID!AK156, EMID!AK156, SWALES!AK156, SWEST!AK156, LPN!AK156,SPN!AK156,EPN!AK156,SPD!AK156,SPMW!AK156,SSEH!AK156,SSES!AK156)</f>
        <v>0.49369417694404</v>
      </c>
      <c r="AL156" s="238">
        <f>CHOOSE(m_identity,ENWL!AL156, NPgN!AL156, NPgY!AL156, WMID!AL156, EMID!AL156, SWALES!AL156, SWEST!AL156, LPN!AL156,SPN!AL156,EPN!AL156,SPD!AL156,SPMW!AL156,SSEH!AL156,SSES!AL156)</f>
        <v>0.50810030834783926</v>
      </c>
      <c r="AM156" s="238">
        <f>CHOOSE(m_identity,ENWL!AM156, NPgN!AM156, NPgY!AM156, WMID!AM156, EMID!AM156, SWALES!AM156, SWEST!AM156, LPN!AM156,SPN!AM156,EPN!AM156,SPD!AM156,SPMW!AM156,SSEH!AM156,SSES!AM156)</f>
        <v>0.5276279640635273</v>
      </c>
      <c r="AN156" s="238">
        <f>CHOOSE(m_identity,ENWL!AN156, NPgN!AN156, NPgY!AN156, WMID!AN156, EMID!AN156, SWALES!AN156, SWEST!AN156, LPN!AN156,SPN!AN156,EPN!AN156,SPD!AN156,SPMW!AN156,SSEH!AN156,SSES!AN156)</f>
        <v>0.52497215189926805</v>
      </c>
      <c r="AO156" s="238">
        <f>CHOOSE(m_identity,ENWL!AO156, NPgN!AO156, NPgY!AO156, WMID!AO156, EMID!AO156, SWALES!AO156, SWEST!AO156, LPN!AO156,SPN!AO156,EPN!AO156,SPD!AO156,SPMW!AO156,SSEH!AO156,SSES!AO156)</f>
        <v>0.51861610576513706</v>
      </c>
      <c r="AP156" s="238">
        <f>CHOOSE(m_identity,ENWL!AP156, NPgN!AP156, NPgY!AP156, WMID!AP156, EMID!AP156, SWALES!AP156, SWEST!AP156, LPN!AP156,SPN!AP156,EPN!AP156,SPD!AP156,SPMW!AP156,SSEH!AP156,SSES!AP156)</f>
        <v>0.51394957890688764</v>
      </c>
      <c r="AQ156" s="238">
        <f>CHOOSE(m_identity,ENWL!AQ156, NPgN!AQ156, NPgY!AQ156, WMID!AQ156, EMID!AQ156, SWALES!AQ156, SWEST!AQ156, LPN!AQ156,SPN!AQ156,EPN!AQ156,SPD!AQ156,SPMW!AQ156,SSEH!AQ156,SSES!AQ156)</f>
        <v>0.50693834203338373</v>
      </c>
    </row>
    <row r="157" spans="5:43" s="98" customFormat="1" ht="15" customHeight="1">
      <c r="E157" s="268" t="s">
        <v>524</v>
      </c>
      <c r="G157" s="98" t="s">
        <v>49</v>
      </c>
      <c r="I157" s="158"/>
      <c r="AJ157" s="238">
        <f>CHOOSE(m_identity,ENWL!AJ157, NPgN!AJ157, NPgY!AJ157, WMID!AJ157, EMID!AJ157, SWALES!AJ157, SWEST!AJ157, LPN!AJ157,SPN!AJ157,EPN!AJ157,SPD!AJ157,SPMW!AJ157,SSEH!AJ157,SSES!AJ157)</f>
        <v>1.3279997432487357E-2</v>
      </c>
      <c r="AK157" s="238">
        <f>CHOOSE(m_identity,ENWL!AK157, NPgN!AK157, NPgY!AK157, WMID!AK157, EMID!AK157, SWALES!AK157, SWEST!AK157, LPN!AK157,SPN!AK157,EPN!AK157,SPD!AK157,SPMW!AK157,SSEH!AK157,SSES!AK157)</f>
        <v>1.3094975597775428E-2</v>
      </c>
      <c r="AL157" s="238">
        <f>CHOOSE(m_identity,ENWL!AL157, NPgN!AL157, NPgY!AL157, WMID!AL157, EMID!AL157, SWALES!AL157, SWEST!AL157, LPN!AL157,SPN!AL157,EPN!AL157,SPD!AL157,SPMW!AL157,SSEH!AL157,SSES!AL157)</f>
        <v>1.3509891864383552E-2</v>
      </c>
      <c r="AM157" s="238">
        <f>CHOOSE(m_identity,ENWL!AM157, NPgN!AM157, NPgY!AM157, WMID!AM157, EMID!AM157, SWALES!AM157, SWEST!AM157, LPN!AM157,SPN!AM157,EPN!AM157,SPD!AM157,SPMW!AM157,SSEH!AM157,SSES!AM157)</f>
        <v>1.4124967450526521E-2</v>
      </c>
      <c r="AN157" s="238">
        <f>CHOOSE(m_identity,ENWL!AN157, NPgN!AN157, NPgY!AN157, WMID!AN157, EMID!AN157, SWALES!AN157, SWEST!AN157, LPN!AN157,SPN!AN157,EPN!AN157,SPD!AN157,SPMW!AN157,SSEH!AN157,SSES!AN157)</f>
        <v>1.401345938339682E-2</v>
      </c>
      <c r="AO157" s="238">
        <f>CHOOSE(m_identity,ENWL!AO157, NPgN!AO157, NPgY!AO157, WMID!AO157, EMID!AO157, SWALES!AO157, SWEST!AO157, LPN!AO157,SPN!AO157,EPN!AO157,SPD!AO157,SPMW!AO157,SSEH!AO157,SSES!AO157)</f>
        <v>1.3781956382874327E-2</v>
      </c>
      <c r="AP157" s="238">
        <f>CHOOSE(m_identity,ENWL!AP157, NPgN!AP157, NPgY!AP157, WMID!AP157, EMID!AP157, SWALES!AP157, SWEST!AP157, LPN!AP157,SPN!AP157,EPN!AP157,SPD!AP157,SPMW!AP157,SSEH!AP157,SSES!AP157)</f>
        <v>1.3601291487528019E-2</v>
      </c>
      <c r="AQ157" s="238">
        <f>CHOOSE(m_identity,ENWL!AQ157, NPgN!AQ157, NPgY!AQ157, WMID!AQ157, EMID!AQ157, SWALES!AQ157, SWEST!AQ157, LPN!AQ157,SPN!AQ157,EPN!AQ157,SPD!AQ157,SPMW!AQ157,SSEH!AQ157,SSES!AQ157)</f>
        <v>1.3075653636785969E-2</v>
      </c>
    </row>
    <row r="159" spans="5:43" s="98" customFormat="1" ht="15" customHeight="1">
      <c r="E159" s="154" t="str">
        <f>E25</f>
        <v>Allowed Expenditure - Load Related</v>
      </c>
      <c r="G159" s="98" t="s">
        <v>844</v>
      </c>
      <c r="I159" s="58"/>
      <c r="AJ159" s="221">
        <f>AJ25</f>
        <v>27.004944225494526</v>
      </c>
      <c r="AK159" s="221">
        <f t="shared" ref="AK159:AQ159" si="8">AK25</f>
        <v>35.56153439346658</v>
      </c>
      <c r="AL159" s="221">
        <f t="shared" si="8"/>
        <v>36.979247311328116</v>
      </c>
      <c r="AM159" s="221">
        <f t="shared" si="8"/>
        <v>27.410152531856969</v>
      </c>
      <c r="AN159" s="221">
        <f t="shared" si="8"/>
        <v>22.557307318170174</v>
      </c>
      <c r="AO159" s="221">
        <f t="shared" si="8"/>
        <v>22.496902555508203</v>
      </c>
      <c r="AP159" s="221">
        <f t="shared" si="8"/>
        <v>29.880221071090336</v>
      </c>
      <c r="AQ159" s="221">
        <f t="shared" si="8"/>
        <v>28.042831769747085</v>
      </c>
    </row>
    <row r="160" spans="5:43" s="98" customFormat="1" ht="15" customHeight="1">
      <c r="E160" s="268" t="s">
        <v>522</v>
      </c>
      <c r="G160" s="98" t="s">
        <v>49</v>
      </c>
      <c r="I160" s="158"/>
      <c r="AJ160" s="238">
        <f>CHOOSE(m_identity,ENWL!AJ160, NPgN!AJ160, NPgY!AJ160, WMID!AJ160, EMID!AJ160, SWALES!AJ160, SWEST!AJ160, LPN!AJ160,SPN!AJ160,EPN!AJ160,SPD!AJ160,SPMW!AJ160,SSEH!AJ160,SSES!AJ160)</f>
        <v>0.99018868930620585</v>
      </c>
      <c r="AK160" s="238">
        <f>CHOOSE(m_identity,ENWL!AK160, NPgN!AK160, NPgY!AK160, WMID!AK160, EMID!AK160, SWALES!AK160, SWEST!AK160, LPN!AK160,SPN!AK160,EPN!AK160,SPD!AK160,SPMW!AK160,SSEH!AK160,SSES!AK160)</f>
        <v>0.99095218043315692</v>
      </c>
      <c r="AL160" s="238">
        <f>CHOOSE(m_identity,ENWL!AL160, NPgN!AL160, NPgY!AL160, WMID!AL160, EMID!AL160, SWALES!AL160, SWEST!AL160, LPN!AL160,SPN!AL160,EPN!AL160,SPD!AL160,SPMW!AL160,SSEH!AL160,SSES!AL160)</f>
        <v>0.99136042543478353</v>
      </c>
      <c r="AM160" s="238">
        <f>CHOOSE(m_identity,ENWL!AM160, NPgN!AM160, NPgY!AM160, WMID!AM160, EMID!AM160, SWALES!AM160, SWEST!AM160, LPN!AM160,SPN!AM160,EPN!AM160,SPD!AM160,SPMW!AM160,SSEH!AM160,SSES!AM160)</f>
        <v>0.99120779415626725</v>
      </c>
      <c r="AN160" s="238">
        <f>CHOOSE(m_identity,ENWL!AN160, NPgN!AN160, NPgY!AN160, WMID!AN160, EMID!AN160, SWALES!AN160, SWEST!AN160, LPN!AN160,SPN!AN160,EPN!AN160,SPD!AN160,SPMW!AN160,SSEH!AN160,SSES!AN160)</f>
        <v>0.99107304036233612</v>
      </c>
      <c r="AO160" s="238">
        <f>CHOOSE(m_identity,ENWL!AO160, NPgN!AO160, NPgY!AO160, WMID!AO160, EMID!AO160, SWALES!AO160, SWEST!AO160, LPN!AO160,SPN!AO160,EPN!AO160,SPD!AO160,SPMW!AO160,SSEH!AO160,SSES!AO160)</f>
        <v>0.99104220148349442</v>
      </c>
      <c r="AP160" s="238">
        <f>CHOOSE(m_identity,ENWL!AP160, NPgN!AP160, NPgY!AP160, WMID!AP160, EMID!AP160, SWALES!AP160, SWEST!AP160, LPN!AP160,SPN!AP160,EPN!AP160,SPD!AP160,SPMW!AP160,SSEH!AP160,SSES!AP160)</f>
        <v>0.99120985027933839</v>
      </c>
      <c r="AQ160" s="238">
        <f>CHOOSE(m_identity,ENWL!AQ160, NPgN!AQ160, NPgY!AQ160, WMID!AQ160, EMID!AQ160, SWALES!AQ160, SWEST!AQ160, LPN!AQ160,SPN!AQ160,EPN!AQ160,SPD!AQ160,SPMW!AQ160,SSEH!AQ160,SSES!AQ160)</f>
        <v>0.99115859247744553</v>
      </c>
    </row>
    <row r="161" spans="5:43" s="98" customFormat="1" ht="15" customHeight="1">
      <c r="E161" s="268" t="s">
        <v>663</v>
      </c>
      <c r="G161" s="98" t="s">
        <v>49</v>
      </c>
      <c r="I161" s="158"/>
      <c r="AJ161" s="238">
        <f>CHOOSE(m_identity,ENWL!AJ161, NPgN!AJ161, NPgY!AJ161, WMID!AJ161, EMID!AJ161, SWALES!AJ161, SWEST!AJ161, LPN!AJ161,SPN!AJ161,EPN!AJ161,SPD!AJ161,SPMW!AJ161,SSEH!AJ161,SSES!AJ161)</f>
        <v>0</v>
      </c>
      <c r="AK161" s="238">
        <f>CHOOSE(m_identity,ENWL!AK161, NPgN!AK161, NPgY!AK161, WMID!AK161, EMID!AK161, SWALES!AK161, SWEST!AK161, LPN!AK161,SPN!AK161,EPN!AK161,SPD!AK161,SPMW!AK161,SSEH!AK161,SSES!AK161)</f>
        <v>0</v>
      </c>
      <c r="AL161" s="238">
        <f>CHOOSE(m_identity,ENWL!AL161, NPgN!AL161, NPgY!AL161, WMID!AL161, EMID!AL161, SWALES!AL161, SWEST!AL161, LPN!AL161,SPN!AL161,EPN!AL161,SPD!AL161,SPMW!AL161,SSEH!AL161,SSES!AL161)</f>
        <v>0</v>
      </c>
      <c r="AM161" s="238">
        <f>CHOOSE(m_identity,ENWL!AM161, NPgN!AM161, NPgY!AM161, WMID!AM161, EMID!AM161, SWALES!AM161, SWEST!AM161, LPN!AM161,SPN!AM161,EPN!AM161,SPD!AM161,SPMW!AM161,SSEH!AM161,SSES!AM161)</f>
        <v>0</v>
      </c>
      <c r="AN161" s="238">
        <f>CHOOSE(m_identity,ENWL!AN161, NPgN!AN161, NPgY!AN161, WMID!AN161, EMID!AN161, SWALES!AN161, SWEST!AN161, LPN!AN161,SPN!AN161,EPN!AN161,SPD!AN161,SPMW!AN161,SSEH!AN161,SSES!AN161)</f>
        <v>0</v>
      </c>
      <c r="AO161" s="238">
        <f>CHOOSE(m_identity,ENWL!AO161, NPgN!AO161, NPgY!AO161, WMID!AO161, EMID!AO161, SWALES!AO161, SWEST!AO161, LPN!AO161,SPN!AO161,EPN!AO161,SPD!AO161,SPMW!AO161,SSEH!AO161,SSES!AO161)</f>
        <v>0</v>
      </c>
      <c r="AP161" s="238">
        <f>CHOOSE(m_identity,ENWL!AP161, NPgN!AP161, NPgY!AP161, WMID!AP161, EMID!AP161, SWALES!AP161, SWEST!AP161, LPN!AP161,SPN!AP161,EPN!AP161,SPD!AP161,SPMW!AP161,SSEH!AP161,SSES!AP161)</f>
        <v>0</v>
      </c>
      <c r="AQ161" s="238">
        <f>CHOOSE(m_identity,ENWL!AQ161, NPgN!AQ161, NPgY!AQ161, WMID!AQ161, EMID!AQ161, SWALES!AQ161, SWEST!AQ161, LPN!AQ161,SPN!AQ161,EPN!AQ161,SPD!AQ161,SPMW!AQ161,SSEH!AQ161,SSES!AQ161)</f>
        <v>0</v>
      </c>
    </row>
    <row r="162" spans="5:43" s="98" customFormat="1" ht="15" customHeight="1">
      <c r="E162" s="268" t="s">
        <v>523</v>
      </c>
      <c r="G162" s="98" t="s">
        <v>49</v>
      </c>
      <c r="I162" s="158"/>
      <c r="AJ162" s="238">
        <f>CHOOSE(m_identity,ENWL!AJ162, NPgN!AJ162, NPgY!AJ162, WMID!AJ162, EMID!AJ162, SWALES!AJ162, SWEST!AJ162, LPN!AJ162,SPN!AJ162,EPN!AJ162,SPD!AJ162,SPMW!AJ162,SSEH!AJ162,SSES!AJ162)</f>
        <v>0</v>
      </c>
      <c r="AK162" s="238">
        <f>CHOOSE(m_identity,ENWL!AK162, NPgN!AK162, NPgY!AK162, WMID!AK162, EMID!AK162, SWALES!AK162, SWEST!AK162, LPN!AK162,SPN!AK162,EPN!AK162,SPD!AK162,SPMW!AK162,SSEH!AK162,SSES!AK162)</f>
        <v>0</v>
      </c>
      <c r="AL162" s="238">
        <f>CHOOSE(m_identity,ENWL!AL162, NPgN!AL162, NPgY!AL162, WMID!AL162, EMID!AL162, SWALES!AL162, SWEST!AL162, LPN!AL162,SPN!AL162,EPN!AL162,SPD!AL162,SPMW!AL162,SSEH!AL162,SSES!AL162)</f>
        <v>0</v>
      </c>
      <c r="AM162" s="238">
        <f>CHOOSE(m_identity,ENWL!AM162, NPgN!AM162, NPgY!AM162, WMID!AM162, EMID!AM162, SWALES!AM162, SWEST!AM162, LPN!AM162,SPN!AM162,EPN!AM162,SPD!AM162,SPMW!AM162,SSEH!AM162,SSES!AM162)</f>
        <v>0</v>
      </c>
      <c r="AN162" s="238">
        <f>CHOOSE(m_identity,ENWL!AN162, NPgN!AN162, NPgY!AN162, WMID!AN162, EMID!AN162, SWALES!AN162, SWEST!AN162, LPN!AN162,SPN!AN162,EPN!AN162,SPD!AN162,SPMW!AN162,SSEH!AN162,SSES!AN162)</f>
        <v>0</v>
      </c>
      <c r="AO162" s="238">
        <f>CHOOSE(m_identity,ENWL!AO162, NPgN!AO162, NPgY!AO162, WMID!AO162, EMID!AO162, SWALES!AO162, SWEST!AO162, LPN!AO162,SPN!AO162,EPN!AO162,SPD!AO162,SPMW!AO162,SSEH!AO162,SSES!AO162)</f>
        <v>0</v>
      </c>
      <c r="AP162" s="238">
        <f>CHOOSE(m_identity,ENWL!AP162, NPgN!AP162, NPgY!AP162, WMID!AP162, EMID!AP162, SWALES!AP162, SWEST!AP162, LPN!AP162,SPN!AP162,EPN!AP162,SPD!AP162,SPMW!AP162,SSEH!AP162,SSES!AP162)</f>
        <v>0</v>
      </c>
      <c r="AQ162" s="238">
        <f>CHOOSE(m_identity,ENWL!AQ162, NPgN!AQ162, NPgY!AQ162, WMID!AQ162, EMID!AQ162, SWALES!AQ162, SWEST!AQ162, LPN!AQ162,SPN!AQ162,EPN!AQ162,SPD!AQ162,SPMW!AQ162,SSEH!AQ162,SSES!AQ162)</f>
        <v>0</v>
      </c>
    </row>
    <row r="163" spans="5:43" s="98" customFormat="1" ht="15" customHeight="1">
      <c r="E163" s="268" t="s">
        <v>704</v>
      </c>
      <c r="G163" s="98" t="s">
        <v>49</v>
      </c>
      <c r="I163" s="158"/>
      <c r="AJ163" s="238">
        <f>CHOOSE(m_identity,ENWL!AJ163, NPgN!AJ163, NPgY!AJ163, WMID!AJ163, EMID!AJ163, SWALES!AJ163, SWEST!AJ163, LPN!AJ163,SPN!AJ163,EPN!AJ163,SPD!AJ163,SPMW!AJ163,SSEH!AJ163,SSES!AJ163)</f>
        <v>0</v>
      </c>
      <c r="AK163" s="238">
        <f>CHOOSE(m_identity,ENWL!AK163, NPgN!AK163, NPgY!AK163, WMID!AK163, EMID!AK163, SWALES!AK163, SWEST!AK163, LPN!AK163,SPN!AK163,EPN!AK163,SPD!AK163,SPMW!AK163,SSEH!AK163,SSES!AK163)</f>
        <v>0</v>
      </c>
      <c r="AL163" s="238">
        <f>CHOOSE(m_identity,ENWL!AL163, NPgN!AL163, NPgY!AL163, WMID!AL163, EMID!AL163, SWALES!AL163, SWEST!AL163, LPN!AL163,SPN!AL163,EPN!AL163,SPD!AL163,SPMW!AL163,SSEH!AL163,SSES!AL163)</f>
        <v>0</v>
      </c>
      <c r="AM163" s="238">
        <f>CHOOSE(m_identity,ENWL!AM163, NPgN!AM163, NPgY!AM163, WMID!AM163, EMID!AM163, SWALES!AM163, SWEST!AM163, LPN!AM163,SPN!AM163,EPN!AM163,SPD!AM163,SPMW!AM163,SSEH!AM163,SSES!AM163)</f>
        <v>0</v>
      </c>
      <c r="AN163" s="238">
        <f>CHOOSE(m_identity,ENWL!AN163, NPgN!AN163, NPgY!AN163, WMID!AN163, EMID!AN163, SWALES!AN163, SWEST!AN163, LPN!AN163,SPN!AN163,EPN!AN163,SPD!AN163,SPMW!AN163,SSEH!AN163,SSES!AN163)</f>
        <v>0</v>
      </c>
      <c r="AO163" s="238">
        <f>CHOOSE(m_identity,ENWL!AO163, NPgN!AO163, NPgY!AO163, WMID!AO163, EMID!AO163, SWALES!AO163, SWEST!AO163, LPN!AO163,SPN!AO163,EPN!AO163,SPD!AO163,SPMW!AO163,SSEH!AO163,SSES!AO163)</f>
        <v>0</v>
      </c>
      <c r="AP163" s="238">
        <f>CHOOSE(m_identity,ENWL!AP163, NPgN!AP163, NPgY!AP163, WMID!AP163, EMID!AP163, SWALES!AP163, SWEST!AP163, LPN!AP163,SPN!AP163,EPN!AP163,SPD!AP163,SPMW!AP163,SSEH!AP163,SSES!AP163)</f>
        <v>0</v>
      </c>
      <c r="AQ163" s="238">
        <f>CHOOSE(m_identity,ENWL!AQ163, NPgN!AQ163, NPgY!AQ163, WMID!AQ163, EMID!AQ163, SWALES!AQ163, SWEST!AQ163, LPN!AQ163,SPN!AQ163,EPN!AQ163,SPD!AQ163,SPMW!AQ163,SSEH!AQ163,SSES!AQ163)</f>
        <v>0</v>
      </c>
    </row>
    <row r="164" spans="5:43" s="98" customFormat="1" ht="15" customHeight="1">
      <c r="E164" s="550" t="s">
        <v>994</v>
      </c>
      <c r="G164" s="98" t="s">
        <v>49</v>
      </c>
      <c r="I164" s="158"/>
      <c r="AJ164" s="238">
        <f>CHOOSE(m_identity,ENWL!AJ164, NPgN!AJ164, NPgY!AJ164, WMID!AJ164, EMID!AJ164, SWALES!AJ164, SWEST!AJ164, LPN!AJ164,SPN!AJ164,EPN!AJ164,SPD!AJ164,SPMW!AJ164,SSEH!AJ164,SSES!AJ164)</f>
        <v>0</v>
      </c>
      <c r="AK164" s="238">
        <f>CHOOSE(m_identity,ENWL!AK164, NPgN!AK164, NPgY!AK164, WMID!AK164, EMID!AK164, SWALES!AK164, SWEST!AK164, LPN!AK164,SPN!AK164,EPN!AK164,SPD!AK164,SPMW!AK164,SSEH!AK164,SSES!AK164)</f>
        <v>0</v>
      </c>
      <c r="AL164" s="238">
        <f>CHOOSE(m_identity,ENWL!AL164, NPgN!AL164, NPgY!AL164, WMID!AL164, EMID!AL164, SWALES!AL164, SWEST!AL164, LPN!AL164,SPN!AL164,EPN!AL164,SPD!AL164,SPMW!AL164,SSEH!AL164,SSES!AL164)</f>
        <v>0</v>
      </c>
      <c r="AM164" s="238">
        <f>CHOOSE(m_identity,ENWL!AM164, NPgN!AM164, NPgY!AM164, WMID!AM164, EMID!AM164, SWALES!AM164, SWEST!AM164, LPN!AM164,SPN!AM164,EPN!AM164,SPD!AM164,SPMW!AM164,SSEH!AM164,SSES!AM164)</f>
        <v>0</v>
      </c>
      <c r="AN164" s="238">
        <f>CHOOSE(m_identity,ENWL!AN164, NPgN!AN164, NPgY!AN164, WMID!AN164, EMID!AN164, SWALES!AN164, SWEST!AN164, LPN!AN164,SPN!AN164,EPN!AN164,SPD!AN164,SPMW!AN164,SSEH!AN164,SSES!AN164)</f>
        <v>0</v>
      </c>
      <c r="AO164" s="238">
        <f>CHOOSE(m_identity,ENWL!AO164, NPgN!AO164, NPgY!AO164, WMID!AO164, EMID!AO164, SWALES!AO164, SWEST!AO164, LPN!AO164,SPN!AO164,EPN!AO164,SPD!AO164,SPMW!AO164,SSEH!AO164,SSES!AO164)</f>
        <v>0</v>
      </c>
      <c r="AP164" s="238">
        <f>CHOOSE(m_identity,ENWL!AP164, NPgN!AP164, NPgY!AP164, WMID!AP164, EMID!AP164, SWALES!AP164, SWEST!AP164, LPN!AP164,SPN!AP164,EPN!AP164,SPD!AP164,SPMW!AP164,SSEH!AP164,SSES!AP164)</f>
        <v>0</v>
      </c>
      <c r="AQ164" s="238">
        <f>CHOOSE(m_identity,ENWL!AQ164, NPgN!AQ164, NPgY!AQ164, WMID!AQ164, EMID!AQ164, SWALES!AQ164, SWEST!AQ164, LPN!AQ164,SPN!AQ164,EPN!AQ164,SPD!AQ164,SPMW!AQ164,SSEH!AQ164,SSES!AQ164)</f>
        <v>0</v>
      </c>
    </row>
    <row r="165" spans="5:43" s="98" customFormat="1" ht="15" customHeight="1">
      <c r="E165" s="268" t="s">
        <v>920</v>
      </c>
      <c r="G165" s="98" t="s">
        <v>49</v>
      </c>
      <c r="I165" s="158"/>
      <c r="AJ165" s="238">
        <f>CHOOSE(m_identity,ENWL!AJ165, NPgN!AJ165, NPgY!AJ165, WMID!AJ165, EMID!AJ165, SWALES!AJ165, SWEST!AJ165, LPN!AJ165,SPN!AJ165,EPN!AJ165,SPD!AJ165,SPMW!AJ165,SSEH!AJ165,SSES!AJ165)</f>
        <v>9.8113106937941508E-3</v>
      </c>
      <c r="AK165" s="238">
        <f>CHOOSE(m_identity,ENWL!AK165, NPgN!AK165, NPgY!AK165, WMID!AK165, EMID!AK165, SWALES!AK165, SWEST!AK165, LPN!AK165,SPN!AK165,EPN!AK165,SPD!AK165,SPMW!AK165,SSEH!AK165,SSES!AK165)</f>
        <v>9.047819566843085E-3</v>
      </c>
      <c r="AL165" s="238">
        <f>CHOOSE(m_identity,ENWL!AL165, NPgN!AL165, NPgY!AL165, WMID!AL165, EMID!AL165, SWALES!AL165, SWEST!AL165, LPN!AL165,SPN!AL165,EPN!AL165,SPD!AL165,SPMW!AL165,SSEH!AL165,SSES!AL165)</f>
        <v>8.6395745652164679E-3</v>
      </c>
      <c r="AM165" s="238">
        <f>CHOOSE(m_identity,ENWL!AM165, NPgN!AM165, NPgY!AM165, WMID!AM165, EMID!AM165, SWALES!AM165, SWEST!AM165, LPN!AM165,SPN!AM165,EPN!AM165,SPD!AM165,SPMW!AM165,SSEH!AM165,SSES!AM165)</f>
        <v>8.7922058437327477E-3</v>
      </c>
      <c r="AN165" s="238">
        <f>CHOOSE(m_identity,ENWL!AN165, NPgN!AN165, NPgY!AN165, WMID!AN165, EMID!AN165, SWALES!AN165, SWEST!AN165, LPN!AN165,SPN!AN165,EPN!AN165,SPD!AN165,SPMW!AN165,SSEH!AN165,SSES!AN165)</f>
        <v>8.9269596376638782E-3</v>
      </c>
      <c r="AO165" s="238">
        <f>CHOOSE(m_identity,ENWL!AO165, NPgN!AO165, NPgY!AO165, WMID!AO165, EMID!AO165, SWALES!AO165, SWEST!AO165, LPN!AO165,SPN!AO165,EPN!AO165,SPD!AO165,SPMW!AO165,SSEH!AO165,SSES!AO165)</f>
        <v>8.9577985165055773E-3</v>
      </c>
      <c r="AP165" s="238">
        <f>CHOOSE(m_identity,ENWL!AP165, NPgN!AP165, NPgY!AP165, WMID!AP165, EMID!AP165, SWALES!AP165, SWEST!AP165, LPN!AP165,SPN!AP165,EPN!AP165,SPD!AP165,SPMW!AP165,SSEH!AP165,SSES!AP165)</f>
        <v>8.7901497206616108E-3</v>
      </c>
      <c r="AQ165" s="238">
        <f>CHOOSE(m_identity,ENWL!AQ165, NPgN!AQ165, NPgY!AQ165, WMID!AQ165, EMID!AQ165, SWALES!AQ165, SWEST!AQ165, LPN!AQ165,SPN!AQ165,EPN!AQ165,SPD!AQ165,SPMW!AQ165,SSEH!AQ165,SSES!AQ165)</f>
        <v>8.8414075225544675E-3</v>
      </c>
    </row>
    <row r="166" spans="5:43" s="98" customFormat="1" ht="15" customHeight="1">
      <c r="E166" s="268" t="s">
        <v>524</v>
      </c>
      <c r="G166" s="98" t="s">
        <v>49</v>
      </c>
      <c r="I166" s="158"/>
      <c r="AJ166" s="238">
        <f>CHOOSE(m_identity,ENWL!AJ166, NPgN!AJ166, NPgY!AJ166, WMID!AJ166, EMID!AJ166, SWALES!AJ166, SWEST!AJ166, LPN!AJ166,SPN!AJ166,EPN!AJ166,SPD!AJ166,SPMW!AJ166,SSEH!AJ166,SSES!AJ166)</f>
        <v>0</v>
      </c>
      <c r="AK166" s="238">
        <f>CHOOSE(m_identity,ENWL!AK166, NPgN!AK166, NPgY!AK166, WMID!AK166, EMID!AK166, SWALES!AK166, SWEST!AK166, LPN!AK166,SPN!AK166,EPN!AK166,SPD!AK166,SPMW!AK166,SSEH!AK166,SSES!AK166)</f>
        <v>0</v>
      </c>
      <c r="AL166" s="238">
        <f>CHOOSE(m_identity,ENWL!AL166, NPgN!AL166, NPgY!AL166, WMID!AL166, EMID!AL166, SWALES!AL166, SWEST!AL166, LPN!AL166,SPN!AL166,EPN!AL166,SPD!AL166,SPMW!AL166,SSEH!AL166,SSES!AL166)</f>
        <v>0</v>
      </c>
      <c r="AM166" s="238">
        <f>CHOOSE(m_identity,ENWL!AM166, NPgN!AM166, NPgY!AM166, WMID!AM166, EMID!AM166, SWALES!AM166, SWEST!AM166, LPN!AM166,SPN!AM166,EPN!AM166,SPD!AM166,SPMW!AM166,SSEH!AM166,SSES!AM166)</f>
        <v>0</v>
      </c>
      <c r="AN166" s="238">
        <f>CHOOSE(m_identity,ENWL!AN166, NPgN!AN166, NPgY!AN166, WMID!AN166, EMID!AN166, SWALES!AN166, SWEST!AN166, LPN!AN166,SPN!AN166,EPN!AN166,SPD!AN166,SPMW!AN166,SSEH!AN166,SSES!AN166)</f>
        <v>0</v>
      </c>
      <c r="AO166" s="238">
        <f>CHOOSE(m_identity,ENWL!AO166, NPgN!AO166, NPgY!AO166, WMID!AO166, EMID!AO166, SWALES!AO166, SWEST!AO166, LPN!AO166,SPN!AO166,EPN!AO166,SPD!AO166,SPMW!AO166,SSEH!AO166,SSES!AO166)</f>
        <v>0</v>
      </c>
      <c r="AP166" s="238">
        <f>CHOOSE(m_identity,ENWL!AP166, NPgN!AP166, NPgY!AP166, WMID!AP166, EMID!AP166, SWALES!AP166, SWEST!AP166, LPN!AP166,SPN!AP166,EPN!AP166,SPD!AP166,SPMW!AP166,SSEH!AP166,SSES!AP166)</f>
        <v>0</v>
      </c>
      <c r="AQ166" s="238">
        <f>CHOOSE(m_identity,ENWL!AQ166, NPgN!AQ166, NPgY!AQ166, WMID!AQ166, EMID!AQ166, SWALES!AQ166, SWEST!AQ166, LPN!AQ166,SPN!AQ166,EPN!AQ166,SPD!AQ166,SPMW!AQ166,SSEH!AQ166,SSES!AQ166)</f>
        <v>0</v>
      </c>
    </row>
    <row r="168" spans="5:43" s="158" customFormat="1" ht="15" customHeight="1">
      <c r="E168" s="154" t="str">
        <f>E26</f>
        <v>Allowed Expenditure - Rail Electrification</v>
      </c>
      <c r="G168" s="98" t="s">
        <v>844</v>
      </c>
      <c r="AJ168" s="221">
        <f>AJ26</f>
        <v>0</v>
      </c>
      <c r="AK168" s="221">
        <f t="shared" ref="AK168:AQ168" si="9">AK26</f>
        <v>0</v>
      </c>
      <c r="AL168" s="221">
        <f t="shared" si="9"/>
        <v>0</v>
      </c>
      <c r="AM168" s="221">
        <f t="shared" si="9"/>
        <v>0</v>
      </c>
      <c r="AN168" s="221">
        <f t="shared" si="9"/>
        <v>0</v>
      </c>
      <c r="AO168" s="221">
        <f t="shared" si="9"/>
        <v>0</v>
      </c>
      <c r="AP168" s="221">
        <f t="shared" si="9"/>
        <v>0</v>
      </c>
      <c r="AQ168" s="221">
        <f t="shared" si="9"/>
        <v>0</v>
      </c>
    </row>
    <row r="169" spans="5:43" s="158" customFormat="1" ht="15" customHeight="1">
      <c r="E169" s="268" t="s">
        <v>522</v>
      </c>
      <c r="F169" s="98"/>
      <c r="G169" s="98" t="s">
        <v>49</v>
      </c>
      <c r="AJ169" s="238">
        <f>CHOOSE(m_identity,ENWL!AJ169, NPgN!AJ169, NPgY!AJ169, WMID!AJ169, EMID!AJ169, SWALES!AJ169, SWEST!AJ169, LPN!AJ169,SPN!AJ169,EPN!AJ169,SPD!AJ169,SPMW!AJ169,SSEH!AJ169,SSES!AJ169)</f>
        <v>0</v>
      </c>
      <c r="AK169" s="238">
        <f>CHOOSE(m_identity,ENWL!AK169, NPgN!AK169, NPgY!AK169, WMID!AK169, EMID!AK169, SWALES!AK169, SWEST!AK169, LPN!AK169,SPN!AK169,EPN!AK169,SPD!AK169,SPMW!AK169,SSEH!AK169,SSES!AK169)</f>
        <v>0</v>
      </c>
      <c r="AL169" s="238">
        <f>CHOOSE(m_identity,ENWL!AL169, NPgN!AL169, NPgY!AL169, WMID!AL169, EMID!AL169, SWALES!AL169, SWEST!AL169, LPN!AL169,SPN!AL169,EPN!AL169,SPD!AL169,SPMW!AL169,SSEH!AL169,SSES!AL169)</f>
        <v>0</v>
      </c>
      <c r="AM169" s="238">
        <f>CHOOSE(m_identity,ENWL!AM169, NPgN!AM169, NPgY!AM169, WMID!AM169, EMID!AM169, SWALES!AM169, SWEST!AM169, LPN!AM169,SPN!AM169,EPN!AM169,SPD!AM169,SPMW!AM169,SSEH!AM169,SSES!AM169)</f>
        <v>0</v>
      </c>
      <c r="AN169" s="238">
        <f>CHOOSE(m_identity,ENWL!AN169, NPgN!AN169, NPgY!AN169, WMID!AN169, EMID!AN169, SWALES!AN169, SWEST!AN169, LPN!AN169,SPN!AN169,EPN!AN169,SPD!AN169,SPMW!AN169,SSEH!AN169,SSES!AN169)</f>
        <v>0</v>
      </c>
      <c r="AO169" s="238">
        <f>CHOOSE(m_identity,ENWL!AO169, NPgN!AO169, NPgY!AO169, WMID!AO169, EMID!AO169, SWALES!AO169, SWEST!AO169, LPN!AO169,SPN!AO169,EPN!AO169,SPD!AO169,SPMW!AO169,SSEH!AO169,SSES!AO169)</f>
        <v>0</v>
      </c>
      <c r="AP169" s="238">
        <f>CHOOSE(m_identity,ENWL!AP169, NPgN!AP169, NPgY!AP169, WMID!AP169, EMID!AP169, SWALES!AP169, SWEST!AP169, LPN!AP169,SPN!AP169,EPN!AP169,SPD!AP169,SPMW!AP169,SSEH!AP169,SSES!AP169)</f>
        <v>0</v>
      </c>
      <c r="AQ169" s="238">
        <f>CHOOSE(m_identity,ENWL!AQ169, NPgN!AQ169, NPgY!AQ169, WMID!AQ169, EMID!AQ169, SWALES!AQ169, SWEST!AQ169, LPN!AQ169,SPN!AQ169,EPN!AQ169,SPD!AQ169,SPMW!AQ169,SSEH!AQ169,SSES!AQ169)</f>
        <v>0</v>
      </c>
    </row>
    <row r="170" spans="5:43" s="158" customFormat="1" ht="15" customHeight="1">
      <c r="E170" s="268" t="s">
        <v>663</v>
      </c>
      <c r="F170" s="98"/>
      <c r="G170" s="98" t="s">
        <v>49</v>
      </c>
      <c r="AJ170" s="238">
        <f>CHOOSE(m_identity,ENWL!AJ170, NPgN!AJ170, NPgY!AJ170, WMID!AJ170, EMID!AJ170, SWALES!AJ170, SWEST!AJ170, LPN!AJ170,SPN!AJ170,EPN!AJ170,SPD!AJ170,SPMW!AJ170,SSEH!AJ170,SSES!AJ170)</f>
        <v>0.99332988044453996</v>
      </c>
      <c r="AK170" s="238">
        <f>CHOOSE(m_identity,ENWL!AK170, NPgN!AK170, NPgY!AK170, WMID!AK170, EMID!AK170, SWALES!AK170, SWEST!AK170, LPN!AK170,SPN!AK170,EPN!AK170,SPD!AK170,SPMW!AK170,SSEH!AK170,SSES!AK170)</f>
        <v>0.99332988044453996</v>
      </c>
      <c r="AL170" s="238">
        <f>CHOOSE(m_identity,ENWL!AL170, NPgN!AL170, NPgY!AL170, WMID!AL170, EMID!AL170, SWALES!AL170, SWEST!AL170, LPN!AL170,SPN!AL170,EPN!AL170,SPD!AL170,SPMW!AL170,SSEH!AL170,SSES!AL170)</f>
        <v>0.99332988044453996</v>
      </c>
      <c r="AM170" s="238">
        <f>CHOOSE(m_identity,ENWL!AM170, NPgN!AM170, NPgY!AM170, WMID!AM170, EMID!AM170, SWALES!AM170, SWEST!AM170, LPN!AM170,SPN!AM170,EPN!AM170,SPD!AM170,SPMW!AM170,SSEH!AM170,SSES!AM170)</f>
        <v>0.99332988044453985</v>
      </c>
      <c r="AN170" s="238">
        <f>CHOOSE(m_identity,ENWL!AN170, NPgN!AN170, NPgY!AN170, WMID!AN170, EMID!AN170, SWALES!AN170, SWEST!AN170, LPN!AN170,SPN!AN170,EPN!AN170,SPD!AN170,SPMW!AN170,SSEH!AN170,SSES!AN170)</f>
        <v>0.99332988044453996</v>
      </c>
      <c r="AO170" s="238">
        <f>CHOOSE(m_identity,ENWL!AO170, NPgN!AO170, NPgY!AO170, WMID!AO170, EMID!AO170, SWALES!AO170, SWEST!AO170, LPN!AO170,SPN!AO170,EPN!AO170,SPD!AO170,SPMW!AO170,SSEH!AO170,SSES!AO170)</f>
        <v>0.99332988044453985</v>
      </c>
      <c r="AP170" s="238">
        <f>CHOOSE(m_identity,ENWL!AP170, NPgN!AP170, NPgY!AP170, WMID!AP170, EMID!AP170, SWALES!AP170, SWEST!AP170, LPN!AP170,SPN!AP170,EPN!AP170,SPD!AP170,SPMW!AP170,SSEH!AP170,SSES!AP170)</f>
        <v>0.99332988044453985</v>
      </c>
      <c r="AQ170" s="238">
        <f>CHOOSE(m_identity,ENWL!AQ170, NPgN!AQ170, NPgY!AQ170, WMID!AQ170, EMID!AQ170, SWALES!AQ170, SWEST!AQ170, LPN!AQ170,SPN!AQ170,EPN!AQ170,SPD!AQ170,SPMW!AQ170,SSEH!AQ170,SSES!AQ170)</f>
        <v>0.99332988044453996</v>
      </c>
    </row>
    <row r="171" spans="5:43" s="158" customFormat="1" ht="15" customHeight="1">
      <c r="E171" s="268" t="s">
        <v>523</v>
      </c>
      <c r="F171" s="98"/>
      <c r="G171" s="98" t="s">
        <v>49</v>
      </c>
      <c r="AJ171" s="238">
        <f>CHOOSE(m_identity,ENWL!AJ171, NPgN!AJ171, NPgY!AJ171, WMID!AJ171, EMID!AJ171, SWALES!AJ171, SWEST!AJ171, LPN!AJ171,SPN!AJ171,EPN!AJ171,SPD!AJ171,SPMW!AJ171,SSEH!AJ171,SSES!AJ171)</f>
        <v>0</v>
      </c>
      <c r="AK171" s="238">
        <f>CHOOSE(m_identity,ENWL!AK171, NPgN!AK171, NPgY!AK171, WMID!AK171, EMID!AK171, SWALES!AK171, SWEST!AK171, LPN!AK171,SPN!AK171,EPN!AK171,SPD!AK171,SPMW!AK171,SSEH!AK171,SSES!AK171)</f>
        <v>0</v>
      </c>
      <c r="AL171" s="238">
        <f>CHOOSE(m_identity,ENWL!AL171, NPgN!AL171, NPgY!AL171, WMID!AL171, EMID!AL171, SWALES!AL171, SWEST!AL171, LPN!AL171,SPN!AL171,EPN!AL171,SPD!AL171,SPMW!AL171,SSEH!AL171,SSES!AL171)</f>
        <v>0</v>
      </c>
      <c r="AM171" s="238">
        <f>CHOOSE(m_identity,ENWL!AM171, NPgN!AM171, NPgY!AM171, WMID!AM171, EMID!AM171, SWALES!AM171, SWEST!AM171, LPN!AM171,SPN!AM171,EPN!AM171,SPD!AM171,SPMW!AM171,SSEH!AM171,SSES!AM171)</f>
        <v>0</v>
      </c>
      <c r="AN171" s="238">
        <f>CHOOSE(m_identity,ENWL!AN171, NPgN!AN171, NPgY!AN171, WMID!AN171, EMID!AN171, SWALES!AN171, SWEST!AN171, LPN!AN171,SPN!AN171,EPN!AN171,SPD!AN171,SPMW!AN171,SSEH!AN171,SSES!AN171)</f>
        <v>0</v>
      </c>
      <c r="AO171" s="238">
        <f>CHOOSE(m_identity,ENWL!AO171, NPgN!AO171, NPgY!AO171, WMID!AO171, EMID!AO171, SWALES!AO171, SWEST!AO171, LPN!AO171,SPN!AO171,EPN!AO171,SPD!AO171,SPMW!AO171,SSEH!AO171,SSES!AO171)</f>
        <v>0</v>
      </c>
      <c r="AP171" s="238">
        <f>CHOOSE(m_identity,ENWL!AP171, NPgN!AP171, NPgY!AP171, WMID!AP171, EMID!AP171, SWALES!AP171, SWEST!AP171, LPN!AP171,SPN!AP171,EPN!AP171,SPD!AP171,SPMW!AP171,SSEH!AP171,SSES!AP171)</f>
        <v>0</v>
      </c>
      <c r="AQ171" s="238">
        <f>CHOOSE(m_identity,ENWL!AQ171, NPgN!AQ171, NPgY!AQ171, WMID!AQ171, EMID!AQ171, SWALES!AQ171, SWEST!AQ171, LPN!AQ171,SPN!AQ171,EPN!AQ171,SPD!AQ171,SPMW!AQ171,SSEH!AQ171,SSES!AQ171)</f>
        <v>0</v>
      </c>
    </row>
    <row r="172" spans="5:43" s="158" customFormat="1" ht="15" customHeight="1">
      <c r="E172" s="268" t="s">
        <v>704</v>
      </c>
      <c r="F172" s="98"/>
      <c r="G172" s="98" t="s">
        <v>49</v>
      </c>
      <c r="AJ172" s="238">
        <f>CHOOSE(m_identity,ENWL!AJ172, NPgN!AJ172, NPgY!AJ172, WMID!AJ172, EMID!AJ172, SWALES!AJ172, SWEST!AJ172, LPN!AJ172,SPN!AJ172,EPN!AJ172,SPD!AJ172,SPMW!AJ172,SSEH!AJ172,SSES!AJ172)</f>
        <v>0</v>
      </c>
      <c r="AK172" s="238">
        <f>CHOOSE(m_identity,ENWL!AK172, NPgN!AK172, NPgY!AK172, WMID!AK172, EMID!AK172, SWALES!AK172, SWEST!AK172, LPN!AK172,SPN!AK172,EPN!AK172,SPD!AK172,SPMW!AK172,SSEH!AK172,SSES!AK172)</f>
        <v>0</v>
      </c>
      <c r="AL172" s="238">
        <f>CHOOSE(m_identity,ENWL!AL172, NPgN!AL172, NPgY!AL172, WMID!AL172, EMID!AL172, SWALES!AL172, SWEST!AL172, LPN!AL172,SPN!AL172,EPN!AL172,SPD!AL172,SPMW!AL172,SSEH!AL172,SSES!AL172)</f>
        <v>0</v>
      </c>
      <c r="AM172" s="238">
        <f>CHOOSE(m_identity,ENWL!AM172, NPgN!AM172, NPgY!AM172, WMID!AM172, EMID!AM172, SWALES!AM172, SWEST!AM172, LPN!AM172,SPN!AM172,EPN!AM172,SPD!AM172,SPMW!AM172,SSEH!AM172,SSES!AM172)</f>
        <v>0</v>
      </c>
      <c r="AN172" s="238">
        <f>CHOOSE(m_identity,ENWL!AN172, NPgN!AN172, NPgY!AN172, WMID!AN172, EMID!AN172, SWALES!AN172, SWEST!AN172, LPN!AN172,SPN!AN172,EPN!AN172,SPD!AN172,SPMW!AN172,SSEH!AN172,SSES!AN172)</f>
        <v>0</v>
      </c>
      <c r="AO172" s="238">
        <f>CHOOSE(m_identity,ENWL!AO172, NPgN!AO172, NPgY!AO172, WMID!AO172, EMID!AO172, SWALES!AO172, SWEST!AO172, LPN!AO172,SPN!AO172,EPN!AO172,SPD!AO172,SPMW!AO172,SSEH!AO172,SSES!AO172)</f>
        <v>0</v>
      </c>
      <c r="AP172" s="238">
        <f>CHOOSE(m_identity,ENWL!AP172, NPgN!AP172, NPgY!AP172, WMID!AP172, EMID!AP172, SWALES!AP172, SWEST!AP172, LPN!AP172,SPN!AP172,EPN!AP172,SPD!AP172,SPMW!AP172,SSEH!AP172,SSES!AP172)</f>
        <v>0</v>
      </c>
      <c r="AQ172" s="238">
        <f>CHOOSE(m_identity,ENWL!AQ172, NPgN!AQ172, NPgY!AQ172, WMID!AQ172, EMID!AQ172, SWALES!AQ172, SWEST!AQ172, LPN!AQ172,SPN!AQ172,EPN!AQ172,SPD!AQ172,SPMW!AQ172,SSEH!AQ172,SSES!AQ172)</f>
        <v>0</v>
      </c>
    </row>
    <row r="173" spans="5:43" s="158" customFormat="1" ht="15" customHeight="1">
      <c r="E173" s="550" t="s">
        <v>994</v>
      </c>
      <c r="F173" s="98"/>
      <c r="G173" s="98" t="s">
        <v>49</v>
      </c>
      <c r="AJ173" s="238">
        <f>CHOOSE(m_identity,ENWL!AJ173, NPgN!AJ173, NPgY!AJ173, WMID!AJ173, EMID!AJ173, SWALES!AJ173, SWEST!AJ173, LPN!AJ173,SPN!AJ173,EPN!AJ173,SPD!AJ173,SPMW!AJ173,SSEH!AJ173,SSES!AJ173)</f>
        <v>0</v>
      </c>
      <c r="AK173" s="238">
        <f>CHOOSE(m_identity,ENWL!AK173, NPgN!AK173, NPgY!AK173, WMID!AK173, EMID!AK173, SWALES!AK173, SWEST!AK173, LPN!AK173,SPN!AK173,EPN!AK173,SPD!AK173,SPMW!AK173,SSEH!AK173,SSES!AK173)</f>
        <v>0</v>
      </c>
      <c r="AL173" s="238">
        <f>CHOOSE(m_identity,ENWL!AL173, NPgN!AL173, NPgY!AL173, WMID!AL173, EMID!AL173, SWALES!AL173, SWEST!AL173, LPN!AL173,SPN!AL173,EPN!AL173,SPD!AL173,SPMW!AL173,SSEH!AL173,SSES!AL173)</f>
        <v>0</v>
      </c>
      <c r="AM173" s="238">
        <f>CHOOSE(m_identity,ENWL!AM173, NPgN!AM173, NPgY!AM173, WMID!AM173, EMID!AM173, SWALES!AM173, SWEST!AM173, LPN!AM173,SPN!AM173,EPN!AM173,SPD!AM173,SPMW!AM173,SSEH!AM173,SSES!AM173)</f>
        <v>0</v>
      </c>
      <c r="AN173" s="238">
        <f>CHOOSE(m_identity,ENWL!AN173, NPgN!AN173, NPgY!AN173, WMID!AN173, EMID!AN173, SWALES!AN173, SWEST!AN173, LPN!AN173,SPN!AN173,EPN!AN173,SPD!AN173,SPMW!AN173,SSEH!AN173,SSES!AN173)</f>
        <v>0</v>
      </c>
      <c r="AO173" s="238">
        <f>CHOOSE(m_identity,ENWL!AO173, NPgN!AO173, NPgY!AO173, WMID!AO173, EMID!AO173, SWALES!AO173, SWEST!AO173, LPN!AO173,SPN!AO173,EPN!AO173,SPD!AO173,SPMW!AO173,SSEH!AO173,SSES!AO173)</f>
        <v>0</v>
      </c>
      <c r="AP173" s="238">
        <f>CHOOSE(m_identity,ENWL!AP173, NPgN!AP173, NPgY!AP173, WMID!AP173, EMID!AP173, SWALES!AP173, SWEST!AP173, LPN!AP173,SPN!AP173,EPN!AP173,SPD!AP173,SPMW!AP173,SSEH!AP173,SSES!AP173)</f>
        <v>0</v>
      </c>
      <c r="AQ173" s="238">
        <f>CHOOSE(m_identity,ENWL!AQ173, NPgN!AQ173, NPgY!AQ173, WMID!AQ173, EMID!AQ173, SWALES!AQ173, SWEST!AQ173, LPN!AQ173,SPN!AQ173,EPN!AQ173,SPD!AQ173,SPMW!AQ173,SSEH!AQ173,SSES!AQ173)</f>
        <v>0</v>
      </c>
    </row>
    <row r="174" spans="5:43" s="158" customFormat="1" ht="15" customHeight="1">
      <c r="E174" s="268" t="s">
        <v>920</v>
      </c>
      <c r="F174" s="98"/>
      <c r="G174" s="98" t="s">
        <v>49</v>
      </c>
      <c r="AJ174" s="238">
        <f>CHOOSE(m_identity,ENWL!AJ174, NPgN!AJ174, NPgY!AJ174, WMID!AJ174, EMID!AJ174, SWALES!AJ174, SWEST!AJ174, LPN!AJ174,SPN!AJ174,EPN!AJ174,SPD!AJ174,SPMW!AJ174,SSEH!AJ174,SSES!AJ174)</f>
        <v>6.6701195554600412E-3</v>
      </c>
      <c r="AK174" s="238">
        <f>CHOOSE(m_identity,ENWL!AK174, NPgN!AK174, NPgY!AK174, WMID!AK174, EMID!AK174, SWALES!AK174, SWEST!AK174, LPN!AK174,SPN!AK174,EPN!AK174,SPD!AK174,SPMW!AK174,SSEH!AK174,SSES!AK174)</f>
        <v>6.6701195554600412E-3</v>
      </c>
      <c r="AL174" s="238">
        <f>CHOOSE(m_identity,ENWL!AL174, NPgN!AL174, NPgY!AL174, WMID!AL174, EMID!AL174, SWALES!AL174, SWEST!AL174, LPN!AL174,SPN!AL174,EPN!AL174,SPD!AL174,SPMW!AL174,SSEH!AL174,SSES!AL174)</f>
        <v>6.6701195554600412E-3</v>
      </c>
      <c r="AM174" s="238">
        <f>CHOOSE(m_identity,ENWL!AM174, NPgN!AM174, NPgY!AM174, WMID!AM174, EMID!AM174, SWALES!AM174, SWEST!AM174, LPN!AM174,SPN!AM174,EPN!AM174,SPD!AM174,SPMW!AM174,SSEH!AM174,SSES!AM174)</f>
        <v>6.6701195554601522E-3</v>
      </c>
      <c r="AN174" s="238">
        <f>CHOOSE(m_identity,ENWL!AN174, NPgN!AN174, NPgY!AN174, WMID!AN174, EMID!AN174, SWALES!AN174, SWEST!AN174, LPN!AN174,SPN!AN174,EPN!AN174,SPD!AN174,SPMW!AN174,SSEH!AN174,SSES!AN174)</f>
        <v>6.6701195554600412E-3</v>
      </c>
      <c r="AO174" s="238">
        <f>CHOOSE(m_identity,ENWL!AO174, NPgN!AO174, NPgY!AO174, WMID!AO174, EMID!AO174, SWALES!AO174, SWEST!AO174, LPN!AO174,SPN!AO174,EPN!AO174,SPD!AO174,SPMW!AO174,SSEH!AO174,SSES!AO174)</f>
        <v>6.6701195554601522E-3</v>
      </c>
      <c r="AP174" s="238">
        <f>CHOOSE(m_identity,ENWL!AP174, NPgN!AP174, NPgY!AP174, WMID!AP174, EMID!AP174, SWALES!AP174, SWEST!AP174, LPN!AP174,SPN!AP174,EPN!AP174,SPD!AP174,SPMW!AP174,SSEH!AP174,SSES!AP174)</f>
        <v>6.6701195554601522E-3</v>
      </c>
      <c r="AQ174" s="238">
        <f>CHOOSE(m_identity,ENWL!AQ174, NPgN!AQ174, NPgY!AQ174, WMID!AQ174, EMID!AQ174, SWALES!AQ174, SWEST!AQ174, LPN!AQ174,SPN!AQ174,EPN!AQ174,SPD!AQ174,SPMW!AQ174,SSEH!AQ174,SSES!AQ174)</f>
        <v>6.6701195554600412E-3</v>
      </c>
    </row>
    <row r="175" spans="5:43" s="158" customFormat="1" ht="15" customHeight="1">
      <c r="E175" s="268" t="s">
        <v>524</v>
      </c>
      <c r="F175" s="98"/>
      <c r="G175" s="98" t="s">
        <v>49</v>
      </c>
      <c r="AJ175" s="238">
        <f>CHOOSE(m_identity,ENWL!AJ175, NPgN!AJ175, NPgY!AJ175, WMID!AJ175, EMID!AJ175, SWALES!AJ175, SWEST!AJ175, LPN!AJ175,SPN!AJ175,EPN!AJ175,SPD!AJ175,SPMW!AJ175,SSEH!AJ175,SSES!AJ175)</f>
        <v>0</v>
      </c>
      <c r="AK175" s="238">
        <f>CHOOSE(m_identity,ENWL!AK175, NPgN!AK175, NPgY!AK175, WMID!AK175, EMID!AK175, SWALES!AK175, SWEST!AK175, LPN!AK175,SPN!AK175,EPN!AK175,SPD!AK175,SPMW!AK175,SSEH!AK175,SSES!AK175)</f>
        <v>0</v>
      </c>
      <c r="AL175" s="238">
        <f>CHOOSE(m_identity,ENWL!AL175, NPgN!AL175, NPgY!AL175, WMID!AL175, EMID!AL175, SWALES!AL175, SWEST!AL175, LPN!AL175,SPN!AL175,EPN!AL175,SPD!AL175,SPMW!AL175,SSEH!AL175,SSES!AL175)</f>
        <v>0</v>
      </c>
      <c r="AM175" s="238">
        <f>CHOOSE(m_identity,ENWL!AM175, NPgN!AM175, NPgY!AM175, WMID!AM175, EMID!AM175, SWALES!AM175, SWEST!AM175, LPN!AM175,SPN!AM175,EPN!AM175,SPD!AM175,SPMW!AM175,SSEH!AM175,SSES!AM175)</f>
        <v>0</v>
      </c>
      <c r="AN175" s="238">
        <f>CHOOSE(m_identity,ENWL!AN175, NPgN!AN175, NPgY!AN175, WMID!AN175, EMID!AN175, SWALES!AN175, SWEST!AN175, LPN!AN175,SPN!AN175,EPN!AN175,SPD!AN175,SPMW!AN175,SSEH!AN175,SSES!AN175)</f>
        <v>0</v>
      </c>
      <c r="AO175" s="238">
        <f>CHOOSE(m_identity,ENWL!AO175, NPgN!AO175, NPgY!AO175, WMID!AO175, EMID!AO175, SWALES!AO175, SWEST!AO175, LPN!AO175,SPN!AO175,EPN!AO175,SPD!AO175,SPMW!AO175,SSEH!AO175,SSES!AO175)</f>
        <v>0</v>
      </c>
      <c r="AP175" s="238">
        <f>CHOOSE(m_identity,ENWL!AP175, NPgN!AP175, NPgY!AP175, WMID!AP175, EMID!AP175, SWALES!AP175, SWEST!AP175, LPN!AP175,SPN!AP175,EPN!AP175,SPD!AP175,SPMW!AP175,SSEH!AP175,SSES!AP175)</f>
        <v>0</v>
      </c>
      <c r="AQ175" s="238">
        <f>CHOOSE(m_identity,ENWL!AQ175, NPgN!AQ175, NPgY!AQ175, WMID!AQ175, EMID!AQ175, SWALES!AQ175, SWEST!AQ175, LPN!AQ175,SPN!AQ175,EPN!AQ175,SPD!AQ175,SPMW!AQ175,SSEH!AQ175,SSES!AQ175)</f>
        <v>0</v>
      </c>
    </row>
    <row r="176" spans="5:43" s="158" customFormat="1" ht="15" customHeight="1"/>
    <row r="177" spans="5:43" s="98" customFormat="1" ht="15" customHeight="1">
      <c r="E177" s="154" t="str">
        <f>E27</f>
        <v>Spare 1</v>
      </c>
      <c r="G177" s="98" t="s">
        <v>844</v>
      </c>
      <c r="I177" s="58"/>
      <c r="AJ177" s="221">
        <f>AJ27</f>
        <v>0</v>
      </c>
      <c r="AK177" s="221">
        <f>AK27</f>
        <v>0</v>
      </c>
      <c r="AL177" s="221">
        <f t="shared" ref="AL177:AQ177" si="10">AL27</f>
        <v>0</v>
      </c>
      <c r="AM177" s="221">
        <f t="shared" si="10"/>
        <v>0</v>
      </c>
      <c r="AN177" s="221">
        <f>AN27</f>
        <v>0</v>
      </c>
      <c r="AO177" s="221">
        <f t="shared" si="10"/>
        <v>0</v>
      </c>
      <c r="AP177" s="221">
        <f t="shared" si="10"/>
        <v>0</v>
      </c>
      <c r="AQ177" s="221">
        <f t="shared" si="10"/>
        <v>0</v>
      </c>
    </row>
    <row r="178" spans="5:43" s="98" customFormat="1" ht="15" customHeight="1">
      <c r="E178" s="268" t="s">
        <v>522</v>
      </c>
      <c r="G178" s="98" t="s">
        <v>49</v>
      </c>
      <c r="I178" s="158"/>
      <c r="AJ178" s="238">
        <f>CHOOSE(m_identity,ENWL!AJ178, NPgN!AJ178, NPgY!AJ178, WMID!AJ178, EMID!AJ178, SWALES!AJ178, SWEST!AJ178, LPN!AJ178,SPN!AJ178,EPN!AJ178,SPD!AJ178,SPMW!AJ178,SSEH!AJ178,SSES!AJ178)</f>
        <v>0</v>
      </c>
      <c r="AK178" s="238">
        <f>CHOOSE(m_identity,ENWL!AK178, NPgN!AK178, NPgY!AK178, WMID!AK178, EMID!AK178, SWALES!AK178, SWEST!AK178, LPN!AK178,SPN!AK178,EPN!AK178,SPD!AK178,SPMW!AK178,SSEH!AK178,SSES!AK178)</f>
        <v>0</v>
      </c>
      <c r="AL178" s="238">
        <f>CHOOSE(m_identity,ENWL!AL178, NPgN!AL178, NPgY!AL178, WMID!AL178, EMID!AL178, SWALES!AL178, SWEST!AL178, LPN!AL178,SPN!AL178,EPN!AL178,SPD!AL178,SPMW!AL178,SSEH!AL178,SSES!AL178)</f>
        <v>0</v>
      </c>
      <c r="AM178" s="238">
        <f>CHOOSE(m_identity,ENWL!AM178, NPgN!AM178, NPgY!AM178, WMID!AM178, EMID!AM178, SWALES!AM178, SWEST!AM178, LPN!AM178,SPN!AM178,EPN!AM178,SPD!AM178,SPMW!AM178,SSEH!AM178,SSES!AM178)</f>
        <v>0</v>
      </c>
      <c r="AN178" s="238">
        <f>CHOOSE(m_identity,ENWL!AN178, NPgN!AN178, NPgY!AN178, WMID!AN178, EMID!AN178, SWALES!AN178, SWEST!AN178, LPN!AN178,SPN!AN178,EPN!AN178,SPD!AN178,SPMW!AN178,SSEH!AN178,SSES!AN178)</f>
        <v>0</v>
      </c>
      <c r="AO178" s="238">
        <f>CHOOSE(m_identity,ENWL!AO178, NPgN!AO178, NPgY!AO178, WMID!AO178, EMID!AO178, SWALES!AO178, SWEST!AO178, LPN!AO178,SPN!AO178,EPN!AO178,SPD!AO178,SPMW!AO178,SSEH!AO178,SSES!AO178)</f>
        <v>0</v>
      </c>
      <c r="AP178" s="238">
        <f>CHOOSE(m_identity,ENWL!AP178, NPgN!AP178, NPgY!AP178, WMID!AP178, EMID!AP178, SWALES!AP178, SWEST!AP178, LPN!AP178,SPN!AP178,EPN!AP178,SPD!AP178,SPMW!AP178,SSEH!AP178,SSES!AP178)</f>
        <v>0</v>
      </c>
      <c r="AQ178" s="238">
        <f>CHOOSE(m_identity,ENWL!AQ178, NPgN!AQ178, NPgY!AQ178, WMID!AQ178, EMID!AQ178, SWALES!AQ178, SWEST!AQ178, LPN!AQ178,SPN!AQ178,EPN!AQ178,SPD!AQ178,SPMW!AQ178,SSEH!AQ178,SSES!AQ178)</f>
        <v>0</v>
      </c>
    </row>
    <row r="179" spans="5:43" s="98" customFormat="1" ht="15" customHeight="1">
      <c r="E179" s="268" t="s">
        <v>663</v>
      </c>
      <c r="G179" s="98" t="s">
        <v>49</v>
      </c>
      <c r="I179" s="158"/>
      <c r="AJ179" s="238">
        <f>CHOOSE(m_identity,ENWL!AJ179, NPgN!AJ179, NPgY!AJ179, WMID!AJ179, EMID!AJ179, SWALES!AJ179, SWEST!AJ179, LPN!AJ179,SPN!AJ179,EPN!AJ179,SPD!AJ179,SPMW!AJ179,SSEH!AJ179,SSES!AJ179)</f>
        <v>0</v>
      </c>
      <c r="AK179" s="238">
        <f>CHOOSE(m_identity,ENWL!AK179, NPgN!AK179, NPgY!AK179, WMID!AK179, EMID!AK179, SWALES!AK179, SWEST!AK179, LPN!AK179,SPN!AK179,EPN!AK179,SPD!AK179,SPMW!AK179,SSEH!AK179,SSES!AK179)</f>
        <v>0</v>
      </c>
      <c r="AL179" s="238">
        <f>CHOOSE(m_identity,ENWL!AL179, NPgN!AL179, NPgY!AL179, WMID!AL179, EMID!AL179, SWALES!AL179, SWEST!AL179, LPN!AL179,SPN!AL179,EPN!AL179,SPD!AL179,SPMW!AL179,SSEH!AL179,SSES!AL179)</f>
        <v>0</v>
      </c>
      <c r="AM179" s="238">
        <f>CHOOSE(m_identity,ENWL!AM179, NPgN!AM179, NPgY!AM179, WMID!AM179, EMID!AM179, SWALES!AM179, SWEST!AM179, LPN!AM179,SPN!AM179,EPN!AM179,SPD!AM179,SPMW!AM179,SSEH!AM179,SSES!AM179)</f>
        <v>0</v>
      </c>
      <c r="AN179" s="238">
        <f>CHOOSE(m_identity,ENWL!AN179, NPgN!AN179, NPgY!AN179, WMID!AN179, EMID!AN179, SWALES!AN179, SWEST!AN179, LPN!AN179,SPN!AN179,EPN!AN179,SPD!AN179,SPMW!AN179,SSEH!AN179,SSES!AN179)</f>
        <v>0</v>
      </c>
      <c r="AO179" s="238">
        <f>CHOOSE(m_identity,ENWL!AO179, NPgN!AO179, NPgY!AO179, WMID!AO179, EMID!AO179, SWALES!AO179, SWEST!AO179, LPN!AO179,SPN!AO179,EPN!AO179,SPD!AO179,SPMW!AO179,SSEH!AO179,SSES!AO179)</f>
        <v>0</v>
      </c>
      <c r="AP179" s="238">
        <f>CHOOSE(m_identity,ENWL!AP179, NPgN!AP179, NPgY!AP179, WMID!AP179, EMID!AP179, SWALES!AP179, SWEST!AP179, LPN!AP179,SPN!AP179,EPN!AP179,SPD!AP179,SPMW!AP179,SSEH!AP179,SSES!AP179)</f>
        <v>0</v>
      </c>
      <c r="AQ179" s="238">
        <f>CHOOSE(m_identity,ENWL!AQ179, NPgN!AQ179, NPgY!AQ179, WMID!AQ179, EMID!AQ179, SWALES!AQ179, SWEST!AQ179, LPN!AQ179,SPN!AQ179,EPN!AQ179,SPD!AQ179,SPMW!AQ179,SSEH!AQ179,SSES!AQ179)</f>
        <v>0</v>
      </c>
    </row>
    <row r="180" spans="5:43" s="98" customFormat="1" ht="15" customHeight="1">
      <c r="E180" s="268" t="s">
        <v>523</v>
      </c>
      <c r="G180" s="98" t="s">
        <v>49</v>
      </c>
      <c r="I180" s="158"/>
      <c r="AJ180" s="238">
        <f>CHOOSE(m_identity,ENWL!AJ180, NPgN!AJ180, NPgY!AJ180, WMID!AJ180, EMID!AJ180, SWALES!AJ180, SWEST!AJ180, LPN!AJ180,SPN!AJ180,EPN!AJ180,SPD!AJ180,SPMW!AJ180,SSEH!AJ180,SSES!AJ180)</f>
        <v>0</v>
      </c>
      <c r="AK180" s="238">
        <f>CHOOSE(m_identity,ENWL!AK180, NPgN!AK180, NPgY!AK180, WMID!AK180, EMID!AK180, SWALES!AK180, SWEST!AK180, LPN!AK180,SPN!AK180,EPN!AK180,SPD!AK180,SPMW!AK180,SSEH!AK180,SSES!AK180)</f>
        <v>0</v>
      </c>
      <c r="AL180" s="238">
        <f>CHOOSE(m_identity,ENWL!AL180, NPgN!AL180, NPgY!AL180, WMID!AL180, EMID!AL180, SWALES!AL180, SWEST!AL180, LPN!AL180,SPN!AL180,EPN!AL180,SPD!AL180,SPMW!AL180,SSEH!AL180,SSES!AL180)</f>
        <v>0</v>
      </c>
      <c r="AM180" s="238">
        <f>CHOOSE(m_identity,ENWL!AM180, NPgN!AM180, NPgY!AM180, WMID!AM180, EMID!AM180, SWALES!AM180, SWEST!AM180, LPN!AM180,SPN!AM180,EPN!AM180,SPD!AM180,SPMW!AM180,SSEH!AM180,SSES!AM180)</f>
        <v>0</v>
      </c>
      <c r="AN180" s="238">
        <f>CHOOSE(m_identity,ENWL!AN180, NPgN!AN180, NPgY!AN180, WMID!AN180, EMID!AN180, SWALES!AN180, SWEST!AN180, LPN!AN180,SPN!AN180,EPN!AN180,SPD!AN180,SPMW!AN180,SSEH!AN180,SSES!AN180)</f>
        <v>0</v>
      </c>
      <c r="AO180" s="238">
        <f>CHOOSE(m_identity,ENWL!AO180, NPgN!AO180, NPgY!AO180, WMID!AO180, EMID!AO180, SWALES!AO180, SWEST!AO180, LPN!AO180,SPN!AO180,EPN!AO180,SPD!AO180,SPMW!AO180,SSEH!AO180,SSES!AO180)</f>
        <v>0</v>
      </c>
      <c r="AP180" s="238">
        <f>CHOOSE(m_identity,ENWL!AP180, NPgN!AP180, NPgY!AP180, WMID!AP180, EMID!AP180, SWALES!AP180, SWEST!AP180, LPN!AP180,SPN!AP180,EPN!AP180,SPD!AP180,SPMW!AP180,SSEH!AP180,SSES!AP180)</f>
        <v>0</v>
      </c>
      <c r="AQ180" s="238">
        <f>CHOOSE(m_identity,ENWL!AQ180, NPgN!AQ180, NPgY!AQ180, WMID!AQ180, EMID!AQ180, SWALES!AQ180, SWEST!AQ180, LPN!AQ180,SPN!AQ180,EPN!AQ180,SPD!AQ180,SPMW!AQ180,SSEH!AQ180,SSES!AQ180)</f>
        <v>0</v>
      </c>
    </row>
    <row r="181" spans="5:43" s="98" customFormat="1" ht="15" customHeight="1">
      <c r="E181" s="268" t="s">
        <v>704</v>
      </c>
      <c r="G181" s="98" t="s">
        <v>49</v>
      </c>
      <c r="I181" s="158"/>
      <c r="AJ181" s="238">
        <f>CHOOSE(m_identity,ENWL!AJ181, NPgN!AJ181, NPgY!AJ181, WMID!AJ181, EMID!AJ181, SWALES!AJ181, SWEST!AJ181, LPN!AJ181,SPN!AJ181,EPN!AJ181,SPD!AJ181,SPMW!AJ181,SSEH!AJ181,SSES!AJ181)</f>
        <v>0</v>
      </c>
      <c r="AK181" s="238">
        <f>CHOOSE(m_identity,ENWL!AK181, NPgN!AK181, NPgY!AK181, WMID!AK181, EMID!AK181, SWALES!AK181, SWEST!AK181, LPN!AK181,SPN!AK181,EPN!AK181,SPD!AK181,SPMW!AK181,SSEH!AK181,SSES!AK181)</f>
        <v>0</v>
      </c>
      <c r="AL181" s="238">
        <f>CHOOSE(m_identity,ENWL!AL181, NPgN!AL181, NPgY!AL181, WMID!AL181, EMID!AL181, SWALES!AL181, SWEST!AL181, LPN!AL181,SPN!AL181,EPN!AL181,SPD!AL181,SPMW!AL181,SSEH!AL181,SSES!AL181)</f>
        <v>0</v>
      </c>
      <c r="AM181" s="238">
        <f>CHOOSE(m_identity,ENWL!AM181, NPgN!AM181, NPgY!AM181, WMID!AM181, EMID!AM181, SWALES!AM181, SWEST!AM181, LPN!AM181,SPN!AM181,EPN!AM181,SPD!AM181,SPMW!AM181,SSEH!AM181,SSES!AM181)</f>
        <v>0</v>
      </c>
      <c r="AN181" s="238">
        <f>CHOOSE(m_identity,ENWL!AN181, NPgN!AN181, NPgY!AN181, WMID!AN181, EMID!AN181, SWALES!AN181, SWEST!AN181, LPN!AN181,SPN!AN181,EPN!AN181,SPD!AN181,SPMW!AN181,SSEH!AN181,SSES!AN181)</f>
        <v>0</v>
      </c>
      <c r="AO181" s="238">
        <f>CHOOSE(m_identity,ENWL!AO181, NPgN!AO181, NPgY!AO181, WMID!AO181, EMID!AO181, SWALES!AO181, SWEST!AO181, LPN!AO181,SPN!AO181,EPN!AO181,SPD!AO181,SPMW!AO181,SSEH!AO181,SSES!AO181)</f>
        <v>0</v>
      </c>
      <c r="AP181" s="238">
        <f>CHOOSE(m_identity,ENWL!AP181, NPgN!AP181, NPgY!AP181, WMID!AP181, EMID!AP181, SWALES!AP181, SWEST!AP181, LPN!AP181,SPN!AP181,EPN!AP181,SPD!AP181,SPMW!AP181,SSEH!AP181,SSES!AP181)</f>
        <v>0</v>
      </c>
      <c r="AQ181" s="238">
        <f>CHOOSE(m_identity,ENWL!AQ181, NPgN!AQ181, NPgY!AQ181, WMID!AQ181, EMID!AQ181, SWALES!AQ181, SWEST!AQ181, LPN!AQ181,SPN!AQ181,EPN!AQ181,SPD!AQ181,SPMW!AQ181,SSEH!AQ181,SSES!AQ181)</f>
        <v>0</v>
      </c>
    </row>
    <row r="182" spans="5:43" s="98" customFormat="1" ht="15" customHeight="1">
      <c r="E182" s="550" t="s">
        <v>994</v>
      </c>
      <c r="G182" s="98" t="s">
        <v>49</v>
      </c>
      <c r="I182" s="158"/>
      <c r="AJ182" s="238">
        <f>CHOOSE(m_identity,ENWL!AJ182, NPgN!AJ182, NPgY!AJ182, WMID!AJ182, EMID!AJ182, SWALES!AJ182, SWEST!AJ182, LPN!AJ182,SPN!AJ182,EPN!AJ182,SPD!AJ182,SPMW!AJ182,SSEH!AJ182,SSES!AJ182)</f>
        <v>0</v>
      </c>
      <c r="AK182" s="238">
        <f>CHOOSE(m_identity,ENWL!AK182, NPgN!AK182, NPgY!AK182, WMID!AK182, EMID!AK182, SWALES!AK182, SWEST!AK182, LPN!AK182,SPN!AK182,EPN!AK182,SPD!AK182,SPMW!AK182,SSEH!AK182,SSES!AK182)</f>
        <v>0</v>
      </c>
      <c r="AL182" s="238">
        <f>CHOOSE(m_identity,ENWL!AL182, NPgN!AL182, NPgY!AL182, WMID!AL182, EMID!AL182, SWALES!AL182, SWEST!AL182, LPN!AL182,SPN!AL182,EPN!AL182,SPD!AL182,SPMW!AL182,SSEH!AL182,SSES!AL182)</f>
        <v>0</v>
      </c>
      <c r="AM182" s="238">
        <f>CHOOSE(m_identity,ENWL!AM182, NPgN!AM182, NPgY!AM182, WMID!AM182, EMID!AM182, SWALES!AM182, SWEST!AM182, LPN!AM182,SPN!AM182,EPN!AM182,SPD!AM182,SPMW!AM182,SSEH!AM182,SSES!AM182)</f>
        <v>0</v>
      </c>
      <c r="AN182" s="238">
        <f>CHOOSE(m_identity,ENWL!AN182, NPgN!AN182, NPgY!AN182, WMID!AN182, EMID!AN182, SWALES!AN182, SWEST!AN182, LPN!AN182,SPN!AN182,EPN!AN182,SPD!AN182,SPMW!AN182,SSEH!AN182,SSES!AN182)</f>
        <v>0</v>
      </c>
      <c r="AO182" s="238">
        <f>CHOOSE(m_identity,ENWL!AO182, NPgN!AO182, NPgY!AO182, WMID!AO182, EMID!AO182, SWALES!AO182, SWEST!AO182, LPN!AO182,SPN!AO182,EPN!AO182,SPD!AO182,SPMW!AO182,SSEH!AO182,SSES!AO182)</f>
        <v>0</v>
      </c>
      <c r="AP182" s="238">
        <f>CHOOSE(m_identity,ENWL!AP182, NPgN!AP182, NPgY!AP182, WMID!AP182, EMID!AP182, SWALES!AP182, SWEST!AP182, LPN!AP182,SPN!AP182,EPN!AP182,SPD!AP182,SPMW!AP182,SSEH!AP182,SSES!AP182)</f>
        <v>0</v>
      </c>
      <c r="AQ182" s="238">
        <f>CHOOSE(m_identity,ENWL!AQ182, NPgN!AQ182, NPgY!AQ182, WMID!AQ182, EMID!AQ182, SWALES!AQ182, SWEST!AQ182, LPN!AQ182,SPN!AQ182,EPN!AQ182,SPD!AQ182,SPMW!AQ182,SSEH!AQ182,SSES!AQ182)</f>
        <v>0</v>
      </c>
    </row>
    <row r="183" spans="5:43" s="98" customFormat="1" ht="15" customHeight="1">
      <c r="E183" s="268" t="s">
        <v>920</v>
      </c>
      <c r="G183" s="98" t="s">
        <v>49</v>
      </c>
      <c r="I183" s="158"/>
      <c r="AJ183" s="238">
        <f>CHOOSE(m_identity,ENWL!AJ183, NPgN!AJ183, NPgY!AJ183, WMID!AJ183, EMID!AJ183, SWALES!AJ183, SWEST!AJ183, LPN!AJ183,SPN!AJ183,EPN!AJ183,SPD!AJ183,SPMW!AJ183,SSEH!AJ183,SSES!AJ183)</f>
        <v>0</v>
      </c>
      <c r="AK183" s="238">
        <f>CHOOSE(m_identity,ENWL!AK183, NPgN!AK183, NPgY!AK183, WMID!AK183, EMID!AK183, SWALES!AK183, SWEST!AK183, LPN!AK183,SPN!AK183,EPN!AK183,SPD!AK183,SPMW!AK183,SSEH!AK183,SSES!AK183)</f>
        <v>0</v>
      </c>
      <c r="AL183" s="238">
        <f>CHOOSE(m_identity,ENWL!AL183, NPgN!AL183, NPgY!AL183, WMID!AL183, EMID!AL183, SWALES!AL183, SWEST!AL183, LPN!AL183,SPN!AL183,EPN!AL183,SPD!AL183,SPMW!AL183,SSEH!AL183,SSES!AL183)</f>
        <v>0</v>
      </c>
      <c r="AM183" s="238">
        <f>CHOOSE(m_identity,ENWL!AM183, NPgN!AM183, NPgY!AM183, WMID!AM183, EMID!AM183, SWALES!AM183, SWEST!AM183, LPN!AM183,SPN!AM183,EPN!AM183,SPD!AM183,SPMW!AM183,SSEH!AM183,SSES!AM183)</f>
        <v>0</v>
      </c>
      <c r="AN183" s="238">
        <f>CHOOSE(m_identity,ENWL!AN183, NPgN!AN183, NPgY!AN183, WMID!AN183, EMID!AN183, SWALES!AN183, SWEST!AN183, LPN!AN183,SPN!AN183,EPN!AN183,SPD!AN183,SPMW!AN183,SSEH!AN183,SSES!AN183)</f>
        <v>0</v>
      </c>
      <c r="AO183" s="238">
        <f>CHOOSE(m_identity,ENWL!AO183, NPgN!AO183, NPgY!AO183, WMID!AO183, EMID!AO183, SWALES!AO183, SWEST!AO183, LPN!AO183,SPN!AO183,EPN!AO183,SPD!AO183,SPMW!AO183,SSEH!AO183,SSES!AO183)</f>
        <v>0</v>
      </c>
      <c r="AP183" s="238">
        <f>CHOOSE(m_identity,ENWL!AP183, NPgN!AP183, NPgY!AP183, WMID!AP183, EMID!AP183, SWALES!AP183, SWEST!AP183, LPN!AP183,SPN!AP183,EPN!AP183,SPD!AP183,SPMW!AP183,SSEH!AP183,SSES!AP183)</f>
        <v>0</v>
      </c>
      <c r="AQ183" s="238">
        <f>CHOOSE(m_identity,ENWL!AQ183, NPgN!AQ183, NPgY!AQ183, WMID!AQ183, EMID!AQ183, SWALES!AQ183, SWEST!AQ183, LPN!AQ183,SPN!AQ183,EPN!AQ183,SPD!AQ183,SPMW!AQ183,SSEH!AQ183,SSES!AQ183)</f>
        <v>0</v>
      </c>
    </row>
    <row r="184" spans="5:43" s="98" customFormat="1" ht="15" customHeight="1">
      <c r="E184" s="268" t="s">
        <v>524</v>
      </c>
      <c r="G184" s="98" t="s">
        <v>49</v>
      </c>
      <c r="I184" s="158"/>
      <c r="AJ184" s="238">
        <f>CHOOSE(m_identity,ENWL!AJ184, NPgN!AJ184, NPgY!AJ184, WMID!AJ184, EMID!AJ184, SWALES!AJ184, SWEST!AJ184, LPN!AJ184,SPN!AJ184,EPN!AJ184,SPD!AJ184,SPMW!AJ184,SSEH!AJ184,SSES!AJ184)</f>
        <v>0</v>
      </c>
      <c r="AK184" s="238">
        <f>CHOOSE(m_identity,ENWL!AK184, NPgN!AK184, NPgY!AK184, WMID!AK184, EMID!AK184, SWALES!AK184, SWEST!AK184, LPN!AK184,SPN!AK184,EPN!AK184,SPD!AK184,SPMW!AK184,SSEH!AK184,SSES!AK184)</f>
        <v>0</v>
      </c>
      <c r="AL184" s="238">
        <f>CHOOSE(m_identity,ENWL!AL184, NPgN!AL184, NPgY!AL184, WMID!AL184, EMID!AL184, SWALES!AL184, SWEST!AL184, LPN!AL184,SPN!AL184,EPN!AL184,SPD!AL184,SPMW!AL184,SSEH!AL184,SSES!AL184)</f>
        <v>0</v>
      </c>
      <c r="AM184" s="238">
        <f>CHOOSE(m_identity,ENWL!AM184, NPgN!AM184, NPgY!AM184, WMID!AM184, EMID!AM184, SWALES!AM184, SWEST!AM184, LPN!AM184,SPN!AM184,EPN!AM184,SPD!AM184,SPMW!AM184,SSEH!AM184,SSES!AM184)</f>
        <v>0</v>
      </c>
      <c r="AN184" s="238">
        <f>CHOOSE(m_identity,ENWL!AN184, NPgN!AN184, NPgY!AN184, WMID!AN184, EMID!AN184, SWALES!AN184, SWEST!AN184, LPN!AN184,SPN!AN184,EPN!AN184,SPD!AN184,SPMW!AN184,SSEH!AN184,SSES!AN184)</f>
        <v>0</v>
      </c>
      <c r="AO184" s="238">
        <f>CHOOSE(m_identity,ENWL!AO184, NPgN!AO184, NPgY!AO184, WMID!AO184, EMID!AO184, SWALES!AO184, SWEST!AO184, LPN!AO184,SPN!AO184,EPN!AO184,SPD!AO184,SPMW!AO184,SSEH!AO184,SSES!AO184)</f>
        <v>0</v>
      </c>
      <c r="AP184" s="238">
        <f>CHOOSE(m_identity,ENWL!AP184, NPgN!AP184, NPgY!AP184, WMID!AP184, EMID!AP184, SWALES!AP184, SWEST!AP184, LPN!AP184,SPN!AP184,EPN!AP184,SPD!AP184,SPMW!AP184,SSEH!AP184,SSES!AP184)</f>
        <v>0</v>
      </c>
      <c r="AQ184" s="238">
        <f>CHOOSE(m_identity,ENWL!AQ184, NPgN!AQ184, NPgY!AQ184, WMID!AQ184, EMID!AQ184, SWALES!AQ184, SWEST!AQ184, LPN!AQ184,SPN!AQ184,EPN!AQ184,SPD!AQ184,SPMW!AQ184,SSEH!AQ184,SSES!AQ184)</f>
        <v>0</v>
      </c>
    </row>
    <row r="186" spans="5:43" s="158" customFormat="1" ht="15" customHeight="1">
      <c r="E186" s="154" t="str">
        <f>E28</f>
        <v>Spare 2</v>
      </c>
      <c r="F186" s="98"/>
      <c r="G186" s="98" t="s">
        <v>844</v>
      </c>
      <c r="AJ186" s="221">
        <f t="shared" ref="AJ186:AQ186" si="11">AJ28</f>
        <v>0</v>
      </c>
      <c r="AK186" s="221">
        <f t="shared" si="11"/>
        <v>0</v>
      </c>
      <c r="AL186" s="221">
        <f t="shared" si="11"/>
        <v>0</v>
      </c>
      <c r="AM186" s="221">
        <f t="shared" si="11"/>
        <v>0</v>
      </c>
      <c r="AN186" s="221">
        <f t="shared" si="11"/>
        <v>0</v>
      </c>
      <c r="AO186" s="221">
        <f t="shared" si="11"/>
        <v>0</v>
      </c>
      <c r="AP186" s="221">
        <f t="shared" si="11"/>
        <v>0</v>
      </c>
      <c r="AQ186" s="221">
        <f t="shared" si="11"/>
        <v>0</v>
      </c>
    </row>
    <row r="187" spans="5:43" s="158" customFormat="1" ht="15" customHeight="1">
      <c r="E187" s="268" t="s">
        <v>522</v>
      </c>
      <c r="F187" s="98"/>
      <c r="G187" s="98" t="s">
        <v>49</v>
      </c>
      <c r="AJ187" s="238">
        <f>CHOOSE(m_identity,ENWL!AJ187, NPgN!AJ187, NPgY!AJ187, WMID!AJ187, EMID!AJ187, SWALES!AJ187, SWEST!AJ187, LPN!AJ187,SPN!AJ187,EPN!AJ187,SPD!AJ187,SPMW!AJ187,SSEH!AJ187,SSES!AJ187)</f>
        <v>0</v>
      </c>
      <c r="AK187" s="238">
        <f>CHOOSE(m_identity,ENWL!AK187, NPgN!AK187, NPgY!AK187, WMID!AK187, EMID!AK187, SWALES!AK187, SWEST!AK187, LPN!AK187,SPN!AK187,EPN!AK187,SPD!AK187,SPMW!AK187,SSEH!AK187,SSES!AK187)</f>
        <v>0</v>
      </c>
      <c r="AL187" s="238">
        <f>CHOOSE(m_identity,ENWL!AL187, NPgN!AL187, NPgY!AL187, WMID!AL187, EMID!AL187, SWALES!AL187, SWEST!AL187, LPN!AL187,SPN!AL187,EPN!AL187,SPD!AL187,SPMW!AL187,SSEH!AL187,SSES!AL187)</f>
        <v>0</v>
      </c>
      <c r="AM187" s="238">
        <f>CHOOSE(m_identity,ENWL!AM187, NPgN!AM187, NPgY!AM187, WMID!AM187, EMID!AM187, SWALES!AM187, SWEST!AM187, LPN!AM187,SPN!AM187,EPN!AM187,SPD!AM187,SPMW!AM187,SSEH!AM187,SSES!AM187)</f>
        <v>0</v>
      </c>
      <c r="AN187" s="238">
        <f>CHOOSE(m_identity,ENWL!AN187, NPgN!AN187, NPgY!AN187, WMID!AN187, EMID!AN187, SWALES!AN187, SWEST!AN187, LPN!AN187,SPN!AN187,EPN!AN187,SPD!AN187,SPMW!AN187,SSEH!AN187,SSES!AN187)</f>
        <v>0</v>
      </c>
      <c r="AO187" s="238">
        <f>CHOOSE(m_identity,ENWL!AO187, NPgN!AO187, NPgY!AO187, WMID!AO187, EMID!AO187, SWALES!AO187, SWEST!AO187, LPN!AO187,SPN!AO187,EPN!AO187,SPD!AO187,SPMW!AO187,SSEH!AO187,SSES!AO187)</f>
        <v>0</v>
      </c>
      <c r="AP187" s="238">
        <f>CHOOSE(m_identity,ENWL!AP187, NPgN!AP187, NPgY!AP187, WMID!AP187, EMID!AP187, SWALES!AP187, SWEST!AP187, LPN!AP187,SPN!AP187,EPN!AP187,SPD!AP187,SPMW!AP187,SSEH!AP187,SSES!AP187)</f>
        <v>0</v>
      </c>
      <c r="AQ187" s="238">
        <f>CHOOSE(m_identity,ENWL!AQ187, NPgN!AQ187, NPgY!AQ187, WMID!AQ187, EMID!AQ187, SWALES!AQ187, SWEST!AQ187, LPN!AQ187,SPN!AQ187,EPN!AQ187,SPD!AQ187,SPMW!AQ187,SSEH!AQ187,SSES!AQ187)</f>
        <v>0</v>
      </c>
    </row>
    <row r="188" spans="5:43" s="158" customFormat="1" ht="15" customHeight="1">
      <c r="E188" s="268" t="s">
        <v>663</v>
      </c>
      <c r="F188" s="98"/>
      <c r="G188" s="98" t="s">
        <v>49</v>
      </c>
      <c r="AJ188" s="238">
        <f>CHOOSE(m_identity,ENWL!AJ188, NPgN!AJ188, NPgY!AJ188, WMID!AJ188, EMID!AJ188, SWALES!AJ188, SWEST!AJ188, LPN!AJ188,SPN!AJ188,EPN!AJ188,SPD!AJ188,SPMW!AJ188,SSEH!AJ188,SSES!AJ188)</f>
        <v>0</v>
      </c>
      <c r="AK188" s="238">
        <f>CHOOSE(m_identity,ENWL!AK188, NPgN!AK188, NPgY!AK188, WMID!AK188, EMID!AK188, SWALES!AK188, SWEST!AK188, LPN!AK188,SPN!AK188,EPN!AK188,SPD!AK188,SPMW!AK188,SSEH!AK188,SSES!AK188)</f>
        <v>0</v>
      </c>
      <c r="AL188" s="238">
        <f>CHOOSE(m_identity,ENWL!AL188, NPgN!AL188, NPgY!AL188, WMID!AL188, EMID!AL188, SWALES!AL188, SWEST!AL188, LPN!AL188,SPN!AL188,EPN!AL188,SPD!AL188,SPMW!AL188,SSEH!AL188,SSES!AL188)</f>
        <v>0</v>
      </c>
      <c r="AM188" s="238">
        <f>CHOOSE(m_identity,ENWL!AM188, NPgN!AM188, NPgY!AM188, WMID!AM188, EMID!AM188, SWALES!AM188, SWEST!AM188, LPN!AM188,SPN!AM188,EPN!AM188,SPD!AM188,SPMW!AM188,SSEH!AM188,SSES!AM188)</f>
        <v>0</v>
      </c>
      <c r="AN188" s="238">
        <f>CHOOSE(m_identity,ENWL!AN188, NPgN!AN188, NPgY!AN188, WMID!AN188, EMID!AN188, SWALES!AN188, SWEST!AN188, LPN!AN188,SPN!AN188,EPN!AN188,SPD!AN188,SPMW!AN188,SSEH!AN188,SSES!AN188)</f>
        <v>0</v>
      </c>
      <c r="AO188" s="238">
        <f>CHOOSE(m_identity,ENWL!AO188, NPgN!AO188, NPgY!AO188, WMID!AO188, EMID!AO188, SWALES!AO188, SWEST!AO188, LPN!AO188,SPN!AO188,EPN!AO188,SPD!AO188,SPMW!AO188,SSEH!AO188,SSES!AO188)</f>
        <v>0</v>
      </c>
      <c r="AP188" s="238">
        <f>CHOOSE(m_identity,ENWL!AP188, NPgN!AP188, NPgY!AP188, WMID!AP188, EMID!AP188, SWALES!AP188, SWEST!AP188, LPN!AP188,SPN!AP188,EPN!AP188,SPD!AP188,SPMW!AP188,SSEH!AP188,SSES!AP188)</f>
        <v>0</v>
      </c>
      <c r="AQ188" s="238">
        <f>CHOOSE(m_identity,ENWL!AQ188, NPgN!AQ188, NPgY!AQ188, WMID!AQ188, EMID!AQ188, SWALES!AQ188, SWEST!AQ188, LPN!AQ188,SPN!AQ188,EPN!AQ188,SPD!AQ188,SPMW!AQ188,SSEH!AQ188,SSES!AQ188)</f>
        <v>0</v>
      </c>
    </row>
    <row r="189" spans="5:43" s="158" customFormat="1" ht="15" customHeight="1">
      <c r="E189" s="268" t="s">
        <v>523</v>
      </c>
      <c r="F189" s="98"/>
      <c r="G189" s="98" t="s">
        <v>49</v>
      </c>
      <c r="AJ189" s="238">
        <f>CHOOSE(m_identity,ENWL!AJ189, NPgN!AJ189, NPgY!AJ189, WMID!AJ189, EMID!AJ189, SWALES!AJ189, SWEST!AJ189, LPN!AJ189,SPN!AJ189,EPN!AJ189,SPD!AJ189,SPMW!AJ189,SSEH!AJ189,SSES!AJ189)</f>
        <v>0</v>
      </c>
      <c r="AK189" s="238">
        <f>CHOOSE(m_identity,ENWL!AK189, NPgN!AK189, NPgY!AK189, WMID!AK189, EMID!AK189, SWALES!AK189, SWEST!AK189, LPN!AK189,SPN!AK189,EPN!AK189,SPD!AK189,SPMW!AK189,SSEH!AK189,SSES!AK189)</f>
        <v>0</v>
      </c>
      <c r="AL189" s="238">
        <f>CHOOSE(m_identity,ENWL!AL189, NPgN!AL189, NPgY!AL189, WMID!AL189, EMID!AL189, SWALES!AL189, SWEST!AL189, LPN!AL189,SPN!AL189,EPN!AL189,SPD!AL189,SPMW!AL189,SSEH!AL189,SSES!AL189)</f>
        <v>0</v>
      </c>
      <c r="AM189" s="238">
        <f>CHOOSE(m_identity,ENWL!AM189, NPgN!AM189, NPgY!AM189, WMID!AM189, EMID!AM189, SWALES!AM189, SWEST!AM189, LPN!AM189,SPN!AM189,EPN!AM189,SPD!AM189,SPMW!AM189,SSEH!AM189,SSES!AM189)</f>
        <v>0</v>
      </c>
      <c r="AN189" s="238">
        <f>CHOOSE(m_identity,ENWL!AN189, NPgN!AN189, NPgY!AN189, WMID!AN189, EMID!AN189, SWALES!AN189, SWEST!AN189, LPN!AN189,SPN!AN189,EPN!AN189,SPD!AN189,SPMW!AN189,SSEH!AN189,SSES!AN189)</f>
        <v>0</v>
      </c>
      <c r="AO189" s="238">
        <f>CHOOSE(m_identity,ENWL!AO189, NPgN!AO189, NPgY!AO189, WMID!AO189, EMID!AO189, SWALES!AO189, SWEST!AO189, LPN!AO189,SPN!AO189,EPN!AO189,SPD!AO189,SPMW!AO189,SSEH!AO189,SSES!AO189)</f>
        <v>0</v>
      </c>
      <c r="AP189" s="238">
        <f>CHOOSE(m_identity,ENWL!AP189, NPgN!AP189, NPgY!AP189, WMID!AP189, EMID!AP189, SWALES!AP189, SWEST!AP189, LPN!AP189,SPN!AP189,EPN!AP189,SPD!AP189,SPMW!AP189,SSEH!AP189,SSES!AP189)</f>
        <v>0</v>
      </c>
      <c r="AQ189" s="238">
        <f>CHOOSE(m_identity,ENWL!AQ189, NPgN!AQ189, NPgY!AQ189, WMID!AQ189, EMID!AQ189, SWALES!AQ189, SWEST!AQ189, LPN!AQ189,SPN!AQ189,EPN!AQ189,SPD!AQ189,SPMW!AQ189,SSEH!AQ189,SSES!AQ189)</f>
        <v>0</v>
      </c>
    </row>
    <row r="190" spans="5:43" s="158" customFormat="1" ht="15" customHeight="1">
      <c r="E190" s="268" t="s">
        <v>704</v>
      </c>
      <c r="F190" s="98"/>
      <c r="G190" s="98" t="s">
        <v>49</v>
      </c>
      <c r="H190" s="98"/>
      <c r="J190" s="98"/>
      <c r="K190" s="98"/>
      <c r="L190" s="98"/>
      <c r="M190" s="98"/>
      <c r="N190" s="98"/>
      <c r="O190" s="98"/>
      <c r="P190" s="98"/>
      <c r="Q190" s="98"/>
      <c r="R190" s="98"/>
      <c r="S190" s="98"/>
      <c r="T190" s="98"/>
      <c r="U190" s="98"/>
      <c r="V190" s="98"/>
      <c r="W190" s="98"/>
      <c r="X190" s="98"/>
      <c r="Y190" s="98"/>
      <c r="Z190" s="98"/>
      <c r="AA190" s="98"/>
      <c r="AB190" s="98"/>
      <c r="AC190" s="98"/>
      <c r="AD190" s="98"/>
      <c r="AE190" s="98"/>
      <c r="AF190" s="98"/>
      <c r="AG190" s="98"/>
      <c r="AH190" s="98"/>
      <c r="AI190" s="98"/>
      <c r="AJ190" s="238">
        <f>CHOOSE(m_identity,ENWL!AJ190, NPgN!AJ190, NPgY!AJ190, WMID!AJ190, EMID!AJ190, SWALES!AJ190, SWEST!AJ190, LPN!AJ190,SPN!AJ190,EPN!AJ190,SPD!AJ190,SPMW!AJ190,SSEH!AJ190,SSES!AJ190)</f>
        <v>0</v>
      </c>
      <c r="AK190" s="238">
        <f>CHOOSE(m_identity,ENWL!AK190, NPgN!AK190, NPgY!AK190, WMID!AK190, EMID!AK190, SWALES!AK190, SWEST!AK190, LPN!AK190,SPN!AK190,EPN!AK190,SPD!AK190,SPMW!AK190,SSEH!AK190,SSES!AK190)</f>
        <v>0</v>
      </c>
      <c r="AL190" s="238">
        <f>CHOOSE(m_identity,ENWL!AL190, NPgN!AL190, NPgY!AL190, WMID!AL190, EMID!AL190, SWALES!AL190, SWEST!AL190, LPN!AL190,SPN!AL190,EPN!AL190,SPD!AL190,SPMW!AL190,SSEH!AL190,SSES!AL190)</f>
        <v>0</v>
      </c>
      <c r="AM190" s="238">
        <f>CHOOSE(m_identity,ENWL!AM190, NPgN!AM190, NPgY!AM190, WMID!AM190, EMID!AM190, SWALES!AM190, SWEST!AM190, LPN!AM190,SPN!AM190,EPN!AM190,SPD!AM190,SPMW!AM190,SSEH!AM190,SSES!AM190)</f>
        <v>0</v>
      </c>
      <c r="AN190" s="238">
        <f>CHOOSE(m_identity,ENWL!AN190, NPgN!AN190, NPgY!AN190, WMID!AN190, EMID!AN190, SWALES!AN190, SWEST!AN190, LPN!AN190,SPN!AN190,EPN!AN190,SPD!AN190,SPMW!AN190,SSEH!AN190,SSES!AN190)</f>
        <v>0</v>
      </c>
      <c r="AO190" s="238">
        <f>CHOOSE(m_identity,ENWL!AO190, NPgN!AO190, NPgY!AO190, WMID!AO190, EMID!AO190, SWALES!AO190, SWEST!AO190, LPN!AO190,SPN!AO190,EPN!AO190,SPD!AO190,SPMW!AO190,SSEH!AO190,SSES!AO190)</f>
        <v>0</v>
      </c>
      <c r="AP190" s="238">
        <f>CHOOSE(m_identity,ENWL!AP190, NPgN!AP190, NPgY!AP190, WMID!AP190, EMID!AP190, SWALES!AP190, SWEST!AP190, LPN!AP190,SPN!AP190,EPN!AP190,SPD!AP190,SPMW!AP190,SSEH!AP190,SSES!AP190)</f>
        <v>0</v>
      </c>
      <c r="AQ190" s="238">
        <f>CHOOSE(m_identity,ENWL!AQ190, NPgN!AQ190, NPgY!AQ190, WMID!AQ190, EMID!AQ190, SWALES!AQ190, SWEST!AQ190, LPN!AQ190,SPN!AQ190,EPN!AQ190,SPD!AQ190,SPMW!AQ190,SSEH!AQ190,SSES!AQ190)</f>
        <v>0</v>
      </c>
    </row>
    <row r="191" spans="5:43" s="158" customFormat="1" ht="15" customHeight="1">
      <c r="E191" s="550" t="s">
        <v>994</v>
      </c>
      <c r="F191" s="98"/>
      <c r="G191" s="98" t="s">
        <v>49</v>
      </c>
      <c r="H191" s="98"/>
      <c r="J191" s="98"/>
      <c r="K191" s="98"/>
      <c r="L191" s="98"/>
      <c r="M191" s="98"/>
      <c r="N191" s="98"/>
      <c r="O191" s="98"/>
      <c r="P191" s="98"/>
      <c r="Q191" s="98"/>
      <c r="R191" s="98"/>
      <c r="S191" s="98"/>
      <c r="T191" s="98"/>
      <c r="U191" s="98"/>
      <c r="V191" s="98"/>
      <c r="W191" s="98"/>
      <c r="X191" s="98"/>
      <c r="Y191" s="98"/>
      <c r="Z191" s="98"/>
      <c r="AA191" s="98"/>
      <c r="AB191" s="98"/>
      <c r="AC191" s="98"/>
      <c r="AD191" s="98"/>
      <c r="AE191" s="98"/>
      <c r="AF191" s="98"/>
      <c r="AG191" s="98"/>
      <c r="AH191" s="98"/>
      <c r="AI191" s="98"/>
      <c r="AJ191" s="238">
        <f>CHOOSE(m_identity,ENWL!AJ191, NPgN!AJ191, NPgY!AJ191, WMID!AJ191, EMID!AJ191, SWALES!AJ191, SWEST!AJ191, LPN!AJ191,SPN!AJ191,EPN!AJ191,SPD!AJ191,SPMW!AJ191,SSEH!AJ191,SSES!AJ191)</f>
        <v>0</v>
      </c>
      <c r="AK191" s="238">
        <f>CHOOSE(m_identity,ENWL!AK191, NPgN!AK191, NPgY!AK191, WMID!AK191, EMID!AK191, SWALES!AK191, SWEST!AK191, LPN!AK191,SPN!AK191,EPN!AK191,SPD!AK191,SPMW!AK191,SSEH!AK191,SSES!AK191)</f>
        <v>0</v>
      </c>
      <c r="AL191" s="238">
        <f>CHOOSE(m_identity,ENWL!AL191, NPgN!AL191, NPgY!AL191, WMID!AL191, EMID!AL191, SWALES!AL191, SWEST!AL191, LPN!AL191,SPN!AL191,EPN!AL191,SPD!AL191,SPMW!AL191,SSEH!AL191,SSES!AL191)</f>
        <v>0</v>
      </c>
      <c r="AM191" s="238">
        <f>CHOOSE(m_identity,ENWL!AM191, NPgN!AM191, NPgY!AM191, WMID!AM191, EMID!AM191, SWALES!AM191, SWEST!AM191, LPN!AM191,SPN!AM191,EPN!AM191,SPD!AM191,SPMW!AM191,SSEH!AM191,SSES!AM191)</f>
        <v>0</v>
      </c>
      <c r="AN191" s="238">
        <f>CHOOSE(m_identity,ENWL!AN191, NPgN!AN191, NPgY!AN191, WMID!AN191, EMID!AN191, SWALES!AN191, SWEST!AN191, LPN!AN191,SPN!AN191,EPN!AN191,SPD!AN191,SPMW!AN191,SSEH!AN191,SSES!AN191)</f>
        <v>0</v>
      </c>
      <c r="AO191" s="238">
        <f>CHOOSE(m_identity,ENWL!AO191, NPgN!AO191, NPgY!AO191, WMID!AO191, EMID!AO191, SWALES!AO191, SWEST!AO191, LPN!AO191,SPN!AO191,EPN!AO191,SPD!AO191,SPMW!AO191,SSEH!AO191,SSES!AO191)</f>
        <v>0</v>
      </c>
      <c r="AP191" s="238">
        <f>CHOOSE(m_identity,ENWL!AP191, NPgN!AP191, NPgY!AP191, WMID!AP191, EMID!AP191, SWALES!AP191, SWEST!AP191, LPN!AP191,SPN!AP191,EPN!AP191,SPD!AP191,SPMW!AP191,SSEH!AP191,SSES!AP191)</f>
        <v>0</v>
      </c>
      <c r="AQ191" s="238">
        <f>CHOOSE(m_identity,ENWL!AQ191, NPgN!AQ191, NPgY!AQ191, WMID!AQ191, EMID!AQ191, SWALES!AQ191, SWEST!AQ191, LPN!AQ191,SPN!AQ191,EPN!AQ191,SPD!AQ191,SPMW!AQ191,SSEH!AQ191,SSES!AQ191)</f>
        <v>0</v>
      </c>
    </row>
    <row r="192" spans="5:43" s="158" customFormat="1" ht="15" customHeight="1">
      <c r="E192" s="268" t="s">
        <v>920</v>
      </c>
      <c r="F192" s="98"/>
      <c r="G192" s="98" t="s">
        <v>49</v>
      </c>
      <c r="H192" s="98"/>
      <c r="J192" s="98"/>
      <c r="K192" s="98"/>
      <c r="L192" s="98"/>
      <c r="M192" s="98"/>
      <c r="N192" s="98"/>
      <c r="O192" s="98"/>
      <c r="P192" s="98"/>
      <c r="Q192" s="98"/>
      <c r="R192" s="98"/>
      <c r="S192" s="98"/>
      <c r="T192" s="98"/>
      <c r="U192" s="98"/>
      <c r="V192" s="98"/>
      <c r="W192" s="98"/>
      <c r="X192" s="98"/>
      <c r="Y192" s="98"/>
      <c r="Z192" s="98"/>
      <c r="AA192" s="98"/>
      <c r="AB192" s="98"/>
      <c r="AC192" s="98"/>
      <c r="AD192" s="98"/>
      <c r="AE192" s="98"/>
      <c r="AF192" s="98"/>
      <c r="AG192" s="98"/>
      <c r="AH192" s="98"/>
      <c r="AI192" s="98"/>
      <c r="AJ192" s="238">
        <f>CHOOSE(m_identity,ENWL!AJ192, NPgN!AJ192, NPgY!AJ192, WMID!AJ192, EMID!AJ192, SWALES!AJ192, SWEST!AJ192, LPN!AJ192,SPN!AJ192,EPN!AJ192,SPD!AJ192,SPMW!AJ192,SSEH!AJ192,SSES!AJ192)</f>
        <v>0</v>
      </c>
      <c r="AK192" s="238">
        <f>CHOOSE(m_identity,ENWL!AK192, NPgN!AK192, NPgY!AK192, WMID!AK192, EMID!AK192, SWALES!AK192, SWEST!AK192, LPN!AK192,SPN!AK192,EPN!AK192,SPD!AK192,SPMW!AK192,SSEH!AK192,SSES!AK192)</f>
        <v>0</v>
      </c>
      <c r="AL192" s="238">
        <f>CHOOSE(m_identity,ENWL!AL192, NPgN!AL192, NPgY!AL192, WMID!AL192, EMID!AL192, SWALES!AL192, SWEST!AL192, LPN!AL192,SPN!AL192,EPN!AL192,SPD!AL192,SPMW!AL192,SSEH!AL192,SSES!AL192)</f>
        <v>0</v>
      </c>
      <c r="AM192" s="238">
        <f>CHOOSE(m_identity,ENWL!AM192, NPgN!AM192, NPgY!AM192, WMID!AM192, EMID!AM192, SWALES!AM192, SWEST!AM192, LPN!AM192,SPN!AM192,EPN!AM192,SPD!AM192,SPMW!AM192,SSEH!AM192,SSES!AM192)</f>
        <v>0</v>
      </c>
      <c r="AN192" s="238">
        <f>CHOOSE(m_identity,ENWL!AN192, NPgN!AN192, NPgY!AN192, WMID!AN192, EMID!AN192, SWALES!AN192, SWEST!AN192, LPN!AN192,SPN!AN192,EPN!AN192,SPD!AN192,SPMW!AN192,SSEH!AN192,SSES!AN192)</f>
        <v>0</v>
      </c>
      <c r="AO192" s="238">
        <f>CHOOSE(m_identity,ENWL!AO192, NPgN!AO192, NPgY!AO192, WMID!AO192, EMID!AO192, SWALES!AO192, SWEST!AO192, LPN!AO192,SPN!AO192,EPN!AO192,SPD!AO192,SPMW!AO192,SSEH!AO192,SSES!AO192)</f>
        <v>0</v>
      </c>
      <c r="AP192" s="238">
        <f>CHOOSE(m_identity,ENWL!AP192, NPgN!AP192, NPgY!AP192, WMID!AP192, EMID!AP192, SWALES!AP192, SWEST!AP192, LPN!AP192,SPN!AP192,EPN!AP192,SPD!AP192,SPMW!AP192,SSEH!AP192,SSES!AP192)</f>
        <v>0</v>
      </c>
      <c r="AQ192" s="238">
        <f>CHOOSE(m_identity,ENWL!AQ192, NPgN!AQ192, NPgY!AQ192, WMID!AQ192, EMID!AQ192, SWALES!AQ192, SWEST!AQ192, LPN!AQ192,SPN!AQ192,EPN!AQ192,SPD!AQ192,SPMW!AQ192,SSEH!AQ192,SSES!AQ192)</f>
        <v>0</v>
      </c>
    </row>
    <row r="193" spans="5:43" s="158" customFormat="1" ht="15" customHeight="1">
      <c r="E193" s="268" t="s">
        <v>524</v>
      </c>
      <c r="F193" s="98"/>
      <c r="G193" s="98" t="s">
        <v>49</v>
      </c>
      <c r="AJ193" s="238">
        <f>CHOOSE(m_identity,ENWL!AJ193, NPgN!AJ193, NPgY!AJ193, WMID!AJ193, EMID!AJ193, SWALES!AJ193, SWEST!AJ193, LPN!AJ193,SPN!AJ193,EPN!AJ193,SPD!AJ193,SPMW!AJ193,SSEH!AJ193,SSES!AJ193)</f>
        <v>0</v>
      </c>
      <c r="AK193" s="238">
        <f>CHOOSE(m_identity,ENWL!AK193, NPgN!AK193, NPgY!AK193, WMID!AK193, EMID!AK193, SWALES!AK193, SWEST!AK193, LPN!AK193,SPN!AK193,EPN!AK193,SPD!AK193,SPMW!AK193,SSEH!AK193,SSES!AK193)</f>
        <v>0</v>
      </c>
      <c r="AL193" s="238">
        <f>CHOOSE(m_identity,ENWL!AL193, NPgN!AL193, NPgY!AL193, WMID!AL193, EMID!AL193, SWALES!AL193, SWEST!AL193, LPN!AL193,SPN!AL193,EPN!AL193,SPD!AL193,SPMW!AL193,SSEH!AL193,SSES!AL193)</f>
        <v>0</v>
      </c>
      <c r="AM193" s="238">
        <f>CHOOSE(m_identity,ENWL!AM193, NPgN!AM193, NPgY!AM193, WMID!AM193, EMID!AM193, SWALES!AM193, SWEST!AM193, LPN!AM193,SPN!AM193,EPN!AM193,SPD!AM193,SPMW!AM193,SSEH!AM193,SSES!AM193)</f>
        <v>0</v>
      </c>
      <c r="AN193" s="238">
        <f>CHOOSE(m_identity,ENWL!AN193, NPgN!AN193, NPgY!AN193, WMID!AN193, EMID!AN193, SWALES!AN193, SWEST!AN193, LPN!AN193,SPN!AN193,EPN!AN193,SPD!AN193,SPMW!AN193,SSEH!AN193,SSES!AN193)</f>
        <v>0</v>
      </c>
      <c r="AO193" s="238">
        <f>CHOOSE(m_identity,ENWL!AO193, NPgN!AO193, NPgY!AO193, WMID!AO193, EMID!AO193, SWALES!AO193, SWEST!AO193, LPN!AO193,SPN!AO193,EPN!AO193,SPD!AO193,SPMW!AO193,SSEH!AO193,SSES!AO193)</f>
        <v>0</v>
      </c>
      <c r="AP193" s="238">
        <f>CHOOSE(m_identity,ENWL!AP193, NPgN!AP193, NPgY!AP193, WMID!AP193, EMID!AP193, SWALES!AP193, SWEST!AP193, LPN!AP193,SPN!AP193,EPN!AP193,SPD!AP193,SPMW!AP193,SSEH!AP193,SSES!AP193)</f>
        <v>0</v>
      </c>
      <c r="AQ193" s="238">
        <f>CHOOSE(m_identity,ENWL!AQ193, NPgN!AQ193, NPgY!AQ193, WMID!AQ193, EMID!AQ193, SWALES!AQ193, SWEST!AQ193, LPN!AQ193,SPN!AQ193,EPN!AQ193,SPD!AQ193,SPMW!AQ193,SSEH!AQ193,SSES!AQ193)</f>
        <v>0</v>
      </c>
    </row>
    <row r="194" spans="5:43" s="158" customFormat="1" ht="15" customHeight="1"/>
    <row r="195" spans="5:43" s="158" customFormat="1" ht="15" customHeight="1">
      <c r="E195" s="154" t="str">
        <f>E29</f>
        <v>Spare 3</v>
      </c>
      <c r="F195" s="98"/>
      <c r="G195" s="98" t="s">
        <v>844</v>
      </c>
      <c r="AJ195" s="221">
        <f t="shared" ref="AJ195:AQ195" si="12">AJ29</f>
        <v>0</v>
      </c>
      <c r="AK195" s="221">
        <f t="shared" si="12"/>
        <v>0</v>
      </c>
      <c r="AL195" s="221">
        <f t="shared" si="12"/>
        <v>0</v>
      </c>
      <c r="AM195" s="221">
        <f t="shared" si="12"/>
        <v>0</v>
      </c>
      <c r="AN195" s="221">
        <f t="shared" si="12"/>
        <v>0</v>
      </c>
      <c r="AO195" s="221">
        <f t="shared" si="12"/>
        <v>0</v>
      </c>
      <c r="AP195" s="221">
        <f t="shared" si="12"/>
        <v>0</v>
      </c>
      <c r="AQ195" s="221">
        <f t="shared" si="12"/>
        <v>0</v>
      </c>
    </row>
    <row r="196" spans="5:43" s="158" customFormat="1" ht="15" customHeight="1">
      <c r="E196" s="268" t="s">
        <v>522</v>
      </c>
      <c r="F196" s="98"/>
      <c r="G196" s="98" t="s">
        <v>49</v>
      </c>
      <c r="AJ196" s="238">
        <f>CHOOSE(m_identity,ENWL!AJ196, NPgN!AJ196, NPgY!AJ196, WMID!AJ196, EMID!AJ196, SWALES!AJ196, SWEST!AJ196, LPN!AJ196,SPN!AJ196,EPN!AJ196,SPD!AJ196,SPMW!AJ196,SSEH!AJ196,SSES!AJ196)</f>
        <v>0</v>
      </c>
      <c r="AK196" s="238">
        <f>CHOOSE(m_identity,ENWL!AK196, NPgN!AK196, NPgY!AK196, WMID!AK196, EMID!AK196, SWALES!AK196, SWEST!AK196, LPN!AK196,SPN!AK196,EPN!AK196,SPD!AK196,SPMW!AK196,SSEH!AK196,SSES!AK196)</f>
        <v>0</v>
      </c>
      <c r="AL196" s="238">
        <f>CHOOSE(m_identity,ENWL!AL196, NPgN!AL196, NPgY!AL196, WMID!AL196, EMID!AL196, SWALES!AL196, SWEST!AL196, LPN!AL196,SPN!AL196,EPN!AL196,SPD!AL196,SPMW!AL196,SSEH!AL196,SSES!AL196)</f>
        <v>0</v>
      </c>
      <c r="AM196" s="238">
        <f>CHOOSE(m_identity,ENWL!AM196, NPgN!AM196, NPgY!AM196, WMID!AM196, EMID!AM196, SWALES!AM196, SWEST!AM196, LPN!AM196,SPN!AM196,EPN!AM196,SPD!AM196,SPMW!AM196,SSEH!AM196,SSES!AM196)</f>
        <v>0</v>
      </c>
      <c r="AN196" s="238">
        <f>CHOOSE(m_identity,ENWL!AN196, NPgN!AN196, NPgY!AN196, WMID!AN196, EMID!AN196, SWALES!AN196, SWEST!AN196, LPN!AN196,SPN!AN196,EPN!AN196,SPD!AN196,SPMW!AN196,SSEH!AN196,SSES!AN196)</f>
        <v>0</v>
      </c>
      <c r="AO196" s="238">
        <f>CHOOSE(m_identity,ENWL!AO196, NPgN!AO196, NPgY!AO196, WMID!AO196, EMID!AO196, SWALES!AO196, SWEST!AO196, LPN!AO196,SPN!AO196,EPN!AO196,SPD!AO196,SPMW!AO196,SSEH!AO196,SSES!AO196)</f>
        <v>0</v>
      </c>
      <c r="AP196" s="238">
        <f>CHOOSE(m_identity,ENWL!AP196, NPgN!AP196, NPgY!AP196, WMID!AP196, EMID!AP196, SWALES!AP196, SWEST!AP196, LPN!AP196,SPN!AP196,EPN!AP196,SPD!AP196,SPMW!AP196,SSEH!AP196,SSES!AP196)</f>
        <v>0</v>
      </c>
      <c r="AQ196" s="238">
        <f>CHOOSE(m_identity,ENWL!AQ196, NPgN!AQ196, NPgY!AQ196, WMID!AQ196, EMID!AQ196, SWALES!AQ196, SWEST!AQ196, LPN!AQ196,SPN!AQ196,EPN!AQ196,SPD!AQ196,SPMW!AQ196,SSEH!AQ196,SSES!AQ196)</f>
        <v>0</v>
      </c>
    </row>
    <row r="197" spans="5:43" s="158" customFormat="1" ht="15" customHeight="1">
      <c r="E197" s="268" t="s">
        <v>663</v>
      </c>
      <c r="F197" s="98"/>
      <c r="G197" s="98" t="s">
        <v>49</v>
      </c>
      <c r="AJ197" s="238">
        <f>CHOOSE(m_identity,ENWL!AJ197, NPgN!AJ197, NPgY!AJ197, WMID!AJ197, EMID!AJ197, SWALES!AJ197, SWEST!AJ197, LPN!AJ197,SPN!AJ197,EPN!AJ197,SPD!AJ197,SPMW!AJ197,SSEH!AJ197,SSES!AJ197)</f>
        <v>0</v>
      </c>
      <c r="AK197" s="238">
        <f>CHOOSE(m_identity,ENWL!AK197, NPgN!AK197, NPgY!AK197, WMID!AK197, EMID!AK197, SWALES!AK197, SWEST!AK197, LPN!AK197,SPN!AK197,EPN!AK197,SPD!AK197,SPMW!AK197,SSEH!AK197,SSES!AK197)</f>
        <v>0</v>
      </c>
      <c r="AL197" s="238">
        <f>CHOOSE(m_identity,ENWL!AL197, NPgN!AL197, NPgY!AL197, WMID!AL197, EMID!AL197, SWALES!AL197, SWEST!AL197, LPN!AL197,SPN!AL197,EPN!AL197,SPD!AL197,SPMW!AL197,SSEH!AL197,SSES!AL197)</f>
        <v>0</v>
      </c>
      <c r="AM197" s="238">
        <f>CHOOSE(m_identity,ENWL!AM197, NPgN!AM197, NPgY!AM197, WMID!AM197, EMID!AM197, SWALES!AM197, SWEST!AM197, LPN!AM197,SPN!AM197,EPN!AM197,SPD!AM197,SPMW!AM197,SSEH!AM197,SSES!AM197)</f>
        <v>0</v>
      </c>
      <c r="AN197" s="238">
        <f>CHOOSE(m_identity,ENWL!AN197, NPgN!AN197, NPgY!AN197, WMID!AN197, EMID!AN197, SWALES!AN197, SWEST!AN197, LPN!AN197,SPN!AN197,EPN!AN197,SPD!AN197,SPMW!AN197,SSEH!AN197,SSES!AN197)</f>
        <v>0</v>
      </c>
      <c r="AO197" s="238">
        <f>CHOOSE(m_identity,ENWL!AO197, NPgN!AO197, NPgY!AO197, WMID!AO197, EMID!AO197, SWALES!AO197, SWEST!AO197, LPN!AO197,SPN!AO197,EPN!AO197,SPD!AO197,SPMW!AO197,SSEH!AO197,SSES!AO197)</f>
        <v>0</v>
      </c>
      <c r="AP197" s="238">
        <f>CHOOSE(m_identity,ENWL!AP197, NPgN!AP197, NPgY!AP197, WMID!AP197, EMID!AP197, SWALES!AP197, SWEST!AP197, LPN!AP197,SPN!AP197,EPN!AP197,SPD!AP197,SPMW!AP197,SSEH!AP197,SSES!AP197)</f>
        <v>0</v>
      </c>
      <c r="AQ197" s="238">
        <f>CHOOSE(m_identity,ENWL!AQ197, NPgN!AQ197, NPgY!AQ197, WMID!AQ197, EMID!AQ197, SWALES!AQ197, SWEST!AQ197, LPN!AQ197,SPN!AQ197,EPN!AQ197,SPD!AQ197,SPMW!AQ197,SSEH!AQ197,SSES!AQ197)</f>
        <v>0</v>
      </c>
    </row>
    <row r="198" spans="5:43" s="158" customFormat="1" ht="15" customHeight="1">
      <c r="E198" s="268" t="s">
        <v>523</v>
      </c>
      <c r="F198" s="98"/>
      <c r="G198" s="98" t="s">
        <v>49</v>
      </c>
      <c r="AJ198" s="238">
        <f>CHOOSE(m_identity,ENWL!AJ198, NPgN!AJ198, NPgY!AJ198, WMID!AJ198, EMID!AJ198, SWALES!AJ198, SWEST!AJ198, LPN!AJ198,SPN!AJ198,EPN!AJ198,SPD!AJ198,SPMW!AJ198,SSEH!AJ198,SSES!AJ198)</f>
        <v>0</v>
      </c>
      <c r="AK198" s="238">
        <f>CHOOSE(m_identity,ENWL!AK198, NPgN!AK198, NPgY!AK198, WMID!AK198, EMID!AK198, SWALES!AK198, SWEST!AK198, LPN!AK198,SPN!AK198,EPN!AK198,SPD!AK198,SPMW!AK198,SSEH!AK198,SSES!AK198)</f>
        <v>0</v>
      </c>
      <c r="AL198" s="238">
        <f>CHOOSE(m_identity,ENWL!AL198, NPgN!AL198, NPgY!AL198, WMID!AL198, EMID!AL198, SWALES!AL198, SWEST!AL198, LPN!AL198,SPN!AL198,EPN!AL198,SPD!AL198,SPMW!AL198,SSEH!AL198,SSES!AL198)</f>
        <v>0</v>
      </c>
      <c r="AM198" s="238">
        <f>CHOOSE(m_identity,ENWL!AM198, NPgN!AM198, NPgY!AM198, WMID!AM198, EMID!AM198, SWALES!AM198, SWEST!AM198, LPN!AM198,SPN!AM198,EPN!AM198,SPD!AM198,SPMW!AM198,SSEH!AM198,SSES!AM198)</f>
        <v>0</v>
      </c>
      <c r="AN198" s="238">
        <f>CHOOSE(m_identity,ENWL!AN198, NPgN!AN198, NPgY!AN198, WMID!AN198, EMID!AN198, SWALES!AN198, SWEST!AN198, LPN!AN198,SPN!AN198,EPN!AN198,SPD!AN198,SPMW!AN198,SSEH!AN198,SSES!AN198)</f>
        <v>0</v>
      </c>
      <c r="AO198" s="238">
        <f>CHOOSE(m_identity,ENWL!AO198, NPgN!AO198, NPgY!AO198, WMID!AO198, EMID!AO198, SWALES!AO198, SWEST!AO198, LPN!AO198,SPN!AO198,EPN!AO198,SPD!AO198,SPMW!AO198,SSEH!AO198,SSES!AO198)</f>
        <v>0</v>
      </c>
      <c r="AP198" s="238">
        <f>CHOOSE(m_identity,ENWL!AP198, NPgN!AP198, NPgY!AP198, WMID!AP198, EMID!AP198, SWALES!AP198, SWEST!AP198, LPN!AP198,SPN!AP198,EPN!AP198,SPD!AP198,SPMW!AP198,SSEH!AP198,SSES!AP198)</f>
        <v>0</v>
      </c>
      <c r="AQ198" s="238">
        <f>CHOOSE(m_identity,ENWL!AQ198, NPgN!AQ198, NPgY!AQ198, WMID!AQ198, EMID!AQ198, SWALES!AQ198, SWEST!AQ198, LPN!AQ198,SPN!AQ198,EPN!AQ198,SPD!AQ198,SPMW!AQ198,SSEH!AQ198,SSES!AQ198)</f>
        <v>0</v>
      </c>
    </row>
    <row r="199" spans="5:43" s="158" customFormat="1" ht="15" customHeight="1">
      <c r="E199" s="268" t="s">
        <v>704</v>
      </c>
      <c r="F199" s="98"/>
      <c r="G199" s="98" t="s">
        <v>49</v>
      </c>
      <c r="H199" s="98"/>
      <c r="J199" s="98"/>
      <c r="K199" s="98"/>
      <c r="L199" s="98"/>
      <c r="M199" s="98"/>
      <c r="N199" s="98"/>
      <c r="O199" s="98"/>
      <c r="P199" s="98"/>
      <c r="Q199" s="98"/>
      <c r="R199" s="98"/>
      <c r="S199" s="98"/>
      <c r="T199" s="98"/>
      <c r="U199" s="98"/>
      <c r="V199" s="98"/>
      <c r="W199" s="98"/>
      <c r="X199" s="98"/>
      <c r="Y199" s="98"/>
      <c r="Z199" s="98"/>
      <c r="AA199" s="98"/>
      <c r="AB199" s="98"/>
      <c r="AC199" s="98"/>
      <c r="AD199" s="98"/>
      <c r="AE199" s="98"/>
      <c r="AF199" s="98"/>
      <c r="AG199" s="98"/>
      <c r="AH199" s="98"/>
      <c r="AI199" s="98"/>
      <c r="AJ199" s="238">
        <f>CHOOSE(m_identity,ENWL!AJ199, NPgN!AJ199, NPgY!AJ199, WMID!AJ199, EMID!AJ199, SWALES!AJ199, SWEST!AJ199, LPN!AJ199,SPN!AJ199,EPN!AJ199,SPD!AJ199,SPMW!AJ199,SSEH!AJ199,SSES!AJ199)</f>
        <v>0</v>
      </c>
      <c r="AK199" s="238">
        <f>CHOOSE(m_identity,ENWL!AK199, NPgN!AK199, NPgY!AK199, WMID!AK199, EMID!AK199, SWALES!AK199, SWEST!AK199, LPN!AK199,SPN!AK199,EPN!AK199,SPD!AK199,SPMW!AK199,SSEH!AK199,SSES!AK199)</f>
        <v>0</v>
      </c>
      <c r="AL199" s="238">
        <f>CHOOSE(m_identity,ENWL!AL199, NPgN!AL199, NPgY!AL199, WMID!AL199, EMID!AL199, SWALES!AL199, SWEST!AL199, LPN!AL199,SPN!AL199,EPN!AL199,SPD!AL199,SPMW!AL199,SSEH!AL199,SSES!AL199)</f>
        <v>0</v>
      </c>
      <c r="AM199" s="238">
        <f>CHOOSE(m_identity,ENWL!AM199, NPgN!AM199, NPgY!AM199, WMID!AM199, EMID!AM199, SWALES!AM199, SWEST!AM199, LPN!AM199,SPN!AM199,EPN!AM199,SPD!AM199,SPMW!AM199,SSEH!AM199,SSES!AM199)</f>
        <v>0</v>
      </c>
      <c r="AN199" s="238">
        <f>CHOOSE(m_identity,ENWL!AN199, NPgN!AN199, NPgY!AN199, WMID!AN199, EMID!AN199, SWALES!AN199, SWEST!AN199, LPN!AN199,SPN!AN199,EPN!AN199,SPD!AN199,SPMW!AN199,SSEH!AN199,SSES!AN199)</f>
        <v>0</v>
      </c>
      <c r="AO199" s="238">
        <f>CHOOSE(m_identity,ENWL!AO199, NPgN!AO199, NPgY!AO199, WMID!AO199, EMID!AO199, SWALES!AO199, SWEST!AO199, LPN!AO199,SPN!AO199,EPN!AO199,SPD!AO199,SPMW!AO199,SSEH!AO199,SSES!AO199)</f>
        <v>0</v>
      </c>
      <c r="AP199" s="238">
        <f>CHOOSE(m_identity,ENWL!AP199, NPgN!AP199, NPgY!AP199, WMID!AP199, EMID!AP199, SWALES!AP199, SWEST!AP199, LPN!AP199,SPN!AP199,EPN!AP199,SPD!AP199,SPMW!AP199,SSEH!AP199,SSES!AP199)</f>
        <v>0</v>
      </c>
      <c r="AQ199" s="238">
        <f>CHOOSE(m_identity,ENWL!AQ199, NPgN!AQ199, NPgY!AQ199, WMID!AQ199, EMID!AQ199, SWALES!AQ199, SWEST!AQ199, LPN!AQ199,SPN!AQ199,EPN!AQ199,SPD!AQ199,SPMW!AQ199,SSEH!AQ199,SSES!AQ199)</f>
        <v>0</v>
      </c>
    </row>
    <row r="200" spans="5:43" s="158" customFormat="1" ht="15" customHeight="1">
      <c r="E200" s="550" t="s">
        <v>994</v>
      </c>
      <c r="F200" s="98"/>
      <c r="G200" s="98" t="s">
        <v>49</v>
      </c>
      <c r="H200" s="98"/>
      <c r="J200" s="98"/>
      <c r="K200" s="98"/>
      <c r="L200" s="98"/>
      <c r="M200" s="98"/>
      <c r="N200" s="98"/>
      <c r="O200" s="98"/>
      <c r="P200" s="98"/>
      <c r="Q200" s="98"/>
      <c r="R200" s="98"/>
      <c r="S200" s="98"/>
      <c r="T200" s="98"/>
      <c r="U200" s="98"/>
      <c r="V200" s="98"/>
      <c r="W200" s="98"/>
      <c r="X200" s="98"/>
      <c r="Y200" s="98"/>
      <c r="Z200" s="98"/>
      <c r="AA200" s="98"/>
      <c r="AB200" s="98"/>
      <c r="AC200" s="98"/>
      <c r="AD200" s="98"/>
      <c r="AE200" s="98"/>
      <c r="AF200" s="98"/>
      <c r="AG200" s="98"/>
      <c r="AH200" s="98"/>
      <c r="AI200" s="98"/>
      <c r="AJ200" s="238">
        <f>CHOOSE(m_identity,ENWL!AJ200, NPgN!AJ200, NPgY!AJ200, WMID!AJ200, EMID!AJ200, SWALES!AJ200, SWEST!AJ200, LPN!AJ200,SPN!AJ200,EPN!AJ200,SPD!AJ200,SPMW!AJ200,SSEH!AJ200,SSES!AJ200)</f>
        <v>0</v>
      </c>
      <c r="AK200" s="238">
        <f>CHOOSE(m_identity,ENWL!AK200, NPgN!AK200, NPgY!AK200, WMID!AK200, EMID!AK200, SWALES!AK200, SWEST!AK200, LPN!AK200,SPN!AK200,EPN!AK200,SPD!AK200,SPMW!AK200,SSEH!AK200,SSES!AK200)</f>
        <v>0</v>
      </c>
      <c r="AL200" s="238">
        <f>CHOOSE(m_identity,ENWL!AL200, NPgN!AL200, NPgY!AL200, WMID!AL200, EMID!AL200, SWALES!AL200, SWEST!AL200, LPN!AL200,SPN!AL200,EPN!AL200,SPD!AL200,SPMW!AL200,SSEH!AL200,SSES!AL200)</f>
        <v>0</v>
      </c>
      <c r="AM200" s="238">
        <f>CHOOSE(m_identity,ENWL!AM200, NPgN!AM200, NPgY!AM200, WMID!AM200, EMID!AM200, SWALES!AM200, SWEST!AM200, LPN!AM200,SPN!AM200,EPN!AM200,SPD!AM200,SPMW!AM200,SSEH!AM200,SSES!AM200)</f>
        <v>0</v>
      </c>
      <c r="AN200" s="238">
        <f>CHOOSE(m_identity,ENWL!AN200, NPgN!AN200, NPgY!AN200, WMID!AN200, EMID!AN200, SWALES!AN200, SWEST!AN200, LPN!AN200,SPN!AN200,EPN!AN200,SPD!AN200,SPMW!AN200,SSEH!AN200,SSES!AN200)</f>
        <v>0</v>
      </c>
      <c r="AO200" s="238">
        <f>CHOOSE(m_identity,ENWL!AO200, NPgN!AO200, NPgY!AO200, WMID!AO200, EMID!AO200, SWALES!AO200, SWEST!AO200, LPN!AO200,SPN!AO200,EPN!AO200,SPD!AO200,SPMW!AO200,SSEH!AO200,SSES!AO200)</f>
        <v>0</v>
      </c>
      <c r="AP200" s="238">
        <f>CHOOSE(m_identity,ENWL!AP200, NPgN!AP200, NPgY!AP200, WMID!AP200, EMID!AP200, SWALES!AP200, SWEST!AP200, LPN!AP200,SPN!AP200,EPN!AP200,SPD!AP200,SPMW!AP200,SSEH!AP200,SSES!AP200)</f>
        <v>0</v>
      </c>
      <c r="AQ200" s="238">
        <f>CHOOSE(m_identity,ENWL!AQ200, NPgN!AQ200, NPgY!AQ200, WMID!AQ200, EMID!AQ200, SWALES!AQ200, SWEST!AQ200, LPN!AQ200,SPN!AQ200,EPN!AQ200,SPD!AQ200,SPMW!AQ200,SSEH!AQ200,SSES!AQ200)</f>
        <v>0</v>
      </c>
    </row>
    <row r="201" spans="5:43" s="158" customFormat="1" ht="15" customHeight="1">
      <c r="E201" s="268" t="s">
        <v>920</v>
      </c>
      <c r="F201" s="98"/>
      <c r="G201" s="98" t="s">
        <v>49</v>
      </c>
      <c r="H201" s="98"/>
      <c r="J201" s="98"/>
      <c r="K201" s="98"/>
      <c r="L201" s="98"/>
      <c r="M201" s="98"/>
      <c r="N201" s="98"/>
      <c r="O201" s="98"/>
      <c r="P201" s="98"/>
      <c r="Q201" s="98"/>
      <c r="R201" s="98"/>
      <c r="S201" s="98"/>
      <c r="T201" s="98"/>
      <c r="U201" s="98"/>
      <c r="V201" s="98"/>
      <c r="W201" s="98"/>
      <c r="X201" s="98"/>
      <c r="Y201" s="98"/>
      <c r="Z201" s="98"/>
      <c r="AA201" s="98"/>
      <c r="AB201" s="98"/>
      <c r="AC201" s="98"/>
      <c r="AD201" s="98"/>
      <c r="AE201" s="98"/>
      <c r="AF201" s="98"/>
      <c r="AG201" s="98"/>
      <c r="AH201" s="98"/>
      <c r="AI201" s="98"/>
      <c r="AJ201" s="238">
        <f>CHOOSE(m_identity,ENWL!AJ201, NPgN!AJ201, NPgY!AJ201, WMID!AJ201, EMID!AJ201, SWALES!AJ201, SWEST!AJ201, LPN!AJ201,SPN!AJ201,EPN!AJ201,SPD!AJ201,SPMW!AJ201,SSEH!AJ201,SSES!AJ201)</f>
        <v>0</v>
      </c>
      <c r="AK201" s="238">
        <f>CHOOSE(m_identity,ENWL!AK201, NPgN!AK201, NPgY!AK201, WMID!AK201, EMID!AK201, SWALES!AK201, SWEST!AK201, LPN!AK201,SPN!AK201,EPN!AK201,SPD!AK201,SPMW!AK201,SSEH!AK201,SSES!AK201)</f>
        <v>0</v>
      </c>
      <c r="AL201" s="238">
        <f>CHOOSE(m_identity,ENWL!AL201, NPgN!AL201, NPgY!AL201, WMID!AL201, EMID!AL201, SWALES!AL201, SWEST!AL201, LPN!AL201,SPN!AL201,EPN!AL201,SPD!AL201,SPMW!AL201,SSEH!AL201,SSES!AL201)</f>
        <v>0</v>
      </c>
      <c r="AM201" s="238">
        <f>CHOOSE(m_identity,ENWL!AM201, NPgN!AM201, NPgY!AM201, WMID!AM201, EMID!AM201, SWALES!AM201, SWEST!AM201, LPN!AM201,SPN!AM201,EPN!AM201,SPD!AM201,SPMW!AM201,SSEH!AM201,SSES!AM201)</f>
        <v>0</v>
      </c>
      <c r="AN201" s="238">
        <f>CHOOSE(m_identity,ENWL!AN201, NPgN!AN201, NPgY!AN201, WMID!AN201, EMID!AN201, SWALES!AN201, SWEST!AN201, LPN!AN201,SPN!AN201,EPN!AN201,SPD!AN201,SPMW!AN201,SSEH!AN201,SSES!AN201)</f>
        <v>0</v>
      </c>
      <c r="AO201" s="238">
        <f>CHOOSE(m_identity,ENWL!AO201, NPgN!AO201, NPgY!AO201, WMID!AO201, EMID!AO201, SWALES!AO201, SWEST!AO201, LPN!AO201,SPN!AO201,EPN!AO201,SPD!AO201,SPMW!AO201,SSEH!AO201,SSES!AO201)</f>
        <v>0</v>
      </c>
      <c r="AP201" s="238">
        <f>CHOOSE(m_identity,ENWL!AP201, NPgN!AP201, NPgY!AP201, WMID!AP201, EMID!AP201, SWALES!AP201, SWEST!AP201, LPN!AP201,SPN!AP201,EPN!AP201,SPD!AP201,SPMW!AP201,SSEH!AP201,SSES!AP201)</f>
        <v>0</v>
      </c>
      <c r="AQ201" s="238">
        <f>CHOOSE(m_identity,ENWL!AQ201, NPgN!AQ201, NPgY!AQ201, WMID!AQ201, EMID!AQ201, SWALES!AQ201, SWEST!AQ201, LPN!AQ201,SPN!AQ201,EPN!AQ201,SPD!AQ201,SPMW!AQ201,SSEH!AQ201,SSES!AQ201)</f>
        <v>0</v>
      </c>
    </row>
    <row r="202" spans="5:43" s="158" customFormat="1" ht="15" customHeight="1">
      <c r="E202" s="268" t="s">
        <v>524</v>
      </c>
      <c r="F202" s="98"/>
      <c r="G202" s="98" t="s">
        <v>49</v>
      </c>
      <c r="AJ202" s="238">
        <f>CHOOSE(m_identity,ENWL!AJ202, NPgN!AJ202, NPgY!AJ202, WMID!AJ202, EMID!AJ202, SWALES!AJ202, SWEST!AJ202, LPN!AJ202,SPN!AJ202,EPN!AJ202,SPD!AJ202,SPMW!AJ202,SSEH!AJ202,SSES!AJ202)</f>
        <v>0</v>
      </c>
      <c r="AK202" s="238">
        <f>CHOOSE(m_identity,ENWL!AK202, NPgN!AK202, NPgY!AK202, WMID!AK202, EMID!AK202, SWALES!AK202, SWEST!AK202, LPN!AK202,SPN!AK202,EPN!AK202,SPD!AK202,SPMW!AK202,SSEH!AK202,SSES!AK202)</f>
        <v>0</v>
      </c>
      <c r="AL202" s="238">
        <f>CHOOSE(m_identity,ENWL!AL202, NPgN!AL202, NPgY!AL202, WMID!AL202, EMID!AL202, SWALES!AL202, SWEST!AL202, LPN!AL202,SPN!AL202,EPN!AL202,SPD!AL202,SPMW!AL202,SSEH!AL202,SSES!AL202)</f>
        <v>0</v>
      </c>
      <c r="AM202" s="238">
        <f>CHOOSE(m_identity,ENWL!AM202, NPgN!AM202, NPgY!AM202, WMID!AM202, EMID!AM202, SWALES!AM202, SWEST!AM202, LPN!AM202,SPN!AM202,EPN!AM202,SPD!AM202,SPMW!AM202,SSEH!AM202,SSES!AM202)</f>
        <v>0</v>
      </c>
      <c r="AN202" s="238">
        <f>CHOOSE(m_identity,ENWL!AN202, NPgN!AN202, NPgY!AN202, WMID!AN202, EMID!AN202, SWALES!AN202, SWEST!AN202, LPN!AN202,SPN!AN202,EPN!AN202,SPD!AN202,SPMW!AN202,SSEH!AN202,SSES!AN202)</f>
        <v>0</v>
      </c>
      <c r="AO202" s="238">
        <f>CHOOSE(m_identity,ENWL!AO202, NPgN!AO202, NPgY!AO202, WMID!AO202, EMID!AO202, SWALES!AO202, SWEST!AO202, LPN!AO202,SPN!AO202,EPN!AO202,SPD!AO202,SPMW!AO202,SSEH!AO202,SSES!AO202)</f>
        <v>0</v>
      </c>
      <c r="AP202" s="238">
        <f>CHOOSE(m_identity,ENWL!AP202, NPgN!AP202, NPgY!AP202, WMID!AP202, EMID!AP202, SWALES!AP202, SWEST!AP202, LPN!AP202,SPN!AP202,EPN!AP202,SPD!AP202,SPMW!AP202,SSEH!AP202,SSES!AP202)</f>
        <v>0</v>
      </c>
      <c r="AQ202" s="238">
        <f>CHOOSE(m_identity,ENWL!AQ202, NPgN!AQ202, NPgY!AQ202, WMID!AQ202, EMID!AQ202, SWALES!AQ202, SWEST!AQ202, LPN!AQ202,SPN!AQ202,EPN!AQ202,SPD!AQ202,SPMW!AQ202,SSEH!AQ202,SSES!AQ202)</f>
        <v>0</v>
      </c>
    </row>
    <row r="203" spans="5:43" s="158" customFormat="1" ht="15" customHeight="1"/>
    <row r="204" spans="5:43" s="98" customFormat="1" ht="15" customHeight="1">
      <c r="E204" s="154" t="str">
        <f>E30</f>
        <v xml:space="preserve">Allowed Expenditure - Innovation Roll-out </v>
      </c>
      <c r="G204" s="98" t="s">
        <v>844</v>
      </c>
      <c r="I204" s="58"/>
      <c r="AJ204" s="221">
        <f>AJ30</f>
        <v>0</v>
      </c>
      <c r="AK204" s="221">
        <f t="shared" ref="AK204:AQ204" si="13">AK30</f>
        <v>0</v>
      </c>
      <c r="AL204" s="221">
        <f t="shared" si="13"/>
        <v>0</v>
      </c>
      <c r="AM204" s="221">
        <f t="shared" si="13"/>
        <v>0</v>
      </c>
      <c r="AN204" s="221">
        <f t="shared" si="13"/>
        <v>0</v>
      </c>
      <c r="AO204" s="221">
        <f t="shared" si="13"/>
        <v>0</v>
      </c>
      <c r="AP204" s="221">
        <f t="shared" si="13"/>
        <v>0</v>
      </c>
      <c r="AQ204" s="221">
        <f t="shared" si="13"/>
        <v>0</v>
      </c>
    </row>
    <row r="205" spans="5:43" s="98" customFormat="1" ht="15" customHeight="1">
      <c r="E205" s="268" t="s">
        <v>522</v>
      </c>
      <c r="G205" s="98" t="s">
        <v>49</v>
      </c>
      <c r="I205" s="58"/>
      <c r="AJ205" s="238">
        <f>CHOOSE(m_identity,ENWL!AJ205, NPgN!AJ205, NPgY!AJ205, WMID!AJ205, EMID!AJ205, SWALES!AJ205, SWEST!AJ205, LPN!AJ205,SPN!AJ205,EPN!AJ205,SPD!AJ205,SPMW!AJ205,SSEH!AJ205,SSES!AJ205)</f>
        <v>0.25</v>
      </c>
      <c r="AK205" s="238">
        <f>CHOOSE(m_identity,ENWL!AK205, NPgN!AK205, NPgY!AK205, WMID!AK205, EMID!AK205, SWALES!AK205, SWEST!AK205, LPN!AK205,SPN!AK205,EPN!AK205,SPD!AK205,SPMW!AK205,SSEH!AK205,SSES!AK205)</f>
        <v>0.25</v>
      </c>
      <c r="AL205" s="238">
        <f>CHOOSE(m_identity,ENWL!AL205, NPgN!AL205, NPgY!AL205, WMID!AL205, EMID!AL205, SWALES!AL205, SWEST!AL205, LPN!AL205,SPN!AL205,EPN!AL205,SPD!AL205,SPMW!AL205,SSEH!AL205,SSES!AL205)</f>
        <v>0.25</v>
      </c>
      <c r="AM205" s="238">
        <f>CHOOSE(m_identity,ENWL!AM205, NPgN!AM205, NPgY!AM205, WMID!AM205, EMID!AM205, SWALES!AM205, SWEST!AM205, LPN!AM205,SPN!AM205,EPN!AM205,SPD!AM205,SPMW!AM205,SSEH!AM205,SSES!AM205)</f>
        <v>0.25</v>
      </c>
      <c r="AN205" s="238">
        <f>CHOOSE(m_identity,ENWL!AN205, NPgN!AN205, NPgY!AN205, WMID!AN205, EMID!AN205, SWALES!AN205, SWEST!AN205, LPN!AN205,SPN!AN205,EPN!AN205,SPD!AN205,SPMW!AN205,SSEH!AN205,SSES!AN205)</f>
        <v>0.25</v>
      </c>
      <c r="AO205" s="238">
        <f>CHOOSE(m_identity,ENWL!AO205, NPgN!AO205, NPgY!AO205, WMID!AO205, EMID!AO205, SWALES!AO205, SWEST!AO205, LPN!AO205,SPN!AO205,EPN!AO205,SPD!AO205,SPMW!AO205,SSEH!AO205,SSES!AO205)</f>
        <v>0.25</v>
      </c>
      <c r="AP205" s="238">
        <f>CHOOSE(m_identity,ENWL!AP205, NPgN!AP205, NPgY!AP205, WMID!AP205, EMID!AP205, SWALES!AP205, SWEST!AP205, LPN!AP205,SPN!AP205,EPN!AP205,SPD!AP205,SPMW!AP205,SSEH!AP205,SSES!AP205)</f>
        <v>0.25</v>
      </c>
      <c r="AQ205" s="238">
        <f>CHOOSE(m_identity,ENWL!AQ205, NPgN!AQ205, NPgY!AQ205, WMID!AQ205, EMID!AQ205, SWALES!AQ205, SWEST!AQ205, LPN!AQ205,SPN!AQ205,EPN!AQ205,SPD!AQ205,SPMW!AQ205,SSEH!AQ205,SSES!AQ205)</f>
        <v>0.25</v>
      </c>
    </row>
    <row r="206" spans="5:43" s="98" customFormat="1" ht="15" customHeight="1">
      <c r="E206" s="268" t="s">
        <v>663</v>
      </c>
      <c r="G206" s="98" t="s">
        <v>49</v>
      </c>
      <c r="I206" s="58"/>
      <c r="AJ206" s="238">
        <f>CHOOSE(m_identity,ENWL!AJ206, NPgN!AJ206, NPgY!AJ206, WMID!AJ206, EMID!AJ206, SWALES!AJ206, SWEST!AJ206, LPN!AJ206,SPN!AJ206,EPN!AJ206,SPD!AJ206,SPMW!AJ206,SSEH!AJ206,SSES!AJ206)</f>
        <v>0</v>
      </c>
      <c r="AK206" s="238">
        <f>CHOOSE(m_identity,ENWL!AK206, NPgN!AK206, NPgY!AK206, WMID!AK206, EMID!AK206, SWALES!AK206, SWEST!AK206, LPN!AK206,SPN!AK206,EPN!AK206,SPD!AK206,SPMW!AK206,SSEH!AK206,SSES!AK206)</f>
        <v>0</v>
      </c>
      <c r="AL206" s="238">
        <f>CHOOSE(m_identity,ENWL!AL206, NPgN!AL206, NPgY!AL206, WMID!AL206, EMID!AL206, SWALES!AL206, SWEST!AL206, LPN!AL206,SPN!AL206,EPN!AL206,SPD!AL206,SPMW!AL206,SSEH!AL206,SSES!AL206)</f>
        <v>0</v>
      </c>
      <c r="AM206" s="238">
        <f>CHOOSE(m_identity,ENWL!AM206, NPgN!AM206, NPgY!AM206, WMID!AM206, EMID!AM206, SWALES!AM206, SWEST!AM206, LPN!AM206,SPN!AM206,EPN!AM206,SPD!AM206,SPMW!AM206,SSEH!AM206,SSES!AM206)</f>
        <v>0</v>
      </c>
      <c r="AN206" s="238">
        <f>CHOOSE(m_identity,ENWL!AN206, NPgN!AN206, NPgY!AN206, WMID!AN206, EMID!AN206, SWALES!AN206, SWEST!AN206, LPN!AN206,SPN!AN206,EPN!AN206,SPD!AN206,SPMW!AN206,SSEH!AN206,SSES!AN206)</f>
        <v>0</v>
      </c>
      <c r="AO206" s="238">
        <f>CHOOSE(m_identity,ENWL!AO206, NPgN!AO206, NPgY!AO206, WMID!AO206, EMID!AO206, SWALES!AO206, SWEST!AO206, LPN!AO206,SPN!AO206,EPN!AO206,SPD!AO206,SPMW!AO206,SSEH!AO206,SSES!AO206)</f>
        <v>0</v>
      </c>
      <c r="AP206" s="238">
        <f>CHOOSE(m_identity,ENWL!AP206, NPgN!AP206, NPgY!AP206, WMID!AP206, EMID!AP206, SWALES!AP206, SWEST!AP206, LPN!AP206,SPN!AP206,EPN!AP206,SPD!AP206,SPMW!AP206,SSEH!AP206,SSES!AP206)</f>
        <v>0</v>
      </c>
      <c r="AQ206" s="238">
        <f>CHOOSE(m_identity,ENWL!AQ206, NPgN!AQ206, NPgY!AQ206, WMID!AQ206, EMID!AQ206, SWALES!AQ206, SWEST!AQ206, LPN!AQ206,SPN!AQ206,EPN!AQ206,SPD!AQ206,SPMW!AQ206,SSEH!AQ206,SSES!AQ206)</f>
        <v>0</v>
      </c>
    </row>
    <row r="207" spans="5:43" s="98" customFormat="1" ht="15" customHeight="1">
      <c r="E207" s="268" t="s">
        <v>523</v>
      </c>
      <c r="G207" s="98" t="s">
        <v>49</v>
      </c>
      <c r="I207" s="58"/>
      <c r="AJ207" s="238">
        <f>CHOOSE(m_identity,ENWL!AJ207, NPgN!AJ207, NPgY!AJ207, WMID!AJ207, EMID!AJ207, SWALES!AJ207, SWEST!AJ207, LPN!AJ207,SPN!AJ207,EPN!AJ207,SPD!AJ207,SPMW!AJ207,SSEH!AJ207,SSES!AJ207)</f>
        <v>0.75</v>
      </c>
      <c r="AK207" s="238">
        <f>CHOOSE(m_identity,ENWL!AK207, NPgN!AK207, NPgY!AK207, WMID!AK207, EMID!AK207, SWALES!AK207, SWEST!AK207, LPN!AK207,SPN!AK207,EPN!AK207,SPD!AK207,SPMW!AK207,SSEH!AK207,SSES!AK207)</f>
        <v>0.75</v>
      </c>
      <c r="AL207" s="238">
        <f>CHOOSE(m_identity,ENWL!AL207, NPgN!AL207, NPgY!AL207, WMID!AL207, EMID!AL207, SWALES!AL207, SWEST!AL207, LPN!AL207,SPN!AL207,EPN!AL207,SPD!AL207,SPMW!AL207,SSEH!AL207,SSES!AL207)</f>
        <v>0.75</v>
      </c>
      <c r="AM207" s="238">
        <f>CHOOSE(m_identity,ENWL!AM207, NPgN!AM207, NPgY!AM207, WMID!AM207, EMID!AM207, SWALES!AM207, SWEST!AM207, LPN!AM207,SPN!AM207,EPN!AM207,SPD!AM207,SPMW!AM207,SSEH!AM207,SSES!AM207)</f>
        <v>0.75</v>
      </c>
      <c r="AN207" s="238">
        <f>CHOOSE(m_identity,ENWL!AN207, NPgN!AN207, NPgY!AN207, WMID!AN207, EMID!AN207, SWALES!AN207, SWEST!AN207, LPN!AN207,SPN!AN207,EPN!AN207,SPD!AN207,SPMW!AN207,SSEH!AN207,SSES!AN207)</f>
        <v>0.75</v>
      </c>
      <c r="AO207" s="238">
        <f>CHOOSE(m_identity,ENWL!AO207, NPgN!AO207, NPgY!AO207, WMID!AO207, EMID!AO207, SWALES!AO207, SWEST!AO207, LPN!AO207,SPN!AO207,EPN!AO207,SPD!AO207,SPMW!AO207,SSEH!AO207,SSES!AO207)</f>
        <v>0.75</v>
      </c>
      <c r="AP207" s="238">
        <f>CHOOSE(m_identity,ENWL!AP207, NPgN!AP207, NPgY!AP207, WMID!AP207, EMID!AP207, SWALES!AP207, SWEST!AP207, LPN!AP207,SPN!AP207,EPN!AP207,SPD!AP207,SPMW!AP207,SSEH!AP207,SSES!AP207)</f>
        <v>0.75</v>
      </c>
      <c r="AQ207" s="238">
        <f>CHOOSE(m_identity,ENWL!AQ207, NPgN!AQ207, NPgY!AQ207, WMID!AQ207, EMID!AQ207, SWALES!AQ207, SWEST!AQ207, LPN!AQ207,SPN!AQ207,EPN!AQ207,SPD!AQ207,SPMW!AQ207,SSEH!AQ207,SSES!AQ207)</f>
        <v>0.75</v>
      </c>
    </row>
    <row r="208" spans="5:43" s="98" customFormat="1" ht="15" customHeight="1">
      <c r="E208" s="268" t="s">
        <v>704</v>
      </c>
      <c r="G208" s="98" t="s">
        <v>49</v>
      </c>
      <c r="I208" s="158"/>
      <c r="AJ208" s="238">
        <f>CHOOSE(m_identity,ENWL!AJ208, NPgN!AJ208, NPgY!AJ208, WMID!AJ208, EMID!AJ208, SWALES!AJ208, SWEST!AJ208, LPN!AJ208,SPN!AJ208,EPN!AJ208,SPD!AJ208,SPMW!AJ208,SSEH!AJ208,SSES!AJ208)</f>
        <v>0</v>
      </c>
      <c r="AK208" s="238">
        <f>CHOOSE(m_identity,ENWL!AK208, NPgN!AK208, NPgY!AK208, WMID!AK208, EMID!AK208, SWALES!AK208, SWEST!AK208, LPN!AK208,SPN!AK208,EPN!AK208,SPD!AK208,SPMW!AK208,SSEH!AK208,SSES!AK208)</f>
        <v>0</v>
      </c>
      <c r="AL208" s="238">
        <f>CHOOSE(m_identity,ENWL!AL208, NPgN!AL208, NPgY!AL208, WMID!AL208, EMID!AL208, SWALES!AL208, SWEST!AL208, LPN!AL208,SPN!AL208,EPN!AL208,SPD!AL208,SPMW!AL208,SSEH!AL208,SSES!AL208)</f>
        <v>0</v>
      </c>
      <c r="AM208" s="238">
        <f>CHOOSE(m_identity,ENWL!AM208, NPgN!AM208, NPgY!AM208, WMID!AM208, EMID!AM208, SWALES!AM208, SWEST!AM208, LPN!AM208,SPN!AM208,EPN!AM208,SPD!AM208,SPMW!AM208,SSEH!AM208,SSES!AM208)</f>
        <v>0</v>
      </c>
      <c r="AN208" s="238">
        <f>CHOOSE(m_identity,ENWL!AN208, NPgN!AN208, NPgY!AN208, WMID!AN208, EMID!AN208, SWALES!AN208, SWEST!AN208, LPN!AN208,SPN!AN208,EPN!AN208,SPD!AN208,SPMW!AN208,SSEH!AN208,SSES!AN208)</f>
        <v>0</v>
      </c>
      <c r="AO208" s="238">
        <f>CHOOSE(m_identity,ENWL!AO208, NPgN!AO208, NPgY!AO208, WMID!AO208, EMID!AO208, SWALES!AO208, SWEST!AO208, LPN!AO208,SPN!AO208,EPN!AO208,SPD!AO208,SPMW!AO208,SSEH!AO208,SSES!AO208)</f>
        <v>0</v>
      </c>
      <c r="AP208" s="238">
        <f>CHOOSE(m_identity,ENWL!AP208, NPgN!AP208, NPgY!AP208, WMID!AP208, EMID!AP208, SWALES!AP208, SWEST!AP208, LPN!AP208,SPN!AP208,EPN!AP208,SPD!AP208,SPMW!AP208,SSEH!AP208,SSES!AP208)</f>
        <v>0</v>
      </c>
      <c r="AQ208" s="238">
        <f>CHOOSE(m_identity,ENWL!AQ208, NPgN!AQ208, NPgY!AQ208, WMID!AQ208, EMID!AQ208, SWALES!AQ208, SWEST!AQ208, LPN!AQ208,SPN!AQ208,EPN!AQ208,SPD!AQ208,SPMW!AQ208,SSEH!AQ208,SSES!AQ208)</f>
        <v>0</v>
      </c>
    </row>
    <row r="209" spans="4:44" s="98" customFormat="1" ht="15" customHeight="1">
      <c r="E209" s="550" t="s">
        <v>994</v>
      </c>
      <c r="G209" s="98" t="s">
        <v>49</v>
      </c>
      <c r="I209" s="158"/>
      <c r="AJ209" s="238">
        <f>CHOOSE(m_identity,ENWL!AJ209, NPgN!AJ209, NPgY!AJ209, WMID!AJ209, EMID!AJ209, SWALES!AJ209, SWEST!AJ209, LPN!AJ209,SPN!AJ209,EPN!AJ209,SPD!AJ209,SPMW!AJ209,SSEH!AJ209,SSES!AJ209)</f>
        <v>0</v>
      </c>
      <c r="AK209" s="238">
        <f>CHOOSE(m_identity,ENWL!AK209, NPgN!AK209, NPgY!AK209, WMID!AK209, EMID!AK209, SWALES!AK209, SWEST!AK209, LPN!AK209,SPN!AK209,EPN!AK209,SPD!AK209,SPMW!AK209,SSEH!AK209,SSES!AK209)</f>
        <v>0</v>
      </c>
      <c r="AL209" s="238">
        <f>CHOOSE(m_identity,ENWL!AL209, NPgN!AL209, NPgY!AL209, WMID!AL209, EMID!AL209, SWALES!AL209, SWEST!AL209, LPN!AL209,SPN!AL209,EPN!AL209,SPD!AL209,SPMW!AL209,SSEH!AL209,SSES!AL209)</f>
        <v>0</v>
      </c>
      <c r="AM209" s="238">
        <f>CHOOSE(m_identity,ENWL!AM209, NPgN!AM209, NPgY!AM209, WMID!AM209, EMID!AM209, SWALES!AM209, SWEST!AM209, LPN!AM209,SPN!AM209,EPN!AM209,SPD!AM209,SPMW!AM209,SSEH!AM209,SSES!AM209)</f>
        <v>0</v>
      </c>
      <c r="AN209" s="238">
        <f>CHOOSE(m_identity,ENWL!AN209, NPgN!AN209, NPgY!AN209, WMID!AN209, EMID!AN209, SWALES!AN209, SWEST!AN209, LPN!AN209,SPN!AN209,EPN!AN209,SPD!AN209,SPMW!AN209,SSEH!AN209,SSES!AN209)</f>
        <v>0</v>
      </c>
      <c r="AO209" s="238">
        <f>CHOOSE(m_identity,ENWL!AO209, NPgN!AO209, NPgY!AO209, WMID!AO209, EMID!AO209, SWALES!AO209, SWEST!AO209, LPN!AO209,SPN!AO209,EPN!AO209,SPD!AO209,SPMW!AO209,SSEH!AO209,SSES!AO209)</f>
        <v>0</v>
      </c>
      <c r="AP209" s="238">
        <f>CHOOSE(m_identity,ENWL!AP209, NPgN!AP209, NPgY!AP209, WMID!AP209, EMID!AP209, SWALES!AP209, SWEST!AP209, LPN!AP209,SPN!AP209,EPN!AP209,SPD!AP209,SPMW!AP209,SSEH!AP209,SSES!AP209)</f>
        <v>0</v>
      </c>
      <c r="AQ209" s="238">
        <f>CHOOSE(m_identity,ENWL!AQ209, NPgN!AQ209, NPgY!AQ209, WMID!AQ209, EMID!AQ209, SWALES!AQ209, SWEST!AQ209, LPN!AQ209,SPN!AQ209,EPN!AQ209,SPD!AQ209,SPMW!AQ209,SSEH!AQ209,SSES!AQ209)</f>
        <v>0</v>
      </c>
    </row>
    <row r="210" spans="4:44" s="98" customFormat="1" ht="15" customHeight="1">
      <c r="E210" s="268" t="s">
        <v>920</v>
      </c>
      <c r="G210" s="98" t="s">
        <v>49</v>
      </c>
      <c r="I210" s="158"/>
      <c r="AJ210" s="238">
        <f>CHOOSE(m_identity,ENWL!AJ210, NPgN!AJ210, NPgY!AJ210, WMID!AJ210, EMID!AJ210, SWALES!AJ210, SWEST!AJ210, LPN!AJ210,SPN!AJ210,EPN!AJ210,SPD!AJ210,SPMW!AJ210,SSEH!AJ210,SSES!AJ210)</f>
        <v>0</v>
      </c>
      <c r="AK210" s="238">
        <f>CHOOSE(m_identity,ENWL!AK210, NPgN!AK210, NPgY!AK210, WMID!AK210, EMID!AK210, SWALES!AK210, SWEST!AK210, LPN!AK210,SPN!AK210,EPN!AK210,SPD!AK210,SPMW!AK210,SSEH!AK210,SSES!AK210)</f>
        <v>0</v>
      </c>
      <c r="AL210" s="238">
        <f>CHOOSE(m_identity,ENWL!AL210, NPgN!AL210, NPgY!AL210, WMID!AL210, EMID!AL210, SWALES!AL210, SWEST!AL210, LPN!AL210,SPN!AL210,EPN!AL210,SPD!AL210,SPMW!AL210,SSEH!AL210,SSES!AL210)</f>
        <v>0</v>
      </c>
      <c r="AM210" s="238">
        <f>CHOOSE(m_identity,ENWL!AM210, NPgN!AM210, NPgY!AM210, WMID!AM210, EMID!AM210, SWALES!AM210, SWEST!AM210, LPN!AM210,SPN!AM210,EPN!AM210,SPD!AM210,SPMW!AM210,SSEH!AM210,SSES!AM210)</f>
        <v>0</v>
      </c>
      <c r="AN210" s="238">
        <f>CHOOSE(m_identity,ENWL!AN210, NPgN!AN210, NPgY!AN210, WMID!AN210, EMID!AN210, SWALES!AN210, SWEST!AN210, LPN!AN210,SPN!AN210,EPN!AN210,SPD!AN210,SPMW!AN210,SSEH!AN210,SSES!AN210)</f>
        <v>0</v>
      </c>
      <c r="AO210" s="238">
        <f>CHOOSE(m_identity,ENWL!AO210, NPgN!AO210, NPgY!AO210, WMID!AO210, EMID!AO210, SWALES!AO210, SWEST!AO210, LPN!AO210,SPN!AO210,EPN!AO210,SPD!AO210,SPMW!AO210,SSEH!AO210,SSES!AO210)</f>
        <v>0</v>
      </c>
      <c r="AP210" s="238">
        <f>CHOOSE(m_identity,ENWL!AP210, NPgN!AP210, NPgY!AP210, WMID!AP210, EMID!AP210, SWALES!AP210, SWEST!AP210, LPN!AP210,SPN!AP210,EPN!AP210,SPD!AP210,SPMW!AP210,SSEH!AP210,SSES!AP210)</f>
        <v>0</v>
      </c>
      <c r="AQ210" s="238">
        <f>CHOOSE(m_identity,ENWL!AQ210, NPgN!AQ210, NPgY!AQ210, WMID!AQ210, EMID!AQ210, SWALES!AQ210, SWEST!AQ210, LPN!AQ210,SPN!AQ210,EPN!AQ210,SPD!AQ210,SPMW!AQ210,SSEH!AQ210,SSES!AQ210)</f>
        <v>0</v>
      </c>
    </row>
    <row r="211" spans="4:44" s="98" customFormat="1" ht="15" customHeight="1">
      <c r="E211" s="268" t="s">
        <v>524</v>
      </c>
      <c r="G211" s="98" t="s">
        <v>49</v>
      </c>
      <c r="I211" s="58"/>
      <c r="AJ211" s="238">
        <f>CHOOSE(m_identity,ENWL!AJ211, NPgN!AJ211, NPgY!AJ211, WMID!AJ211, EMID!AJ211, SWALES!AJ211, SWEST!AJ211, LPN!AJ211,SPN!AJ211,EPN!AJ211,SPD!AJ211,SPMW!AJ211,SSEH!AJ211,SSES!AJ211)</f>
        <v>0</v>
      </c>
      <c r="AK211" s="238">
        <f>CHOOSE(m_identity,ENWL!AK211, NPgN!AK211, NPgY!AK211, WMID!AK211, EMID!AK211, SWALES!AK211, SWEST!AK211, LPN!AK211,SPN!AK211,EPN!AK211,SPD!AK211,SPMW!AK211,SSEH!AK211,SSES!AK211)</f>
        <v>0</v>
      </c>
      <c r="AL211" s="238">
        <f>CHOOSE(m_identity,ENWL!AL211, NPgN!AL211, NPgY!AL211, WMID!AL211, EMID!AL211, SWALES!AL211, SWEST!AL211, LPN!AL211,SPN!AL211,EPN!AL211,SPD!AL211,SPMW!AL211,SSEH!AL211,SSES!AL211)</f>
        <v>0</v>
      </c>
      <c r="AM211" s="238">
        <f>CHOOSE(m_identity,ENWL!AM211, NPgN!AM211, NPgY!AM211, WMID!AM211, EMID!AM211, SWALES!AM211, SWEST!AM211, LPN!AM211,SPN!AM211,EPN!AM211,SPD!AM211,SPMW!AM211,SSEH!AM211,SSES!AM211)</f>
        <v>0</v>
      </c>
      <c r="AN211" s="238">
        <f>CHOOSE(m_identity,ENWL!AN211, NPgN!AN211, NPgY!AN211, WMID!AN211, EMID!AN211, SWALES!AN211, SWEST!AN211, LPN!AN211,SPN!AN211,EPN!AN211,SPD!AN211,SPMW!AN211,SSEH!AN211,SSES!AN211)</f>
        <v>0</v>
      </c>
      <c r="AO211" s="238">
        <f>CHOOSE(m_identity,ENWL!AO211, NPgN!AO211, NPgY!AO211, WMID!AO211, EMID!AO211, SWALES!AO211, SWEST!AO211, LPN!AO211,SPN!AO211,EPN!AO211,SPD!AO211,SPMW!AO211,SSEH!AO211,SSES!AO211)</f>
        <v>0</v>
      </c>
      <c r="AP211" s="238">
        <f>CHOOSE(m_identity,ENWL!AP211, NPgN!AP211, NPgY!AP211, WMID!AP211, EMID!AP211, SWALES!AP211, SWEST!AP211, LPN!AP211,SPN!AP211,EPN!AP211,SPD!AP211,SPMW!AP211,SSEH!AP211,SSES!AP211)</f>
        <v>0</v>
      </c>
      <c r="AQ211" s="238">
        <f>CHOOSE(m_identity,ENWL!AQ211, NPgN!AQ211, NPgY!AQ211, WMID!AQ211, EMID!AQ211, SWALES!AQ211, SWEST!AQ211, LPN!AQ211,SPN!AQ211,EPN!AQ211,SPD!AQ211,SPMW!AQ211,SSEH!AQ211,SSES!AQ211)</f>
        <v>0</v>
      </c>
    </row>
    <row r="213" spans="4:44" s="98" customFormat="1" ht="15" customHeight="1">
      <c r="E213" s="163" t="s">
        <v>402</v>
      </c>
      <c r="F213" s="19"/>
      <c r="G213" s="98"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58"/>
      <c r="AJ213" s="152">
        <f>(AJ$105*AJ106)+(AJ$114*AJ115)+(AJ$123*AJ124)+(AJ$132*AJ133)+(AJ$141*AJ142)+(AJ$150*AJ151)+(AJ$159*AJ160)+(AJ$168*AJ169)+(AJ$177*AJ178)+(AJ$186*AJ187)+(AJ$195*AJ196)+(AJ$204*AJ205)</f>
        <v>26.739990327429616</v>
      </c>
      <c r="AK213" s="152">
        <f t="shared" ref="AK213:AQ213" si="14">(AK$105*AK106)+(AK$114*AK115)+(AK$123*AK124)+(AK$132*AK133)+(AK$141*AK142)+(AK$150*AK151)+(AK$159*AK160)+(AK$168*AK169)+(AK$177*AK178)+(AK$186*AK187)+(AK$195*AK196)+(AK$204*AK205)</f>
        <v>35.239780046754412</v>
      </c>
      <c r="AL213" s="152">
        <f t="shared" si="14"/>
        <v>36.659762346816315</v>
      </c>
      <c r="AM213" s="152">
        <f t="shared" si="14"/>
        <v>27.169156828588772</v>
      </c>
      <c r="AN213" s="152">
        <f t="shared" si="14"/>
        <v>22.355939146206488</v>
      </c>
      <c r="AO213" s="152">
        <f t="shared" si="14"/>
        <v>22.2953798351705</v>
      </c>
      <c r="AP213" s="152">
        <f t="shared" si="14"/>
        <v>29.617569454188985</v>
      </c>
      <c r="AQ213" s="152">
        <f t="shared" si="14"/>
        <v>27.794893665984315</v>
      </c>
    </row>
    <row r="214" spans="4:44" s="98" customFormat="1" ht="15" customHeight="1">
      <c r="E214" s="163" t="s">
        <v>664</v>
      </c>
      <c r="G214" s="98" t="s">
        <v>844</v>
      </c>
      <c r="I214" s="58"/>
      <c r="AE214" s="158"/>
      <c r="AJ214" s="152">
        <f t="shared" ref="AJ214:AQ214" si="15">(AJ$105*AJ107)+(AJ$114*AJ116)+(AJ$123*AJ125)+(AJ$132*AJ134)+(AJ$141*AJ143)+(AJ$150*AJ152)+(AJ$159*AJ161)+(AJ$168*AJ170)+(AJ$177*AJ179)+(AJ$186*AJ188)+(AJ$195*AJ197)+(AJ$204*AJ206)</f>
        <v>7.6792813280547207</v>
      </c>
      <c r="AK214" s="152">
        <f t="shared" si="15"/>
        <v>6.3259077099983987</v>
      </c>
      <c r="AL214" s="152">
        <f t="shared" si="15"/>
        <v>6.309242524501248</v>
      </c>
      <c r="AM214" s="152">
        <f t="shared" si="15"/>
        <v>8.4940001528039115</v>
      </c>
      <c r="AN214" s="152">
        <f t="shared" si="15"/>
        <v>8.0580947246418173</v>
      </c>
      <c r="AO214" s="152">
        <f t="shared" si="15"/>
        <v>4.0198004076170433</v>
      </c>
      <c r="AP214" s="152">
        <f t="shared" si="15"/>
        <v>0</v>
      </c>
      <c r="AQ214" s="152">
        <f t="shared" si="15"/>
        <v>0</v>
      </c>
    </row>
    <row r="215" spans="4:44" s="98" customFormat="1" ht="15" customHeight="1">
      <c r="E215" s="163" t="s">
        <v>403</v>
      </c>
      <c r="G215" s="98" t="s">
        <v>844</v>
      </c>
      <c r="I215" s="58"/>
      <c r="AG215" s="59"/>
      <c r="AH215" s="59"/>
      <c r="AI215" s="59"/>
      <c r="AJ215" s="152">
        <f t="shared" ref="AJ215:AQ215" si="16">(AJ$105*AJ108)+(AJ$114*AJ117)+(AJ$123*AJ126)+(AJ$132*AJ135)+(AJ$141*AJ144)+(AJ$150*AJ153)+(AJ$159*AJ162)+(AJ$168*AJ171)+(AJ$177*AJ180)+(AJ$186*AJ189)+(AJ$195*AJ198)+(AJ$204*AJ207)</f>
        <v>0</v>
      </c>
      <c r="AK215" s="152">
        <f t="shared" si="16"/>
        <v>0</v>
      </c>
      <c r="AL215" s="152">
        <f t="shared" si="16"/>
        <v>0</v>
      </c>
      <c r="AM215" s="152">
        <f t="shared" si="16"/>
        <v>0</v>
      </c>
      <c r="AN215" s="152">
        <f t="shared" si="16"/>
        <v>0</v>
      </c>
      <c r="AO215" s="152">
        <f t="shared" si="16"/>
        <v>0</v>
      </c>
      <c r="AP215" s="152">
        <f t="shared" si="16"/>
        <v>0</v>
      </c>
      <c r="AQ215" s="152">
        <f t="shared" si="16"/>
        <v>0</v>
      </c>
    </row>
    <row r="216" spans="4:44" s="98" customFormat="1" ht="15" customHeight="1">
      <c r="E216" s="163" t="s">
        <v>705</v>
      </c>
      <c r="G216" s="98" t="s">
        <v>844</v>
      </c>
      <c r="I216" s="58"/>
      <c r="AG216" s="59"/>
      <c r="AH216" s="59"/>
      <c r="AI216" s="59"/>
      <c r="AJ216" s="152">
        <f t="shared" ref="AJ216:AQ216" si="17">(AJ$105*AJ109)+(AJ$114*AJ118)+(AJ$123*AJ127)+(AJ$132*AJ136)+(AJ$141*AJ145)+(AJ$150*AJ154)+(AJ$159*AJ163)+(AJ$168*AJ172)+(AJ$177*AJ181)+(AJ$186*AJ190)+(AJ$195*AJ199)+(AJ$204*AJ208)</f>
        <v>0</v>
      </c>
      <c r="AK216" s="152">
        <f t="shared" si="17"/>
        <v>0</v>
      </c>
      <c r="AL216" s="152">
        <f t="shared" si="17"/>
        <v>0</v>
      </c>
      <c r="AM216" s="152">
        <f t="shared" si="17"/>
        <v>0</v>
      </c>
      <c r="AN216" s="152">
        <f t="shared" si="17"/>
        <v>0</v>
      </c>
      <c r="AO216" s="152">
        <f t="shared" si="17"/>
        <v>0</v>
      </c>
      <c r="AP216" s="152">
        <f t="shared" si="17"/>
        <v>0</v>
      </c>
      <c r="AQ216" s="152">
        <f t="shared" si="17"/>
        <v>0</v>
      </c>
    </row>
    <row r="217" spans="4:44" s="98" customFormat="1" ht="15" customHeight="1">
      <c r="E217" s="551" t="s">
        <v>995</v>
      </c>
      <c r="G217" s="98" t="s">
        <v>844</v>
      </c>
      <c r="I217" s="58"/>
      <c r="AG217" s="59"/>
      <c r="AH217" s="59"/>
      <c r="AI217" s="59"/>
      <c r="AJ217" s="152">
        <f t="shared" ref="AJ217:AQ217" si="18">(AJ$105*AJ110)+(AJ$114*AJ119)+(AJ$123*AJ128)+(AJ$132*AJ137)+(AJ$141*AJ146)+(AJ$150*AJ155)+(AJ$159*AJ164)+(AJ$168*AJ173)+(AJ$177*AJ182)+(AJ$186*AJ191)+(AJ$195*AJ200)+(AJ$204*AJ209)</f>
        <v>0</v>
      </c>
      <c r="AK217" s="152">
        <f t="shared" si="18"/>
        <v>0</v>
      </c>
      <c r="AL217" s="152">
        <f t="shared" si="18"/>
        <v>0</v>
      </c>
      <c r="AM217" s="152">
        <f t="shared" si="18"/>
        <v>0</v>
      </c>
      <c r="AN217" s="152">
        <f t="shared" si="18"/>
        <v>0</v>
      </c>
      <c r="AO217" s="152">
        <f t="shared" si="18"/>
        <v>0</v>
      </c>
      <c r="AP217" s="152">
        <f t="shared" si="18"/>
        <v>0</v>
      </c>
      <c r="AQ217" s="152">
        <f t="shared" si="18"/>
        <v>0</v>
      </c>
    </row>
    <row r="218" spans="4:44" s="98" customFormat="1" ht="15" customHeight="1">
      <c r="E218" s="163" t="s">
        <v>921</v>
      </c>
      <c r="G218" s="98" t="s">
        <v>844</v>
      </c>
      <c r="I218" s="58"/>
      <c r="AG218" s="59"/>
      <c r="AH218" s="59"/>
      <c r="AI218" s="59"/>
      <c r="AJ218" s="152">
        <f t="shared" ref="AJ218:AQ218" si="19">(AJ$105*AJ111)+(AJ$114*AJ120)+(AJ$123*AJ129)+(AJ$132*AJ138)+(AJ$141*AJ147)+(AJ$150*AJ156)+(AJ$159*AJ165)+(AJ$168*AJ174)+(AJ$177*AJ183)+(AJ$186*AJ192)+(AJ$195*AJ201)+(AJ$204*AJ210)</f>
        <v>0.44620226105830418</v>
      </c>
      <c r="AK218" s="152">
        <f t="shared" si="19"/>
        <v>0.60934802982926306</v>
      </c>
      <c r="AL218" s="152">
        <f t="shared" si="19"/>
        <v>0.67830812003960794</v>
      </c>
      <c r="AM218" s="152">
        <f t="shared" si="19"/>
        <v>0.62920218544924766</v>
      </c>
      <c r="AN218" s="152">
        <f t="shared" si="19"/>
        <v>0.58290213948117553</v>
      </c>
      <c r="AO218" s="152">
        <f t="shared" si="19"/>
        <v>0.47771846732320949</v>
      </c>
      <c r="AP218" s="152">
        <f t="shared" si="19"/>
        <v>0.26265161690135191</v>
      </c>
      <c r="AQ218" s="152">
        <f t="shared" si="19"/>
        <v>0.24793810376277128</v>
      </c>
    </row>
    <row r="219" spans="4:44" s="98" customFormat="1" ht="15" customHeight="1">
      <c r="E219" s="163" t="s">
        <v>404</v>
      </c>
      <c r="G219" s="98" t="s">
        <v>844</v>
      </c>
      <c r="I219" s="58"/>
      <c r="AJ219" s="152">
        <f t="shared" ref="AJ219:AQ219" si="20">(AJ$105*AJ112)+(AJ$114*AJ121)+(AJ$123*AJ130)+(AJ$132*AJ139)+(AJ$141*AJ148)+(AJ$150*AJ157)+(AJ$159*AJ166)+(AJ$168*AJ175)+(AJ$177*AJ184)+(AJ$186*AJ193)+(AJ$195*AJ202)+(AJ$204*AJ211)</f>
        <v>1.0701559512792098</v>
      </c>
      <c r="AK219" s="152">
        <f t="shared" si="20"/>
        <v>1.8153844489968267</v>
      </c>
      <c r="AL219" s="152">
        <f t="shared" si="20"/>
        <v>2.3536368604706035</v>
      </c>
      <c r="AM219" s="152">
        <f t="shared" si="20"/>
        <v>2.6049991431566615</v>
      </c>
      <c r="AN219" s="152">
        <f t="shared" si="20"/>
        <v>2.6094499520126102</v>
      </c>
      <c r="AO219" s="152">
        <f t="shared" si="20"/>
        <v>1.9198263722300151</v>
      </c>
      <c r="AP219" s="152">
        <f t="shared" si="20"/>
        <v>0</v>
      </c>
      <c r="AQ219" s="152">
        <f t="shared" si="20"/>
        <v>0</v>
      </c>
    </row>
    <row r="221" spans="4:44" s="55" customFormat="1" ht="15" customHeight="1">
      <c r="D221" s="162" t="s">
        <v>156</v>
      </c>
      <c r="E221" s="162"/>
      <c r="F221" s="162"/>
      <c r="G221" s="162"/>
      <c r="H221" s="162"/>
      <c r="I221" s="162"/>
      <c r="J221" s="162"/>
      <c r="K221" s="162"/>
      <c r="L221" s="162"/>
      <c r="M221" s="162"/>
      <c r="N221" s="162"/>
      <c r="O221" s="162"/>
      <c r="P221" s="162"/>
      <c r="Q221" s="162"/>
      <c r="R221" s="162"/>
      <c r="S221" s="162"/>
      <c r="T221" s="162"/>
      <c r="U221" s="162"/>
      <c r="V221" s="162"/>
      <c r="W221" s="162"/>
      <c r="X221" s="162"/>
      <c r="Y221" s="162"/>
      <c r="Z221" s="162"/>
      <c r="AA221" s="162"/>
      <c r="AB221" s="162"/>
      <c r="AC221" s="162"/>
      <c r="AD221" s="162"/>
      <c r="AE221" s="162"/>
      <c r="AF221" s="162"/>
      <c r="AG221" s="162"/>
      <c r="AH221" s="162"/>
      <c r="AI221" s="162"/>
      <c r="AJ221" s="162"/>
      <c r="AK221" s="162"/>
      <c r="AL221" s="162"/>
      <c r="AM221" s="162"/>
      <c r="AN221" s="162"/>
      <c r="AO221" s="162"/>
      <c r="AP221" s="162"/>
      <c r="AQ221" s="162"/>
    </row>
    <row r="222" spans="4:44" s="55" customFormat="1" ht="15" customHeight="1">
      <c r="I222" s="58"/>
      <c r="M222" s="98"/>
      <c r="N222" s="98"/>
    </row>
    <row r="223" spans="4:44" s="54" customFormat="1" ht="15" customHeight="1">
      <c r="E223" s="98" t="s">
        <v>150</v>
      </c>
      <c r="G223" s="98" t="s">
        <v>844</v>
      </c>
      <c r="M223" s="87"/>
      <c r="N223" s="87"/>
      <c r="AJ223" s="221">
        <f t="shared" ref="AJ223:AQ224" si="21">AJ12</f>
        <v>0</v>
      </c>
      <c r="AK223" s="221">
        <f t="shared" si="21"/>
        <v>0</v>
      </c>
      <c r="AL223" s="221">
        <f t="shared" si="21"/>
        <v>0</v>
      </c>
      <c r="AM223" s="221">
        <f t="shared" si="21"/>
        <v>0</v>
      </c>
      <c r="AN223" s="221">
        <f t="shared" si="21"/>
        <v>0</v>
      </c>
      <c r="AO223" s="221">
        <f t="shared" si="21"/>
        <v>0</v>
      </c>
      <c r="AP223" s="221">
        <f t="shared" si="21"/>
        <v>0</v>
      </c>
      <c r="AQ223" s="221">
        <f t="shared" si="21"/>
        <v>0</v>
      </c>
      <c r="AR223" s="60"/>
    </row>
    <row r="224" spans="4:44" s="54" customFormat="1" ht="15" customHeight="1">
      <c r="E224" s="98" t="s">
        <v>661</v>
      </c>
      <c r="G224" s="98" t="s">
        <v>844</v>
      </c>
      <c r="M224" s="87"/>
      <c r="N224" s="87"/>
      <c r="AJ224" s="221">
        <f t="shared" si="21"/>
        <v>0</v>
      </c>
      <c r="AK224" s="221">
        <f t="shared" si="21"/>
        <v>0</v>
      </c>
      <c r="AL224" s="221">
        <f t="shared" si="21"/>
        <v>0</v>
      </c>
      <c r="AM224" s="221">
        <f t="shared" si="21"/>
        <v>0</v>
      </c>
      <c r="AN224" s="221">
        <f t="shared" si="21"/>
        <v>0</v>
      </c>
      <c r="AO224" s="221">
        <f t="shared" si="21"/>
        <v>0</v>
      </c>
      <c r="AP224" s="221">
        <f t="shared" si="21"/>
        <v>0</v>
      </c>
      <c r="AQ224" s="221">
        <f t="shared" si="21"/>
        <v>0</v>
      </c>
      <c r="AR224" s="60"/>
    </row>
    <row r="225" spans="2:44" s="54" customFormat="1" ht="15" customHeight="1">
      <c r="E225" s="56" t="s">
        <v>157</v>
      </c>
      <c r="G225" s="98" t="s">
        <v>844</v>
      </c>
      <c r="M225" s="87"/>
      <c r="N225" s="87"/>
      <c r="AJ225" s="221">
        <f t="shared" ref="AJ225:AQ225" si="22">AJ14</f>
        <v>0</v>
      </c>
      <c r="AK225" s="221">
        <f t="shared" si="22"/>
        <v>0</v>
      </c>
      <c r="AL225" s="221">
        <f t="shared" si="22"/>
        <v>0</v>
      </c>
      <c r="AM225" s="221">
        <f t="shared" si="22"/>
        <v>0</v>
      </c>
      <c r="AN225" s="221">
        <f t="shared" si="22"/>
        <v>0</v>
      </c>
      <c r="AO225" s="221">
        <f t="shared" si="22"/>
        <v>0</v>
      </c>
      <c r="AP225" s="221">
        <f t="shared" si="22"/>
        <v>0</v>
      </c>
      <c r="AQ225" s="221">
        <f t="shared" si="22"/>
        <v>0</v>
      </c>
      <c r="AR225" s="60"/>
    </row>
    <row r="226" spans="2:44" s="87" customFormat="1" ht="15" customHeight="1">
      <c r="E226" s="56" t="s">
        <v>702</v>
      </c>
      <c r="G226" s="98" t="s">
        <v>844</v>
      </c>
      <c r="AJ226" s="221">
        <f t="shared" ref="AJ226:AQ226" si="23">AJ15</f>
        <v>0</v>
      </c>
      <c r="AK226" s="221">
        <f t="shared" si="23"/>
        <v>0</v>
      </c>
      <c r="AL226" s="221">
        <f t="shared" si="23"/>
        <v>0</v>
      </c>
      <c r="AM226" s="221">
        <f t="shared" si="23"/>
        <v>0</v>
      </c>
      <c r="AN226" s="221">
        <f t="shared" si="23"/>
        <v>0</v>
      </c>
      <c r="AO226" s="221">
        <f t="shared" si="23"/>
        <v>0</v>
      </c>
      <c r="AP226" s="221">
        <f t="shared" si="23"/>
        <v>0</v>
      </c>
      <c r="AQ226" s="221">
        <f t="shared" si="23"/>
        <v>0</v>
      </c>
      <c r="AR226" s="60"/>
    </row>
    <row r="227" spans="2:44" s="87" customFormat="1" ht="15" customHeight="1">
      <c r="E227" s="552" t="s">
        <v>996</v>
      </c>
      <c r="G227" s="98" t="s">
        <v>844</v>
      </c>
      <c r="AJ227" s="221">
        <f>AJ16</f>
        <v>0</v>
      </c>
      <c r="AK227" s="221">
        <f t="shared" ref="AK227:AQ227" si="24">AK16</f>
        <v>0</v>
      </c>
      <c r="AL227" s="221">
        <f t="shared" si="24"/>
        <v>0</v>
      </c>
      <c r="AM227" s="221">
        <f t="shared" si="24"/>
        <v>0</v>
      </c>
      <c r="AN227" s="221">
        <f t="shared" si="24"/>
        <v>0</v>
      </c>
      <c r="AO227" s="221">
        <f t="shared" si="24"/>
        <v>0</v>
      </c>
      <c r="AP227" s="221">
        <f t="shared" si="24"/>
        <v>0</v>
      </c>
      <c r="AQ227" s="221">
        <f t="shared" si="24"/>
        <v>0</v>
      </c>
      <c r="AR227" s="60"/>
    </row>
    <row r="228" spans="2:44" s="87" customFormat="1" ht="15" customHeight="1">
      <c r="E228" s="56" t="s">
        <v>918</v>
      </c>
      <c r="G228" s="98" t="s">
        <v>844</v>
      </c>
      <c r="AJ228" s="221">
        <f t="shared" ref="AJ228:AQ228" si="25">AJ17</f>
        <v>0</v>
      </c>
      <c r="AK228" s="221">
        <f t="shared" si="25"/>
        <v>0</v>
      </c>
      <c r="AL228" s="221">
        <f t="shared" si="25"/>
        <v>0</v>
      </c>
      <c r="AM228" s="221">
        <f t="shared" si="25"/>
        <v>0</v>
      </c>
      <c r="AN228" s="221">
        <f t="shared" si="25"/>
        <v>0</v>
      </c>
      <c r="AO228" s="221">
        <f t="shared" si="25"/>
        <v>0</v>
      </c>
      <c r="AP228" s="221">
        <f t="shared" si="25"/>
        <v>0</v>
      </c>
      <c r="AQ228" s="221">
        <f t="shared" si="25"/>
        <v>0</v>
      </c>
      <c r="AR228" s="60"/>
    </row>
    <row r="229" spans="2:44" s="54" customFormat="1" ht="15" customHeight="1">
      <c r="E229" s="4" t="s">
        <v>158</v>
      </c>
      <c r="G229" s="98" t="s">
        <v>844</v>
      </c>
      <c r="M229" s="87"/>
      <c r="N229" s="87"/>
      <c r="AJ229" s="221">
        <f t="shared" ref="AJ229:AQ229" si="26">AJ18</f>
        <v>0</v>
      </c>
      <c r="AK229" s="221">
        <f t="shared" si="26"/>
        <v>0</v>
      </c>
      <c r="AL229" s="221">
        <f t="shared" si="26"/>
        <v>0</v>
      </c>
      <c r="AM229" s="221">
        <f t="shared" si="26"/>
        <v>0</v>
      </c>
      <c r="AN229" s="221">
        <f t="shared" si="26"/>
        <v>0</v>
      </c>
      <c r="AO229" s="221">
        <f t="shared" si="26"/>
        <v>0</v>
      </c>
      <c r="AP229" s="221">
        <f t="shared" si="26"/>
        <v>0</v>
      </c>
      <c r="AQ229" s="221">
        <f t="shared" si="26"/>
        <v>0</v>
      </c>
      <c r="AR229" s="60"/>
    </row>
    <row r="230" spans="2:44" s="12" customFormat="1" ht="15" customHeight="1">
      <c r="J230" s="14"/>
      <c r="K230" s="14"/>
      <c r="L230" s="14"/>
      <c r="M230" s="14"/>
      <c r="N230" s="14"/>
      <c r="O230" s="14"/>
      <c r="P230" s="14"/>
      <c r="Q230" s="14"/>
      <c r="R230" s="14"/>
      <c r="S230" s="14"/>
      <c r="T230" s="14"/>
      <c r="U230" s="14"/>
      <c r="V230" s="14"/>
      <c r="W230" s="14"/>
      <c r="X230" s="14"/>
      <c r="Y230" s="14"/>
      <c r="Z230" s="14"/>
    </row>
    <row r="231" spans="2:44" s="148" customFormat="1" ht="15" customHeight="1">
      <c r="C231" s="332" t="s">
        <v>739</v>
      </c>
      <c r="D231" s="332"/>
      <c r="E231" s="332"/>
      <c r="F231" s="332"/>
      <c r="G231" s="17"/>
      <c r="H231" s="17"/>
      <c r="I231" s="17"/>
      <c r="J231" s="17"/>
      <c r="K231" s="17"/>
      <c r="L231" s="17"/>
      <c r="M231" s="17"/>
      <c r="N231" s="17"/>
      <c r="O231" s="17"/>
      <c r="P231" s="17"/>
      <c r="Q231" s="17"/>
      <c r="R231" s="17"/>
      <c r="S231" s="17"/>
      <c r="T231" s="17"/>
      <c r="U231" s="17"/>
      <c r="V231" s="17"/>
      <c r="W231" s="17"/>
      <c r="X231" s="17"/>
      <c r="Y231" s="17"/>
      <c r="Z231" s="17"/>
      <c r="AA231" s="17"/>
      <c r="AB231" s="17"/>
      <c r="AC231" s="17"/>
      <c r="AD231" s="17"/>
      <c r="AE231" s="17"/>
      <c r="AF231" s="17"/>
      <c r="AG231" s="17"/>
      <c r="AH231" s="17"/>
      <c r="AI231" s="17"/>
      <c r="AJ231" s="17"/>
      <c r="AK231" s="17"/>
      <c r="AL231" s="17"/>
      <c r="AM231" s="17"/>
      <c r="AN231" s="17"/>
      <c r="AO231" s="17"/>
      <c r="AP231" s="17"/>
      <c r="AQ231" s="17"/>
    </row>
    <row r="232" spans="2:44" s="148" customFormat="1" ht="15" customHeight="1">
      <c r="C232" s="147"/>
      <c r="D232" s="147"/>
      <c r="E232" s="147"/>
      <c r="F232" s="147"/>
      <c r="J232" s="14"/>
      <c r="K232" s="14"/>
      <c r="L232" s="14"/>
      <c r="M232" s="14"/>
      <c r="N232" s="14"/>
      <c r="O232" s="14"/>
      <c r="P232" s="14"/>
      <c r="Q232" s="14"/>
      <c r="R232" s="14"/>
      <c r="S232" s="14"/>
      <c r="T232" s="14"/>
      <c r="U232" s="14"/>
      <c r="V232" s="14"/>
      <c r="W232" s="14"/>
      <c r="X232" s="14"/>
      <c r="Y232" s="14"/>
      <c r="Z232" s="14"/>
    </row>
    <row r="233" spans="2:44" s="151" customFormat="1" ht="15" customHeight="1">
      <c r="C233" s="147"/>
      <c r="D233" s="147"/>
      <c r="E233" s="267" t="s">
        <v>832</v>
      </c>
      <c r="F233" s="147"/>
      <c r="G233" s="19" t="s">
        <v>844</v>
      </c>
      <c r="J233" s="14"/>
      <c r="K233" s="14"/>
      <c r="L233" s="14"/>
      <c r="M233" s="14"/>
      <c r="N233" s="14"/>
      <c r="O233" s="14"/>
      <c r="P233" s="14"/>
      <c r="Q233" s="14"/>
      <c r="R233" s="14"/>
      <c r="S233" s="14"/>
      <c r="T233" s="14"/>
      <c r="U233" s="14"/>
      <c r="V233" s="14"/>
      <c r="W233" s="14"/>
      <c r="X233" s="14"/>
      <c r="Y233" s="14"/>
      <c r="Z233" s="14"/>
      <c r="AJ233" s="236">
        <f>CHOOSE(m_identity,ENWL!AJ233, NPgN!AJ233, NPgY!AJ233, WMID!AJ233, EMID!AJ233, SWALES!AJ233, SWEST!AJ233, LPN!AJ233,SPN!AJ233,EPN!AJ233,SPD!AJ233,SPMW!AJ233,SSEH!AJ233,SSES!AJ233)</f>
        <v>20.343943550905053</v>
      </c>
      <c r="AK233" s="236">
        <f>CHOOSE(m_identity,ENWL!AK233, NPgN!AK233, NPgY!AK233, WMID!AK233, EMID!AK233, SWALES!AK233, SWEST!AK233, LPN!AK233,SPN!AK233,EPN!AK233,SPD!AK233,SPMW!AK233,SSEH!AK233,SSES!AK233)</f>
        <v>19.493943550905051</v>
      </c>
      <c r="AL233" s="236">
        <f>CHOOSE(m_identity,ENWL!AL233, NPgN!AL233, NPgY!AL233, WMID!AL233, EMID!AL233, SWALES!AL233, SWEST!AL233, LPN!AL233,SPN!AL233,EPN!AL233,SPD!AL233,SPMW!AL233,SSEH!AL233,SSES!AL233)</f>
        <v>19.827276884238387</v>
      </c>
      <c r="AM233" s="236">
        <f>CHOOSE(m_identity,ENWL!AM233, NPgN!AM233, NPgY!AM233, WMID!AM233, EMID!AM233, SWALES!AM233, SWEST!AM233, LPN!AM233,SPN!AM233,EPN!AM233,SPD!AM233,SPMW!AM233,SSEH!AM233,SSES!AM233)</f>
        <v>20.21061021757172</v>
      </c>
      <c r="AN233" s="236">
        <f>CHOOSE(m_identity,ENWL!AN233, NPgN!AN233, NPgY!AN233, WMID!AN233, EMID!AN233, SWALES!AN233, SWEST!AN233, LPN!AN233,SPN!AN233,EPN!AN233,SPD!AN233,SPMW!AN233,SSEH!AN233,SSES!AN233)</f>
        <v>19.643943550905053</v>
      </c>
      <c r="AO233" s="236">
        <f>CHOOSE(m_identity,ENWL!AO233, NPgN!AO233, NPgY!AO233, WMID!AO233, EMID!AO233, SWALES!AO233, SWEST!AO233, LPN!AO233,SPN!AO233,EPN!AO233,SPD!AO233,SPMW!AO233,SSEH!AO233,SSES!AO233)</f>
        <v>20.310610217571718</v>
      </c>
      <c r="AP233" s="236">
        <f>CHOOSE(m_identity,ENWL!AP233, NPgN!AP233, NPgY!AP233, WMID!AP233, EMID!AP233, SWALES!AP233, SWEST!AP233, LPN!AP233,SPN!AP233,EPN!AP233,SPD!AP233,SPMW!AP233,SSEH!AP233,SSES!AP233)</f>
        <v>18.61816410678275</v>
      </c>
      <c r="AQ233" s="236">
        <f>CHOOSE(m_identity,ENWL!AQ233, NPgN!AQ233, NPgY!AQ233, WMID!AQ233, EMID!AQ233, SWALES!AQ233, SWEST!AQ233, LPN!AQ233,SPN!AQ233,EPN!AQ233,SPD!AQ233,SPMW!AQ233,SSEH!AQ233,SSES!AQ233)</f>
        <v>18.61816410678275</v>
      </c>
    </row>
    <row r="234" spans="2:44" s="151" customFormat="1" ht="15" customHeight="1">
      <c r="C234" s="147"/>
      <c r="D234" s="147"/>
      <c r="E234" s="267" t="s">
        <v>833</v>
      </c>
      <c r="F234" s="147"/>
      <c r="G234" s="19" t="s">
        <v>844</v>
      </c>
      <c r="J234" s="14"/>
      <c r="K234" s="14"/>
      <c r="L234" s="14"/>
      <c r="M234" s="14"/>
      <c r="N234" s="14"/>
      <c r="O234" s="14"/>
      <c r="P234" s="14"/>
      <c r="Q234" s="14"/>
      <c r="R234" s="14"/>
      <c r="S234" s="14"/>
      <c r="T234" s="14"/>
      <c r="U234" s="14"/>
      <c r="V234" s="14"/>
      <c r="W234" s="14"/>
      <c r="X234" s="14"/>
      <c r="Y234" s="14"/>
      <c r="Z234" s="14"/>
      <c r="AJ234" s="236">
        <f>CHOOSE(m_identity,ENWL!AJ234, NPgN!AJ234, NPgY!AJ234, WMID!AJ234, EMID!AJ234, SWALES!AJ234, SWEST!AJ234, LPN!AJ234,SPN!AJ234,EPN!AJ234,SPD!AJ234,SPMW!AJ234,SSEH!AJ234,SSES!AJ234)</f>
        <v>13.26</v>
      </c>
      <c r="AK234" s="236">
        <f>CHOOSE(m_identity,ENWL!AK234, NPgN!AK234, NPgY!AK234, WMID!AK234, EMID!AK234, SWALES!AK234, SWEST!AK234, LPN!AK234,SPN!AK234,EPN!AK234,SPD!AK234,SPMW!AK234,SSEH!AK234,SSES!AK234)</f>
        <v>14.64</v>
      </c>
      <c r="AL234" s="236">
        <f>CHOOSE(m_identity,ENWL!AL234, NPgN!AL234, NPgY!AL234, WMID!AL234, EMID!AL234, SWALES!AL234, SWEST!AL234, LPN!AL234,SPN!AL234,EPN!AL234,SPD!AL234,SPMW!AL234,SSEH!AL234,SSES!AL234)</f>
        <v>16</v>
      </c>
      <c r="AM234" s="236">
        <f>CHOOSE(m_identity,ENWL!AM234, NPgN!AM234, NPgY!AM234, WMID!AM234, EMID!AM234, SWALES!AM234, SWEST!AM234, LPN!AM234,SPN!AM234,EPN!AM234,SPD!AM234,SPMW!AM234,SSEH!AM234,SSES!AM234)</f>
        <v>15.95</v>
      </c>
      <c r="AN234" s="236">
        <f>CHOOSE(m_identity,ENWL!AN234, NPgN!AN234, NPgY!AN234, WMID!AN234, EMID!AN234, SWALES!AN234, SWEST!AN234, LPN!AN234,SPN!AN234,EPN!AN234,SPD!AN234,SPMW!AN234,SSEH!AN234,SSES!AN234)</f>
        <v>16.39</v>
      </c>
      <c r="AO234" s="236">
        <f>CHOOSE(m_identity,ENWL!AO234, NPgN!AO234, NPgY!AO234, WMID!AO234, EMID!AO234, SWALES!AO234, SWEST!AO234, LPN!AO234,SPN!AO234,EPN!AO234,SPD!AO234,SPMW!AO234,SSEH!AO234,SSES!AO234)</f>
        <v>16.690000000000001</v>
      </c>
      <c r="AP234" s="236">
        <f>CHOOSE(m_identity,ENWL!AP234, NPgN!AP234, NPgY!AP234, WMID!AP234, EMID!AP234, SWALES!AP234, SWEST!AP234, LPN!AP234,SPN!AP234,EPN!AP234,SPD!AP234,SPMW!AP234,SSEH!AP234,SSES!AP234)</f>
        <v>16.920000000000002</v>
      </c>
      <c r="AQ234" s="236">
        <f>CHOOSE(m_identity,ENWL!AQ234, NPgN!AQ234, NPgY!AQ234, WMID!AQ234, EMID!AQ234, SWALES!AQ234, SWEST!AQ234, LPN!AQ234,SPN!AQ234,EPN!AQ234,SPD!AQ234,SPMW!AQ234,SSEH!AQ234,SSES!AQ234)</f>
        <v>17.13</v>
      </c>
    </row>
    <row r="235" spans="2:44" ht="15" customHeight="1">
      <c r="C235" s="149"/>
      <c r="D235" s="149"/>
      <c r="E235" s="19" t="s">
        <v>108</v>
      </c>
      <c r="F235" s="149"/>
      <c r="G235" s="19" t="s">
        <v>844</v>
      </c>
      <c r="AJ235" s="471">
        <f>SUM(AJ233:AJ234)</f>
        <v>33.603943550905051</v>
      </c>
      <c r="AK235" s="167">
        <f t="shared" ref="AK235:AQ235" si="27">SUM(AK233:AK234)</f>
        <v>34.133943550905052</v>
      </c>
      <c r="AL235" s="167">
        <f t="shared" si="27"/>
        <v>35.827276884238387</v>
      </c>
      <c r="AM235" s="167">
        <f t="shared" si="27"/>
        <v>36.160610217571715</v>
      </c>
      <c r="AN235" s="167">
        <f t="shared" si="27"/>
        <v>36.03394355090505</v>
      </c>
      <c r="AO235" s="167">
        <f t="shared" si="27"/>
        <v>37.000610217571719</v>
      </c>
      <c r="AP235" s="167">
        <f t="shared" si="27"/>
        <v>35.538164106782752</v>
      </c>
      <c r="AQ235" s="167">
        <f t="shared" si="27"/>
        <v>35.748164106782752</v>
      </c>
    </row>
    <row r="236" spans="2:44" s="148" customFormat="1" ht="15" customHeight="1">
      <c r="J236" s="14"/>
      <c r="K236" s="14"/>
      <c r="L236" s="14"/>
      <c r="M236" s="14"/>
      <c r="N236" s="14"/>
      <c r="O236" s="14"/>
      <c r="P236" s="14"/>
      <c r="Q236" s="14"/>
      <c r="R236" s="14"/>
      <c r="S236" s="14"/>
      <c r="T236" s="14"/>
      <c r="U236" s="14"/>
      <c r="V236" s="14"/>
      <c r="W236" s="14"/>
      <c r="X236" s="14"/>
      <c r="Y236" s="14"/>
      <c r="Z236" s="14"/>
    </row>
    <row r="237" spans="2:44" ht="15" customHeight="1">
      <c r="B237" s="161" t="s">
        <v>217</v>
      </c>
      <c r="C237" s="161"/>
      <c r="D237" s="161"/>
      <c r="E237" s="161"/>
      <c r="F237" s="161"/>
      <c r="G237" s="161"/>
      <c r="H237" s="161"/>
      <c r="I237" s="161"/>
      <c r="J237" s="161"/>
      <c r="K237" s="161"/>
      <c r="L237" s="161"/>
      <c r="M237" s="161"/>
      <c r="N237" s="161"/>
      <c r="O237" s="161"/>
      <c r="P237" s="161"/>
      <c r="Q237" s="161"/>
      <c r="R237" s="161"/>
      <c r="S237" s="161"/>
      <c r="T237" s="161"/>
      <c r="U237" s="161"/>
      <c r="V237" s="161"/>
      <c r="W237" s="161"/>
      <c r="X237" s="161"/>
      <c r="Y237" s="161"/>
      <c r="Z237" s="161"/>
      <c r="AA237" s="161"/>
      <c r="AB237" s="161"/>
      <c r="AC237" s="161"/>
      <c r="AD237" s="161"/>
      <c r="AE237" s="161"/>
      <c r="AF237" s="161"/>
      <c r="AG237" s="161"/>
      <c r="AH237" s="161"/>
      <c r="AI237" s="161"/>
      <c r="AJ237" s="161"/>
      <c r="AK237" s="161"/>
      <c r="AL237" s="161"/>
      <c r="AM237" s="161"/>
      <c r="AN237" s="161"/>
      <c r="AO237" s="161"/>
      <c r="AP237" s="161"/>
      <c r="AQ237" s="161"/>
    </row>
    <row r="239" spans="2:44" s="12" customFormat="1" ht="15" customHeight="1">
      <c r="D239" s="3"/>
      <c r="E239" s="157" t="str">
        <f t="shared" ref="E239" si="28">E31</f>
        <v xml:space="preserve">Pension Scheme Established Deficit revenue allowances                                                                                               </v>
      </c>
      <c r="F239" s="3"/>
      <c r="G239" s="195" t="s">
        <v>844</v>
      </c>
      <c r="H239" s="3"/>
      <c r="I239" s="3"/>
      <c r="J239" s="3"/>
      <c r="K239" s="3"/>
      <c r="L239" s="3"/>
      <c r="M239" s="157"/>
      <c r="N239" s="157"/>
      <c r="O239" s="3"/>
      <c r="P239" s="3"/>
      <c r="Q239" s="3"/>
      <c r="R239" s="3"/>
      <c r="S239" s="3"/>
      <c r="T239" s="3"/>
      <c r="U239" s="3"/>
      <c r="V239" s="3"/>
      <c r="W239" s="3"/>
      <c r="X239" s="3"/>
      <c r="Y239" s="3"/>
      <c r="Z239" s="3"/>
      <c r="AA239" s="3"/>
      <c r="AB239" s="3"/>
      <c r="AC239" s="3"/>
      <c r="AD239" s="3"/>
      <c r="AE239" s="3"/>
      <c r="AF239" s="3"/>
      <c r="AG239" s="3"/>
      <c r="AH239" s="3"/>
      <c r="AI239" s="39"/>
      <c r="AJ239" s="221">
        <f t="shared" ref="AJ239:AQ239" si="29">AJ31</f>
        <v>31.195491306318768</v>
      </c>
      <c r="AK239" s="221">
        <f t="shared" si="29"/>
        <v>31.195491306318768</v>
      </c>
      <c r="AL239" s="221">
        <f t="shared" si="29"/>
        <v>31.195491306318768</v>
      </c>
      <c r="AM239" s="221">
        <f t="shared" si="29"/>
        <v>31.195491306318768</v>
      </c>
      <c r="AN239" s="221">
        <f t="shared" si="29"/>
        <v>31.195491306318768</v>
      </c>
      <c r="AO239" s="221">
        <f t="shared" si="29"/>
        <v>31.195491306318768</v>
      </c>
      <c r="AP239" s="221">
        <f t="shared" si="29"/>
        <v>31.195491306318768</v>
      </c>
      <c r="AQ239" s="221">
        <f t="shared" si="29"/>
        <v>31.195491306318768</v>
      </c>
      <c r="AR239" s="3"/>
    </row>
    <row r="240" spans="2:44" s="158" customFormat="1" ht="15" customHeight="1"/>
    <row r="241" spans="5:43" s="158" customFormat="1" ht="15" customHeight="1">
      <c r="E241" s="157" t="s">
        <v>411</v>
      </c>
      <c r="F241" s="3"/>
      <c r="G241" s="158" t="s">
        <v>844</v>
      </c>
      <c r="H241" s="3"/>
      <c r="I241" s="3"/>
      <c r="J241" s="3"/>
      <c r="K241" s="3"/>
      <c r="L241" s="3"/>
      <c r="M241" s="157"/>
      <c r="N241" s="157"/>
      <c r="O241" s="3"/>
      <c r="P241" s="3"/>
      <c r="Q241" s="3"/>
      <c r="R241" s="3"/>
      <c r="S241" s="3"/>
      <c r="T241" s="3"/>
      <c r="U241" s="3"/>
      <c r="V241" s="3"/>
      <c r="W241" s="3"/>
      <c r="X241" s="3"/>
      <c r="Y241" s="3"/>
      <c r="Z241" s="3"/>
      <c r="AA241" s="3"/>
      <c r="AB241" s="3"/>
      <c r="AC241" s="3"/>
      <c r="AD241" s="3"/>
      <c r="AE241" s="3"/>
      <c r="AF241" s="3"/>
      <c r="AG241" s="3"/>
      <c r="AH241" s="3"/>
      <c r="AI241" s="3"/>
      <c r="AJ241" s="236">
        <f>CHOOSE(m_identity,ENWL!AJ241, NPgN!AJ241, NPgY!AJ241, WMID!AJ241, EMID!AJ241, SWALES!AJ241, SWEST!AJ241, LPN!AJ241,SPN!AJ241,EPN!AJ241,SPD!AJ241,SPMW!AJ241,SSEH!AJ241,SSES!AJ241)</f>
        <v>0</v>
      </c>
      <c r="AK241" s="236">
        <f>CHOOSE(m_identity,ENWL!AK241, NPgN!AK241, NPgY!AK241, WMID!AK241, EMID!AK241, SWALES!AK241, SWEST!AK241, LPN!AK241,SPN!AK241,EPN!AK241,SPD!AK241,SPMW!AK241,SSEH!AK241,SSES!AK241)</f>
        <v>0</v>
      </c>
      <c r="AL241" s="236">
        <f>CHOOSE(m_identity,ENWL!AL241, NPgN!AL241, NPgY!AL241, WMID!AL241, EMID!AL241, SWALES!AL241, SWEST!AL241, LPN!AL241,SPN!AL241,EPN!AL241,SPD!AL241,SPMW!AL241,SSEH!AL241,SSES!AL241)</f>
        <v>0</v>
      </c>
      <c r="AM241" s="236">
        <f>CHOOSE(m_identity,ENWL!AM241, NPgN!AM241, NPgY!AM241, WMID!AM241, EMID!AM241, SWALES!AM241, SWEST!AM241, LPN!AM241,SPN!AM241,EPN!AM241,SPD!AM241,SPMW!AM241,SSEH!AM241,SSES!AM241)</f>
        <v>0</v>
      </c>
      <c r="AN241" s="236">
        <f>CHOOSE(m_identity,ENWL!AN241, NPgN!AN241, NPgY!AN241, WMID!AN241, EMID!AN241, SWALES!AN241, SWEST!AN241, LPN!AN241,SPN!AN241,EPN!AN241,SPD!AN241,SPMW!AN241,SSEH!AN241,SSES!AN241)</f>
        <v>0</v>
      </c>
      <c r="AO241" s="236">
        <f>CHOOSE(m_identity,ENWL!AO241, NPgN!AO241, NPgY!AO241, WMID!AO241, EMID!AO241, SWALES!AO241, SWEST!AO241, LPN!AO241,SPN!AO241,EPN!AO241,SPD!AO241,SPMW!AO241,SSEH!AO241,SSES!AO241)</f>
        <v>0</v>
      </c>
      <c r="AP241" s="236">
        <f>CHOOSE(m_identity,ENWL!AP241, NPgN!AP241, NPgY!AP241, WMID!AP241, EMID!AP241, SWALES!AP241, SWEST!AP241, LPN!AP241,SPN!AP241,EPN!AP241,SPD!AP241,SPMW!AP241,SSEH!AP241,SSES!AP241)</f>
        <v>0</v>
      </c>
      <c r="AQ241" s="236">
        <f>CHOOSE(m_identity,ENWL!AQ241, NPgN!AQ241, NPgY!AQ241, WMID!AQ241, EMID!AQ241, SWALES!AQ241, SWEST!AQ241, LPN!AQ241,SPN!AQ241,EPN!AQ241,SPD!AQ241,SPMW!AQ241,SSEH!AQ241,SSES!AQ241)</f>
        <v>0</v>
      </c>
    </row>
    <row r="242" spans="5:43" s="158" customFormat="1" ht="15" customHeight="1"/>
    <row r="243" spans="5:43" s="158" customFormat="1" ht="15" customHeight="1">
      <c r="E243" s="145" t="s">
        <v>954</v>
      </c>
      <c r="G243" s="19" t="s">
        <v>844</v>
      </c>
      <c r="AJ243" s="227">
        <f>CHOOSE(m_identity,ENWL!AJ243, NPgN!AJ243, NPgY!AJ243, WMID!AJ243, EMID!AJ243, SWALES!AJ243, SWEST!AJ243, LPN!AJ243,SPN!AJ243,EPN!AJ243,SPD!AJ243,SPMW!AJ243,SSEH!AJ243,SSES!AJ243)</f>
        <v>0.50448923190934636</v>
      </c>
      <c r="AK243" s="227">
        <f>CHOOSE(m_identity,ENWL!AK243, NPgN!AK243, NPgY!AK243, WMID!AK243, EMID!AK243, SWALES!AK243, SWEST!AK243, LPN!AK243,SPN!AK243,EPN!AK243,SPD!AK243,SPMW!AK243,SSEH!AK243,SSES!AK243)</f>
        <v>0.52812455242429923</v>
      </c>
      <c r="AL243" s="227">
        <f>CHOOSE(m_identity,ENWL!AL243, NPgN!AL243, NPgY!AL243, WMID!AL243, EMID!AL243, SWALES!AL243, SWEST!AL243, LPN!AL243,SPN!AL243,EPN!AL243,SPD!AL243,SPMW!AL243,SSEH!AL243,SSES!AL243)</f>
        <v>0.55286718770537768</v>
      </c>
      <c r="AM243" s="227">
        <f>CHOOSE(m_identity,ENWL!AM243, NPgN!AM243, NPgY!AM243, WMID!AM243, EMID!AM243, SWALES!AM243, SWEST!AM243, LPN!AM243,SPN!AM243,EPN!AM243,SPD!AM243,SPMW!AM243,SSEH!AM243,SSES!AM243)</f>
        <v>0.57876901544937465</v>
      </c>
      <c r="AN243" s="227">
        <f>CHOOSE(m_identity,ENWL!AN243, NPgN!AN243, NPgY!AN243, WMID!AN243, EMID!AN243, SWALES!AN243, SWEST!AN243, LPN!AN243,SPN!AN243,EPN!AN243,SPD!AN243,SPMW!AN243,SSEH!AN243,SSES!AN243)</f>
        <v>0.6058843438231778</v>
      </c>
      <c r="AO243" s="227">
        <f>CHOOSE(m_identity,ENWL!AO243, NPgN!AO243, NPgY!AO243, WMID!AO243, EMID!AO243, SWALES!AO243, SWEST!AO243, LPN!AO243,SPN!AO243,EPN!AO243,SPD!AO243,SPMW!AO243,SSEH!AO243,SSES!AO243)</f>
        <v>0.63427002533129384</v>
      </c>
      <c r="AP243" s="227">
        <f>CHOOSE(m_identity,ENWL!AP243, NPgN!AP243, NPgY!AP243, WMID!AP243, EMID!AP243, SWALES!AP243, SWEST!AP243, LPN!AP243,SPN!AP243,EPN!AP243,SPD!AP243,SPMW!AP243,SSEH!AP243,SSES!AP243)</f>
        <v>0.66398557601806485</v>
      </c>
      <c r="AQ243" s="227">
        <f>CHOOSE(m_identity,ENWL!AQ243, NPgN!AQ243, NPgY!AQ243, WMID!AQ243, EMID!AQ243, SWALES!AQ243, SWEST!AQ243, LPN!AQ243,SPN!AQ243,EPN!AQ243,SPD!AQ243,SPMW!AQ243,SSEH!AQ243,SSES!AQ243)</f>
        <v>0.69509330025451121</v>
      </c>
    </row>
    <row r="244" spans="5:43" s="158" customFormat="1" ht="15" customHeight="1">
      <c r="E244" s="157" t="str">
        <f>E32</f>
        <v xml:space="preserve">Other legacy adjustments' price control allowed revenue adjustment                                                                                                            </v>
      </c>
      <c r="G244" s="19" t="s">
        <v>844</v>
      </c>
      <c r="AJ244" s="221">
        <f t="shared" ref="AJ244:AQ244" si="30">$AJ$32/8*(1+AJ51)^ROUND((AJ7-$AJ7)/365,1)</f>
        <v>0</v>
      </c>
      <c r="AK244" s="221">
        <f t="shared" si="30"/>
        <v>0</v>
      </c>
      <c r="AL244" s="221">
        <f t="shared" si="30"/>
        <v>0</v>
      </c>
      <c r="AM244" s="221">
        <f t="shared" si="30"/>
        <v>0</v>
      </c>
      <c r="AN244" s="221">
        <f t="shared" si="30"/>
        <v>0</v>
      </c>
      <c r="AO244" s="221">
        <f t="shared" si="30"/>
        <v>0</v>
      </c>
      <c r="AP244" s="221">
        <f t="shared" si="30"/>
        <v>0</v>
      </c>
      <c r="AQ244" s="221">
        <f t="shared" si="30"/>
        <v>0</v>
      </c>
    </row>
    <row r="245" spans="5:43" s="158" customFormat="1" ht="15" customHeight="1">
      <c r="E245" s="145" t="s">
        <v>955</v>
      </c>
      <c r="F245" s="19"/>
      <c r="G245" s="19" t="s">
        <v>844</v>
      </c>
      <c r="H245" s="54"/>
      <c r="I245" s="3"/>
      <c r="J245" s="54"/>
      <c r="K245" s="54"/>
      <c r="L245" s="54"/>
      <c r="M245" s="87"/>
      <c r="N245" s="87"/>
      <c r="O245" s="54"/>
      <c r="P245" s="54"/>
      <c r="Q245" s="54"/>
      <c r="R245" s="54"/>
      <c r="S245" s="54"/>
      <c r="T245" s="54"/>
      <c r="U245" s="54"/>
      <c r="V245" s="54"/>
      <c r="W245" s="54"/>
      <c r="X245" s="54"/>
      <c r="Y245" s="54"/>
      <c r="Z245" s="54"/>
      <c r="AA245" s="54"/>
      <c r="AB245" s="54"/>
      <c r="AC245" s="54"/>
      <c r="AD245" s="54"/>
      <c r="AE245" s="54"/>
      <c r="AF245" s="54"/>
      <c r="AG245" s="54"/>
      <c r="AH245" s="54"/>
      <c r="AI245" s="54"/>
      <c r="AJ245" s="167">
        <f>AJ243+AJ244</f>
        <v>0.50448923190934636</v>
      </c>
      <c r="AK245" s="167">
        <f t="shared" ref="AK245:AQ245" si="31">AK243+AK244</f>
        <v>0.52812455242429923</v>
      </c>
      <c r="AL245" s="167">
        <f t="shared" si="31"/>
        <v>0.55286718770537768</v>
      </c>
      <c r="AM245" s="167">
        <f t="shared" si="31"/>
        <v>0.57876901544937465</v>
      </c>
      <c r="AN245" s="167">
        <f t="shared" si="31"/>
        <v>0.6058843438231778</v>
      </c>
      <c r="AO245" s="167">
        <f t="shared" si="31"/>
        <v>0.63427002533129384</v>
      </c>
      <c r="AP245" s="167">
        <f t="shared" si="31"/>
        <v>0.66398557601806485</v>
      </c>
      <c r="AQ245" s="167">
        <f t="shared" si="31"/>
        <v>0.69509330025451121</v>
      </c>
    </row>
    <row r="246" spans="5:43" s="158" customFormat="1" ht="15" customHeight="1"/>
    <row r="247" spans="5:43" s="158" customFormat="1" ht="15" customHeight="1">
      <c r="E247" s="157" t="s">
        <v>956</v>
      </c>
      <c r="G247" s="19" t="s">
        <v>844</v>
      </c>
      <c r="AJ247" s="227">
        <f>CHOOSE(m_identity,ENWL!AJ247, NPgN!AJ247, NPgY!AJ247, WMID!AJ247, EMID!AJ247, SWALES!AJ247, SWEST!AJ247, LPN!AJ247,SPN!AJ247,EPN!AJ247,SPD!AJ247,SPMW!AJ247,SSEH!AJ247,SSES!AJ247)</f>
        <v>1.4981411486086742</v>
      </c>
      <c r="AK247" s="227">
        <f>CHOOSE(m_identity,ENWL!AK247, NPgN!AK247, NPgY!AK247, WMID!AK247, EMID!AK247, SWALES!AK247, SWEST!AK247, LPN!AK247,SPN!AK247,EPN!AK247,SPD!AK247,SPMW!AK247,SSEH!AK247,SSES!AK247)</f>
        <v>1.5683290614209906</v>
      </c>
      <c r="AL247" s="227">
        <f>CHOOSE(m_identity,ENWL!AL247, NPgN!AL247, NPgY!AL247, WMID!AL247, EMID!AL247, SWALES!AL247, SWEST!AL247, LPN!AL247,SPN!AL247,EPN!AL247,SPD!AL247,SPMW!AL247,SSEH!AL247,SSES!AL247)</f>
        <v>1.6418052779485641</v>
      </c>
      <c r="AM247" s="227">
        <f>CHOOSE(m_identity,ENWL!AM247, NPgN!AM247, NPgY!AM247, WMID!AM247, EMID!AM247, SWALES!AM247, SWEST!AM247, LPN!AM247,SPN!AM247,EPN!AM247,SPD!AM247,SPMW!AM247,SSEH!AM247,SSES!AM247)</f>
        <v>1.7187238552204542</v>
      </c>
      <c r="AN247" s="227">
        <f>CHOOSE(m_identity,ENWL!AN247, NPgN!AN247, NPgY!AN247, WMID!AN247, EMID!AN247, SWALES!AN247, SWEST!AN247, LPN!AN247,SPN!AN247,EPN!AN247,SPD!AN247,SPMW!AN247,SSEH!AN247,SSES!AN247)</f>
        <v>1.7992460678375326</v>
      </c>
      <c r="AO247" s="227">
        <f>CHOOSE(m_identity,ENWL!AO247, NPgN!AO247, NPgY!AO247, WMID!AO247, EMID!AO247, SWALES!AO247, SWEST!AO247, LPN!AO247,SPN!AO247,EPN!AO247,SPD!AO247,SPMW!AO247,SSEH!AO247,SSES!AO247)</f>
        <v>1.8835407461157214</v>
      </c>
      <c r="AP247" s="227">
        <f>CHOOSE(m_identity,ENWL!AP247, NPgN!AP247, NPgY!AP247, WMID!AP247, EMID!AP247, SWALES!AP247, SWEST!AP247, LPN!AP247,SPN!AP247,EPN!AP247,SPD!AP247,SPMW!AP247,SSEH!AP247,SSES!AP247)</f>
        <v>1.9717846300712427</v>
      </c>
      <c r="AQ247" s="227">
        <f>CHOOSE(m_identity,ENWL!AQ247, NPgN!AQ247, NPgY!AQ247, WMID!AQ247, EMID!AQ247, SWALES!AQ247, SWEST!AQ247, LPN!AQ247,SPN!AQ247,EPN!AQ247,SPD!AQ247,SPMW!AQ247,SSEH!AQ247,SSES!AQ247)</f>
        <v>2.0641627399900804</v>
      </c>
    </row>
    <row r="248" spans="5:43" s="158" customFormat="1" ht="15" customHeight="1">
      <c r="E248" s="157" t="str">
        <f>E34</f>
        <v>RAV Rolling Incentive legacy adjustments' price control allowed revenue adjustment</v>
      </c>
      <c r="G248" s="19" t="s">
        <v>844</v>
      </c>
      <c r="AJ248" s="221">
        <f t="shared" ref="AJ248:AQ248" si="32">$AJ$34/8*(1+AJ51)^ROUND((AJ7-$AJ7)/365,1)</f>
        <v>0</v>
      </c>
      <c r="AK248" s="221">
        <f t="shared" si="32"/>
        <v>0</v>
      </c>
      <c r="AL248" s="221">
        <f t="shared" si="32"/>
        <v>0</v>
      </c>
      <c r="AM248" s="221">
        <f t="shared" si="32"/>
        <v>0</v>
      </c>
      <c r="AN248" s="221">
        <f t="shared" si="32"/>
        <v>0</v>
      </c>
      <c r="AO248" s="221">
        <f t="shared" si="32"/>
        <v>0</v>
      </c>
      <c r="AP248" s="221">
        <f t="shared" si="32"/>
        <v>0</v>
      </c>
      <c r="AQ248" s="221">
        <f t="shared" si="32"/>
        <v>0</v>
      </c>
    </row>
    <row r="249" spans="5:43" s="158" customFormat="1" ht="15" customHeight="1">
      <c r="E249" s="157" t="s">
        <v>957</v>
      </c>
      <c r="F249" s="19"/>
      <c r="G249" s="19" t="s">
        <v>844</v>
      </c>
      <c r="AJ249" s="167">
        <f>AJ247+AJ248</f>
        <v>1.4981411486086742</v>
      </c>
      <c r="AK249" s="167">
        <f t="shared" ref="AK249:AQ249" si="33">AK247+AK248</f>
        <v>1.5683290614209906</v>
      </c>
      <c r="AL249" s="167">
        <f t="shared" si="33"/>
        <v>1.6418052779485641</v>
      </c>
      <c r="AM249" s="167">
        <f t="shared" si="33"/>
        <v>1.7187238552204542</v>
      </c>
      <c r="AN249" s="167">
        <f t="shared" si="33"/>
        <v>1.7992460678375326</v>
      </c>
      <c r="AO249" s="167">
        <f t="shared" si="33"/>
        <v>1.8835407461157214</v>
      </c>
      <c r="AP249" s="167">
        <f t="shared" si="33"/>
        <v>1.9717846300712427</v>
      </c>
      <c r="AQ249" s="167">
        <f t="shared" si="33"/>
        <v>2.0641627399900804</v>
      </c>
    </row>
    <row r="250" spans="5:43" s="158" customFormat="1" ht="15" customHeight="1">
      <c r="E250" s="157"/>
      <c r="F250" s="19"/>
      <c r="G250" s="19"/>
      <c r="AJ250" s="157"/>
      <c r="AK250" s="157"/>
      <c r="AL250" s="157"/>
      <c r="AM250" s="157"/>
      <c r="AN250" s="157"/>
      <c r="AO250" s="157"/>
      <c r="AP250" s="157"/>
      <c r="AQ250" s="157"/>
    </row>
    <row r="251" spans="5:43" s="158" customFormat="1" ht="15" customHeight="1">
      <c r="E251" s="157" t="s">
        <v>801</v>
      </c>
      <c r="F251" s="19"/>
      <c r="G251" s="19" t="s">
        <v>844</v>
      </c>
      <c r="H251" s="158" t="s">
        <v>830</v>
      </c>
      <c r="AJ251" s="236"/>
      <c r="AK251" s="236"/>
      <c r="AL251" s="236"/>
      <c r="AM251" s="236"/>
      <c r="AN251" s="236"/>
      <c r="AO251" s="236"/>
      <c r="AP251" s="236"/>
      <c r="AQ251" s="236"/>
    </row>
    <row r="252" spans="5:43" s="158" customFormat="1" ht="15" customHeight="1"/>
    <row r="253" spans="5:43" s="158" customFormat="1" ht="15" customHeight="1">
      <c r="E253" s="19" t="s">
        <v>729</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f>CHOOSE(m_identity,ENWL!AE253, NPgN!AE253, NPgY!AE253, WMID!AE253, EMID!AE253, SWALES!AE253, SWEST!AE253, LPN!AE253,SPN!AE253,EPN!AE253,SPD!AE253,SPMW!AE253,SSEH!AE253,SSES!AE253)</f>
        <v>0.18806282000000002</v>
      </c>
      <c r="AF253" s="227">
        <f>CHOOSE(m_identity,ENWL!AF253, NPgN!AF253, NPgY!AF253, WMID!AF253, EMID!AF253, SWALES!AF253, SWEST!AF253, LPN!AF253,SPN!AF253,EPN!AF253,SPD!AF253,SPMW!AF253,SSEH!AF253,SSES!AF253)</f>
        <v>0.10960936392355741</v>
      </c>
      <c r="AG253" s="227">
        <f>CHOOSE(m_identity,ENWL!AG253, NPgN!AG253, NPgY!AG253, WMID!AG253, EMID!AG253, SWALES!AG253, SWEST!AG253, LPN!AG253,SPN!AG253,EPN!AG253,SPD!AG253,SPMW!AG253,SSEH!AG253,SSES!AG253)</f>
        <v>4.003000000000001E-2</v>
      </c>
      <c r="AH253" s="227">
        <f>CHOOSE(m_identity,ENWL!AH253, NPgN!AH253, NPgY!AH253, WMID!AH253, EMID!AH253, SWALES!AH253, SWEST!AH253, LPN!AH253,SPN!AH253,EPN!AH253,SPD!AH253,SPMW!AH253,SSEH!AH253,SSES!AH253)</f>
        <v>0.05</v>
      </c>
      <c r="AI253" s="227">
        <f>CHOOSE(m_identity,ENWL!AI253, NPgN!AI253, NPgY!AI253, WMID!AI253, EMID!AI253, SWALES!AI253, SWEST!AI253, LPN!AI253,SPN!AI253,EPN!AI253,SPD!AI253,SPMW!AI253,SSEH!AI253,SSES!AI253)</f>
        <v>0.05</v>
      </c>
      <c r="AJ253" s="227">
        <f>CHOOSE(m_identity,ENWL!AJ253, NPgN!AJ253, NPgY!AJ253, WMID!AJ253, EMID!AJ253, SWALES!AJ253, SWEST!AJ253, LPN!AJ253,SPN!AJ253,EPN!AJ253,SPD!AJ253,SPMW!AJ253,SSEH!AJ253,SSES!AJ253)</f>
        <v>0</v>
      </c>
      <c r="AK253" s="227">
        <f>CHOOSE(m_identity,ENWL!AK253, NPgN!AK253, NPgY!AK253, WMID!AK253, EMID!AK253, SWALES!AK253, SWEST!AK253, LPN!AK253,SPN!AK253,EPN!AK253,SPD!AK253,SPMW!AK253,SSEH!AK253,SSES!AK253)</f>
        <v>0</v>
      </c>
      <c r="AL253" s="227">
        <f>CHOOSE(m_identity,ENWL!AL253, NPgN!AL253, NPgY!AL253, WMID!AL253, EMID!AL253, SWALES!AL253, SWEST!AL253, LPN!AL253,SPN!AL253,EPN!AL253,SPD!AL253,SPMW!AL253,SSEH!AL253,SSES!AL253)</f>
        <v>0</v>
      </c>
      <c r="AM253" s="227">
        <f>CHOOSE(m_identity,ENWL!AM253, NPgN!AM253, NPgY!AM253, WMID!AM253, EMID!AM253, SWALES!AM253, SWEST!AM253, LPN!AM253,SPN!AM253,EPN!AM253,SPD!AM253,SPMW!AM253,SSEH!AM253,SSES!AM253)</f>
        <v>0</v>
      </c>
      <c r="AN253" s="227">
        <f>CHOOSE(m_identity,ENWL!AN253, NPgN!AN253, NPgY!AN253, WMID!AN253, EMID!AN253, SWALES!AN253, SWEST!AN253, LPN!AN253,SPN!AN253,EPN!AN253,SPD!AN253,SPMW!AN253,SSEH!AN253,SSES!AN253)</f>
        <v>0</v>
      </c>
      <c r="AO253" s="227">
        <f>CHOOSE(m_identity,ENWL!AO253, NPgN!AO253, NPgY!AO253, WMID!AO253, EMID!AO253, SWALES!AO253, SWEST!AO253, LPN!AO253,SPN!AO253,EPN!AO253,SPD!AO253,SPMW!AO253,SSEH!AO253,SSES!AO253)</f>
        <v>0</v>
      </c>
      <c r="AP253" s="227">
        <f>CHOOSE(m_identity,ENWL!AP253, NPgN!AP253, NPgY!AP253, WMID!AP253, EMID!AP253, SWALES!AP253, SWEST!AP253, LPN!AP253,SPN!AP253,EPN!AP253,SPD!AP253,SPMW!AP253,SSEH!AP253,SSES!AP253)</f>
        <v>0</v>
      </c>
      <c r="AQ253" s="227">
        <f>CHOOSE(m_identity,ENWL!AQ253, NPgN!AQ253, NPgY!AQ253, WMID!AQ253, EMID!AQ253, SWALES!AQ253, SWEST!AQ253, LPN!AQ253,SPN!AQ253,EPN!AQ253,SPD!AQ253,SPMW!AQ253,SSEH!AQ253,SSES!AQ253)</f>
        <v>0</v>
      </c>
    </row>
    <row r="254" spans="5:43" ht="15" customHeight="1">
      <c r="E254" s="19" t="s">
        <v>730</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f>CHOOSE(m_identity,ENWL!AE254, NPgN!AE254, NPgY!AE254, WMID!AE254, EMID!AE254, SWALES!AE254, SWEST!AE254, LPN!AE254,SPN!AE254,EPN!AE254,SPD!AE254,SPMW!AE254,SSEH!AE254,SSES!AE254)</f>
        <v>-0.18806282000000002</v>
      </c>
      <c r="AF254" s="227">
        <f>CHOOSE(m_identity,ENWL!AF254, NPgN!AF254, NPgY!AF254, WMID!AF254, EMID!AF254, SWALES!AF254, SWEST!AF254, LPN!AF254,SPN!AF254,EPN!AF254,SPD!AF254,SPMW!AF254,SSEH!AF254,SSES!AF254)</f>
        <v>-0.10960936392355741</v>
      </c>
      <c r="AG254" s="227">
        <f>CHOOSE(m_identity,ENWL!AG254, NPgN!AG254, NPgY!AG254, WMID!AG254, EMID!AG254, SWALES!AG254, SWEST!AG254, LPN!AG254,SPN!AG254,EPN!AG254,SPD!AG254,SPMW!AG254,SSEH!AG254,SSES!AG254)</f>
        <v>-4.003000000000001E-2</v>
      </c>
      <c r="AH254" s="227">
        <f>CHOOSE(m_identity,ENWL!AH254, NPgN!AH254, NPgY!AH254, WMID!AH254, EMID!AH254, SWALES!AH254, SWEST!AH254, LPN!AH254,SPN!AH254,EPN!AH254,SPD!AH254,SPMW!AH254,SSEH!AH254,SSES!AH254)</f>
        <v>-0.05</v>
      </c>
      <c r="AI254" s="227">
        <f>CHOOSE(m_identity,ENWL!AI254, NPgN!AI254, NPgY!AI254, WMID!AI254, EMID!AI254, SWALES!AI254, SWEST!AI254, LPN!AI254,SPN!AI254,EPN!AI254,SPD!AI254,SPMW!AI254,SSEH!AI254,SSES!AI254)</f>
        <v>-0.05</v>
      </c>
      <c r="AJ254" s="227">
        <f>CHOOSE(m_identity,ENWL!AJ254, NPgN!AJ254, NPgY!AJ254, WMID!AJ254, EMID!AJ254, SWALES!AJ254, SWEST!AJ254, LPN!AJ254,SPN!AJ254,EPN!AJ254,SPD!AJ254,SPMW!AJ254,SSEH!AJ254,SSES!AJ254)</f>
        <v>0</v>
      </c>
      <c r="AK254" s="227">
        <f>CHOOSE(m_identity,ENWL!AK254, NPgN!AK254, NPgY!AK254, WMID!AK254, EMID!AK254, SWALES!AK254, SWEST!AK254, LPN!AK254,SPN!AK254,EPN!AK254,SPD!AK254,SPMW!AK254,SSEH!AK254,SSES!AK254)</f>
        <v>0</v>
      </c>
      <c r="AL254" s="227">
        <f>CHOOSE(m_identity,ENWL!AL254, NPgN!AL254, NPgY!AL254, WMID!AL254, EMID!AL254, SWALES!AL254, SWEST!AL254, LPN!AL254,SPN!AL254,EPN!AL254,SPD!AL254,SPMW!AL254,SSEH!AL254,SSES!AL254)</f>
        <v>0</v>
      </c>
      <c r="AM254" s="227">
        <f>CHOOSE(m_identity,ENWL!AM254, NPgN!AM254, NPgY!AM254, WMID!AM254, EMID!AM254, SWALES!AM254, SWEST!AM254, LPN!AM254,SPN!AM254,EPN!AM254,SPD!AM254,SPMW!AM254,SSEH!AM254,SSES!AM254)</f>
        <v>0</v>
      </c>
      <c r="AN254" s="227">
        <f>CHOOSE(m_identity,ENWL!AN254, NPgN!AN254, NPgY!AN254, WMID!AN254, EMID!AN254, SWALES!AN254, SWEST!AN254, LPN!AN254,SPN!AN254,EPN!AN254,SPD!AN254,SPMW!AN254,SSEH!AN254,SSES!AN254)</f>
        <v>0</v>
      </c>
      <c r="AO254" s="227">
        <f>CHOOSE(m_identity,ENWL!AO254, NPgN!AO254, NPgY!AO254, WMID!AO254, EMID!AO254, SWALES!AO254, SWEST!AO254, LPN!AO254,SPN!AO254,EPN!AO254,SPD!AO254,SPMW!AO254,SSEH!AO254,SSES!AO254)</f>
        <v>0</v>
      </c>
      <c r="AP254" s="227">
        <f>CHOOSE(m_identity,ENWL!AP254, NPgN!AP254, NPgY!AP254, WMID!AP254, EMID!AP254, SWALES!AP254, SWEST!AP254, LPN!AP254,SPN!AP254,EPN!AP254,SPD!AP254,SPMW!AP254,SSEH!AP254,SSES!AP254)</f>
        <v>0</v>
      </c>
      <c r="AQ254" s="227">
        <f>CHOOSE(m_identity,ENWL!AQ254, NPgN!AQ254, NPgY!AQ254, WMID!AQ254, EMID!AQ254, SWALES!AQ254, SWEST!AQ254, LPN!AQ254,SPN!AQ254,EPN!AQ254,SPD!AQ254,SPMW!AQ254,SSEH!AQ254,SSES!AQ254)</f>
        <v>0</v>
      </c>
    </row>
    <row r="255" spans="5:43" s="158" customFormat="1" ht="15" customHeight="1">
      <c r="E255" s="19" t="s">
        <v>731</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f t="shared" ref="AE255:AI255" si="34">SUM(AE253,AE254)</f>
        <v>0</v>
      </c>
      <c r="AF255" s="167">
        <f t="shared" si="34"/>
        <v>0</v>
      </c>
      <c r="AG255" s="167">
        <f t="shared" si="34"/>
        <v>0</v>
      </c>
      <c r="AH255" s="167">
        <f t="shared" si="34"/>
        <v>0</v>
      </c>
      <c r="AI255" s="167">
        <f t="shared" si="34"/>
        <v>0</v>
      </c>
      <c r="AJ255" s="167">
        <f>SUM(AJ253,AJ254)</f>
        <v>0</v>
      </c>
      <c r="AK255" s="167">
        <f t="shared" ref="AK255:AQ255" si="35">SUM(AK253,AK254)</f>
        <v>0</v>
      </c>
      <c r="AL255" s="167">
        <f t="shared" si="35"/>
        <v>0</v>
      </c>
      <c r="AM255" s="167">
        <f t="shared" si="35"/>
        <v>0</v>
      </c>
      <c r="AN255" s="167">
        <f t="shared" si="35"/>
        <v>0</v>
      </c>
      <c r="AO255" s="167">
        <f t="shared" si="35"/>
        <v>0</v>
      </c>
      <c r="AP255" s="167">
        <f t="shared" si="35"/>
        <v>0</v>
      </c>
      <c r="AQ255" s="167">
        <f t="shared" si="35"/>
        <v>0</v>
      </c>
    </row>
    <row r="256" spans="5:43" s="158" customFormat="1" ht="15" customHeight="1">
      <c r="E256" s="19"/>
      <c r="F256" s="19"/>
      <c r="G256" s="195"/>
      <c r="H256" s="19"/>
      <c r="I256" s="19"/>
      <c r="J256" s="88"/>
      <c r="K256" s="88"/>
      <c r="L256" s="88"/>
      <c r="M256" s="88"/>
      <c r="N256" s="88"/>
      <c r="O256" s="88"/>
      <c r="P256" s="88"/>
      <c r="Q256" s="88"/>
      <c r="R256" s="88"/>
      <c r="S256" s="88"/>
      <c r="T256" s="88"/>
      <c r="U256" s="88"/>
      <c r="V256" s="88"/>
      <c r="W256" s="88"/>
      <c r="X256" s="88"/>
      <c r="Y256" s="88"/>
      <c r="Z256" s="88"/>
      <c r="AA256" s="19"/>
      <c r="AB256" s="19"/>
      <c r="AC256" s="19"/>
      <c r="AD256" s="19"/>
      <c r="AE256" s="157"/>
      <c r="AF256" s="157"/>
      <c r="AG256" s="157"/>
      <c r="AH256" s="157"/>
      <c r="AI256" s="157"/>
      <c r="AJ256" s="157"/>
      <c r="AK256" s="157"/>
      <c r="AL256" s="157"/>
      <c r="AM256" s="157"/>
      <c r="AN256" s="157"/>
      <c r="AO256" s="157"/>
      <c r="AP256" s="157"/>
      <c r="AQ256" s="157"/>
    </row>
    <row r="257" spans="5:43" s="158" customFormat="1" ht="15" customHeight="1">
      <c r="E257" s="430" t="s">
        <v>728</v>
      </c>
      <c r="F257" s="19"/>
      <c r="G257" s="195"/>
      <c r="H257" s="19"/>
      <c r="I257" s="19"/>
      <c r="J257" s="88"/>
      <c r="K257" s="88"/>
      <c r="L257" s="88"/>
      <c r="M257" s="88"/>
      <c r="N257" s="88"/>
      <c r="O257" s="88"/>
      <c r="P257" s="88"/>
      <c r="Q257" s="88"/>
      <c r="R257" s="88"/>
      <c r="S257" s="88"/>
      <c r="T257" s="88"/>
      <c r="U257" s="88"/>
      <c r="V257" s="88"/>
      <c r="W257" s="88"/>
      <c r="X257" s="88"/>
      <c r="Y257" s="88"/>
      <c r="Z257" s="88"/>
      <c r="AA257" s="19"/>
      <c r="AB257" s="19"/>
      <c r="AC257" s="19"/>
      <c r="AD257" s="19"/>
      <c r="AE257" s="157"/>
      <c r="AF257" s="157"/>
      <c r="AG257" s="157"/>
      <c r="AH257" s="157"/>
      <c r="AI257" s="157"/>
      <c r="AJ257" s="157"/>
      <c r="AK257" s="157"/>
      <c r="AL257" s="157"/>
      <c r="AM257" s="157"/>
      <c r="AN257" s="157"/>
      <c r="AO257" s="157"/>
      <c r="AP257" s="157"/>
      <c r="AQ257" s="157"/>
    </row>
    <row r="258" spans="5:43" s="158" customFormat="1" ht="15" customHeight="1">
      <c r="E258" s="19"/>
      <c r="F258" s="19"/>
      <c r="G258" s="195"/>
      <c r="H258" s="19"/>
      <c r="I258" s="19"/>
      <c r="J258" s="88"/>
      <c r="K258" s="88"/>
      <c r="L258" s="88"/>
      <c r="M258" s="88"/>
      <c r="N258" s="88"/>
      <c r="O258" s="88"/>
      <c r="P258" s="88"/>
      <c r="Q258" s="88"/>
      <c r="R258" s="88"/>
      <c r="S258" s="88"/>
      <c r="T258" s="88"/>
      <c r="U258" s="88"/>
      <c r="V258" s="88"/>
      <c r="W258" s="88"/>
      <c r="X258" s="88"/>
      <c r="Y258" s="88"/>
      <c r="Z258" s="88"/>
      <c r="AA258" s="19"/>
      <c r="AB258" s="19"/>
      <c r="AC258" s="19"/>
      <c r="AD258" s="19"/>
      <c r="AE258" s="157"/>
      <c r="AF258" s="157"/>
      <c r="AG258" s="157"/>
      <c r="AH258" s="157"/>
      <c r="AI258" s="157"/>
      <c r="AJ258" s="157"/>
      <c r="AK258" s="157"/>
      <c r="AL258" s="157"/>
      <c r="AM258" s="157"/>
      <c r="AN258" s="157"/>
      <c r="AO258" s="157"/>
      <c r="AP258" s="157"/>
      <c r="AQ258" s="157"/>
    </row>
    <row r="259" spans="5:43" s="158" customFormat="1" ht="15" customHeight="1">
      <c r="E259" s="19" t="s">
        <v>864</v>
      </c>
      <c r="F259" s="19"/>
      <c r="G259" s="195" t="s">
        <v>844</v>
      </c>
      <c r="H259" s="19"/>
      <c r="I259" s="19"/>
      <c r="J259" s="88"/>
      <c r="K259" s="88"/>
      <c r="L259" s="88"/>
      <c r="M259" s="88"/>
      <c r="N259" s="88"/>
      <c r="O259" s="88"/>
      <c r="P259" s="88"/>
      <c r="Q259" s="88"/>
      <c r="R259" s="88"/>
      <c r="S259" s="88"/>
      <c r="T259" s="88"/>
      <c r="U259" s="88"/>
      <c r="V259" s="88"/>
      <c r="W259" s="88"/>
      <c r="X259" s="88"/>
      <c r="Y259" s="88"/>
      <c r="Z259" s="88"/>
      <c r="AA259" s="19"/>
      <c r="AB259" s="19"/>
      <c r="AC259" s="19"/>
      <c r="AD259" s="19"/>
      <c r="AE259" s="227">
        <f>CHOOSE(m_identity,ENWL!AE259, NPgN!AE259, NPgY!AE259, WMID!AE259, EMID!AE259, SWALES!AE259, SWEST!AE259, LPN!AE259,SPN!AE259,EPN!AE259,SPD!AE259,SPMW!AE259,SSEH!AE259,SSES!AE259)</f>
        <v>-2.8573539107104952E-2</v>
      </c>
      <c r="AF259" s="227">
        <f>CHOOSE(m_identity,ENWL!AF259, NPgN!AF259, NPgY!AF259, WMID!AF259, EMID!AF259, SWALES!AF259, SWEST!AF259, LPN!AF259,SPN!AF259,EPN!AF259,SPD!AF259,SPMW!AF259,SSEH!AF259,SSES!AF259)</f>
        <v>-0.81651148818178432</v>
      </c>
      <c r="AG259" s="227">
        <f>CHOOSE(m_identity,ENWL!AG259, NPgN!AG259, NPgY!AG259, WMID!AG259, EMID!AG259, SWALES!AG259, SWEST!AG259, LPN!AG259,SPN!AG259,EPN!AG259,SPD!AG259,SPMW!AG259,SSEH!AG259,SSES!AG259)</f>
        <v>-6.3426575609911779</v>
      </c>
      <c r="AH259" s="227">
        <f>CHOOSE(m_identity,ENWL!AH259, NPgN!AH259, NPgY!AH259, WMID!AH259, EMID!AH259, SWALES!AH259, SWEST!AH259, LPN!AH259,SPN!AH259,EPN!AH259,SPD!AH259,SPMW!AH259,SSEH!AH259,SSES!AH259)</f>
        <v>-0.3119326299239622</v>
      </c>
      <c r="AI259" s="227">
        <f>CHOOSE(m_identity,ENWL!AI259, NPgN!AI259, NPgY!AI259, WMID!AI259, EMID!AI259, SWALES!AI259, SWEST!AI259, LPN!AI259,SPN!AI259,EPN!AI259,SPD!AI259,SPMW!AI259,SSEH!AI259,SSES!AI259)</f>
        <v>8.1805833913105697E-2</v>
      </c>
      <c r="AJ259" s="227">
        <f>CHOOSE(m_identity,ENWL!AJ259, NPgN!AJ259, NPgY!AJ259, WMID!AJ259, EMID!AJ259, SWALES!AJ259, SWEST!AJ259, LPN!AJ259,SPN!AJ259,EPN!AJ259,SPD!AJ259,SPMW!AJ259,SSEH!AJ259,SSES!AJ259)</f>
        <v>0.94804045317068497</v>
      </c>
      <c r="AK259" s="227">
        <f>CHOOSE(m_identity,ENWL!AK259, NPgN!AK259, NPgY!AK259, WMID!AK259, EMID!AK259, SWALES!AK259, SWEST!AK259, LPN!AK259,SPN!AK259,EPN!AK259,SPD!AK259,SPMW!AK259,SSEH!AK259,SSES!AK259)</f>
        <v>0.79297902435315537</v>
      </c>
      <c r="AL259" s="227">
        <f>CHOOSE(m_identity,ENWL!AL259, NPgN!AL259, NPgY!AL259, WMID!AL259, EMID!AL259, SWALES!AL259, SWEST!AL259, LPN!AL259,SPN!AL259,EPN!AL259,SPD!AL259,SPMW!AL259,SSEH!AL259,SSES!AL259)</f>
        <v>0.58961813156807241</v>
      </c>
      <c r="AM259" s="227">
        <f>CHOOSE(m_identity,ENWL!AM259, NPgN!AM259, NPgY!AM259, WMID!AM259, EMID!AM259, SWALES!AM259, SWEST!AM259, LPN!AM259,SPN!AM259,EPN!AM259,SPD!AM259,SPMW!AM259,SSEH!AM259,SSES!AM259)</f>
        <v>0.46990144188521121</v>
      </c>
      <c r="AN259" s="227">
        <f>CHOOSE(m_identity,ENWL!AN259, NPgN!AN259, NPgY!AN259, WMID!AN259, EMID!AN259, SWALES!AN259, SWEST!AN259, LPN!AN259,SPN!AN259,EPN!AN259,SPD!AN259,SPMW!AN259,SSEH!AN259,SSES!AN259)</f>
        <v>0.3005560110518346</v>
      </c>
      <c r="AO259" s="227">
        <f>CHOOSE(m_identity,ENWL!AO259, NPgN!AO259, NPgY!AO259, WMID!AO259, EMID!AO259, SWALES!AO259, SWEST!AO259, LPN!AO259,SPN!AO259,EPN!AO259,SPD!AO259,SPMW!AO259,SSEH!AO259,SSES!AO259)</f>
        <v>0.24567999521194928</v>
      </c>
      <c r="AP259" s="227">
        <f>CHOOSE(m_identity,ENWL!AP259, NPgN!AP259, NPgY!AP259, WMID!AP259, EMID!AP259, SWALES!AP259, SWEST!AP259, LPN!AP259,SPN!AP259,EPN!AP259,SPD!AP259,SPMW!AP259,SSEH!AP259,SSES!AP259)</f>
        <v>0.17261762956418192</v>
      </c>
      <c r="AQ259" s="227">
        <f>CHOOSE(m_identity,ENWL!AQ259, NPgN!AQ259, NPgY!AQ259, WMID!AQ259, EMID!AQ259, SWALES!AQ259, SWEST!AQ259, LPN!AQ259,SPN!AQ259,EPN!AQ259,SPD!AQ259,SPMW!AQ259,SSEH!AQ259,SSES!AQ259)</f>
        <v>5.1948275730870908E-2</v>
      </c>
    </row>
    <row r="260" spans="5:43" s="158" customFormat="1" ht="15" customHeight="1">
      <c r="E260" s="19" t="s">
        <v>863</v>
      </c>
      <c r="F260" s="19"/>
      <c r="G260" s="195" t="s">
        <v>844</v>
      </c>
      <c r="H260" s="19"/>
      <c r="I260" s="19"/>
      <c r="J260" s="88"/>
      <c r="K260" s="88"/>
      <c r="L260" s="88"/>
      <c r="M260" s="88"/>
      <c r="N260" s="88"/>
      <c r="O260" s="88"/>
      <c r="P260" s="88"/>
      <c r="Q260" s="88"/>
      <c r="R260" s="88"/>
      <c r="S260" s="88"/>
      <c r="T260" s="88"/>
      <c r="U260" s="88"/>
      <c r="V260" s="88"/>
      <c r="W260" s="88"/>
      <c r="X260" s="88"/>
      <c r="Y260" s="88"/>
      <c r="Z260" s="88"/>
      <c r="AA260" s="19"/>
      <c r="AB260" s="19"/>
      <c r="AC260" s="19"/>
      <c r="AD260" s="19"/>
      <c r="AE260" s="227">
        <f>CHOOSE(m_identity,ENWL!AE260, NPgN!AE260, NPgY!AE260, WMID!AE260, EMID!AE260, SWALES!AE260, SWEST!AE260, LPN!AE260,SPN!AE260,EPN!AE260,SPD!AE260,SPMW!AE260,SSEH!AE260,SSES!AE260)</f>
        <v>2.8573539107104952E-2</v>
      </c>
      <c r="AF260" s="227">
        <f>CHOOSE(m_identity,ENWL!AF260, NPgN!AF260, NPgY!AF260, WMID!AF260, EMID!AF260, SWALES!AF260, SWEST!AF260, LPN!AF260,SPN!AF260,EPN!AF260,SPD!AF260,SPMW!AF260,SSEH!AF260,SSES!AF260)</f>
        <v>0.81651148818178432</v>
      </c>
      <c r="AG260" s="227">
        <f>CHOOSE(m_identity,ENWL!AG260, NPgN!AG260, NPgY!AG260, WMID!AG260, EMID!AG260, SWALES!AG260, SWEST!AG260, LPN!AG260,SPN!AG260,EPN!AG260,SPD!AG260,SPMW!AG260,SSEH!AG260,SSES!AG260)</f>
        <v>6.3426575609911779</v>
      </c>
      <c r="AH260" s="227">
        <f>CHOOSE(m_identity,ENWL!AH260, NPgN!AH260, NPgY!AH260, WMID!AH260, EMID!AH260, SWALES!AH260, SWEST!AH260, LPN!AH260,SPN!AH260,EPN!AH260,SPD!AH260,SPMW!AH260,SSEH!AH260,SSES!AH260)</f>
        <v>0.3119326299239622</v>
      </c>
      <c r="AI260" s="227">
        <f>CHOOSE(m_identity,ENWL!AI260, NPgN!AI260, NPgY!AI260, WMID!AI260, EMID!AI260, SWALES!AI260, SWEST!AI260, LPN!AI260,SPN!AI260,EPN!AI260,SPD!AI260,SPMW!AI260,SSEH!AI260,SSES!AI260)</f>
        <v>-8.1805833913105697E-2</v>
      </c>
      <c r="AJ260" s="227">
        <f>CHOOSE(m_identity,ENWL!AJ260, NPgN!AJ260, NPgY!AJ260, WMID!AJ260, EMID!AJ260, SWALES!AJ260, SWEST!AJ260, LPN!AJ260,SPN!AJ260,EPN!AJ260,SPD!AJ260,SPMW!AJ260,SSEH!AJ260,SSES!AJ260)</f>
        <v>-0.94804045317068497</v>
      </c>
      <c r="AK260" s="227">
        <f>CHOOSE(m_identity,ENWL!AK260, NPgN!AK260, NPgY!AK260, WMID!AK260, EMID!AK260, SWALES!AK260, SWEST!AK260, LPN!AK260,SPN!AK260,EPN!AK260,SPD!AK260,SPMW!AK260,SSEH!AK260,SSES!AK260)</f>
        <v>-0.79297902435315537</v>
      </c>
      <c r="AL260" s="227">
        <f>CHOOSE(m_identity,ENWL!AL260, NPgN!AL260, NPgY!AL260, WMID!AL260, EMID!AL260, SWALES!AL260, SWEST!AL260, LPN!AL260,SPN!AL260,EPN!AL260,SPD!AL260,SPMW!AL260,SSEH!AL260,SSES!AL260)</f>
        <v>-0.58961813156807241</v>
      </c>
      <c r="AM260" s="227">
        <f>CHOOSE(m_identity,ENWL!AM260, NPgN!AM260, NPgY!AM260, WMID!AM260, EMID!AM260, SWALES!AM260, SWEST!AM260, LPN!AM260,SPN!AM260,EPN!AM260,SPD!AM260,SPMW!AM260,SSEH!AM260,SSES!AM260)</f>
        <v>-0.46990144188521121</v>
      </c>
      <c r="AN260" s="227">
        <f>CHOOSE(m_identity,ENWL!AN260, NPgN!AN260, NPgY!AN260, WMID!AN260, EMID!AN260, SWALES!AN260, SWEST!AN260, LPN!AN260,SPN!AN260,EPN!AN260,SPD!AN260,SPMW!AN260,SSEH!AN260,SSES!AN260)</f>
        <v>-0.3005560110518346</v>
      </c>
      <c r="AO260" s="227">
        <f>CHOOSE(m_identity,ENWL!AO260, NPgN!AO260, NPgY!AO260, WMID!AO260, EMID!AO260, SWALES!AO260, SWEST!AO260, LPN!AO260,SPN!AO260,EPN!AO260,SPD!AO260,SPMW!AO260,SSEH!AO260,SSES!AO260)</f>
        <v>-0.24567999521194928</v>
      </c>
      <c r="AP260" s="227">
        <f>CHOOSE(m_identity,ENWL!AP260, NPgN!AP260, NPgY!AP260, WMID!AP260, EMID!AP260, SWALES!AP260, SWEST!AP260, LPN!AP260,SPN!AP260,EPN!AP260,SPD!AP260,SPMW!AP260,SSEH!AP260,SSES!AP260)</f>
        <v>-0.17261762956418192</v>
      </c>
      <c r="AQ260" s="227">
        <f>CHOOSE(m_identity,ENWL!AQ260, NPgN!AQ260, NPgY!AQ260, WMID!AQ260, EMID!AQ260, SWALES!AQ260, SWEST!AQ260, LPN!AQ260,SPN!AQ260,EPN!AQ260,SPD!AQ260,SPMW!AQ260,SSEH!AQ260,SSES!AQ260)</f>
        <v>-5.1948275730870908E-2</v>
      </c>
    </row>
    <row r="261" spans="5:43" s="158" customFormat="1" ht="15" customHeight="1">
      <c r="E261" s="19" t="s">
        <v>865</v>
      </c>
      <c r="F261" s="19"/>
      <c r="G261" s="195" t="s">
        <v>844</v>
      </c>
      <c r="H261" s="19"/>
      <c r="I261" s="19"/>
      <c r="J261" s="88"/>
      <c r="K261" s="88"/>
      <c r="L261" s="88"/>
      <c r="M261" s="88"/>
      <c r="N261" s="88"/>
      <c r="O261" s="88"/>
      <c r="P261" s="88"/>
      <c r="Q261" s="88"/>
      <c r="R261" s="88"/>
      <c r="S261" s="88"/>
      <c r="T261" s="88"/>
      <c r="U261" s="88"/>
      <c r="V261" s="88"/>
      <c r="W261" s="88"/>
      <c r="X261" s="88"/>
      <c r="Y261" s="88"/>
      <c r="Z261" s="88"/>
      <c r="AA261" s="19"/>
      <c r="AB261" s="19"/>
      <c r="AC261" s="19"/>
      <c r="AD261" s="19"/>
      <c r="AE261" s="167">
        <f t="shared" ref="AE261:AI261" si="36">SUM(AE259,AE260)</f>
        <v>0</v>
      </c>
      <c r="AF261" s="167">
        <f t="shared" si="36"/>
        <v>0</v>
      </c>
      <c r="AG261" s="167">
        <f t="shared" si="36"/>
        <v>0</v>
      </c>
      <c r="AH261" s="167">
        <f t="shared" si="36"/>
        <v>0</v>
      </c>
      <c r="AI261" s="167">
        <f t="shared" si="36"/>
        <v>0</v>
      </c>
      <c r="AJ261" s="167">
        <f>SUM(AJ259,AJ260)</f>
        <v>0</v>
      </c>
      <c r="AK261" s="167">
        <f t="shared" ref="AK261:AQ261" si="37">SUM(AK259,AK260)</f>
        <v>0</v>
      </c>
      <c r="AL261" s="167">
        <f t="shared" si="37"/>
        <v>0</v>
      </c>
      <c r="AM261" s="167">
        <f t="shared" si="37"/>
        <v>0</v>
      </c>
      <c r="AN261" s="167">
        <f t="shared" si="37"/>
        <v>0</v>
      </c>
      <c r="AO261" s="167">
        <f t="shared" si="37"/>
        <v>0</v>
      </c>
      <c r="AP261" s="167">
        <f t="shared" si="37"/>
        <v>0</v>
      </c>
      <c r="AQ261" s="167">
        <f t="shared" si="37"/>
        <v>0</v>
      </c>
    </row>
    <row r="262" spans="5:43" s="158" customFormat="1" ht="15" customHeight="1">
      <c r="E262" s="19"/>
      <c r="F262" s="19"/>
      <c r="G262" s="195"/>
      <c r="H262" s="19"/>
      <c r="I262" s="19"/>
      <c r="J262" s="88"/>
      <c r="K262" s="88"/>
      <c r="L262" s="88"/>
      <c r="M262" s="88"/>
      <c r="N262" s="88"/>
      <c r="O262" s="88"/>
      <c r="P262" s="88"/>
      <c r="Q262" s="88"/>
      <c r="R262" s="88"/>
      <c r="S262" s="88"/>
      <c r="T262" s="88"/>
      <c r="U262" s="88"/>
      <c r="V262" s="88"/>
      <c r="W262" s="88"/>
      <c r="X262" s="88"/>
      <c r="Y262" s="88"/>
      <c r="Z262" s="88"/>
      <c r="AA262" s="19"/>
      <c r="AB262" s="19"/>
      <c r="AC262" s="19"/>
      <c r="AD262" s="19"/>
      <c r="AE262" s="157"/>
      <c r="AF262" s="157"/>
      <c r="AG262" s="157"/>
      <c r="AH262" s="157"/>
      <c r="AI262" s="157"/>
      <c r="AJ262" s="157"/>
      <c r="AK262" s="157"/>
      <c r="AL262" s="157"/>
      <c r="AM262" s="157"/>
      <c r="AN262" s="157"/>
      <c r="AO262" s="157"/>
      <c r="AP262" s="157"/>
      <c r="AQ262" s="157"/>
    </row>
    <row r="263" spans="5:43" s="158" customFormat="1" ht="15" customHeight="1">
      <c r="E263" s="19" t="s">
        <v>866</v>
      </c>
      <c r="F263" s="19"/>
      <c r="G263" s="195" t="s">
        <v>844</v>
      </c>
      <c r="H263" s="19"/>
      <c r="I263" s="19"/>
      <c r="J263" s="88"/>
      <c r="K263" s="88"/>
      <c r="L263" s="88"/>
      <c r="M263" s="88"/>
      <c r="N263" s="88"/>
      <c r="O263" s="88"/>
      <c r="P263" s="88"/>
      <c r="Q263" s="88"/>
      <c r="R263" s="88"/>
      <c r="S263" s="88"/>
      <c r="T263" s="88"/>
      <c r="U263" s="88"/>
      <c r="V263" s="88"/>
      <c r="W263" s="88"/>
      <c r="X263" s="88"/>
      <c r="Y263" s="88"/>
      <c r="Z263" s="88"/>
      <c r="AA263" s="19"/>
      <c r="AB263" s="19"/>
      <c r="AC263" s="19"/>
      <c r="AD263" s="19"/>
      <c r="AE263" s="227">
        <f>CHOOSE(m_identity,ENWL!AE263, NPgN!AE263, NPgY!AE263, WMID!AE263, EMID!AE263, SWALES!AE263, SWEST!AE263, LPN!AE263,SPN!AE263,EPN!AE263,SPD!AE263,SPMW!AE263,SSEH!AE263,SSES!AE263)</f>
        <v>-6.7689885085699564E-2</v>
      </c>
      <c r="AF263" s="227">
        <f>CHOOSE(m_identity,ENWL!AF263, NPgN!AF263, NPgY!AF263, WMID!AF263, EMID!AF263, SWALES!AF263, SWEST!AF263, LPN!AF263,SPN!AF263,EPN!AF263,SPD!AF263,SPMW!AF263,SSEH!AF263,SSES!AF263)</f>
        <v>-0.24648857591734602</v>
      </c>
      <c r="AG263" s="227">
        <f>CHOOSE(m_identity,ENWL!AG263, NPgN!AG263, NPgY!AG263, WMID!AG263, EMID!AG263, SWALES!AG263, SWEST!AG263, LPN!AG263,SPN!AG263,EPN!AG263,SPD!AG263,SPMW!AG263,SSEH!AG263,SSES!AG263)</f>
        <v>-0.32504832351561674</v>
      </c>
      <c r="AH263" s="227">
        <f>CHOOSE(m_identity,ENWL!AH263, NPgN!AH263, NPgY!AH263, WMID!AH263, EMID!AH263, SWALES!AH263, SWEST!AH263, LPN!AH263,SPN!AH263,EPN!AH263,SPD!AH263,SPMW!AH263,SSEH!AH263,SSES!AH263)</f>
        <v>-6.0556568981714604E-2</v>
      </c>
      <c r="AI263" s="227">
        <f>CHOOSE(m_identity,ENWL!AI263, NPgN!AI263, NPgY!AI263, WMID!AI263, EMID!AI263, SWALES!AI263, SWEST!AI263, LPN!AI263,SPN!AI263,EPN!AI263,SPD!AI263,SPMW!AI263,SSEH!AI263,SSES!AI263)</f>
        <v>6.3813195413096158E-2</v>
      </c>
      <c r="AJ263" s="227">
        <f>CHOOSE(m_identity,ENWL!AJ263, NPgN!AJ263, NPgY!AJ263, WMID!AJ263, EMID!AJ263, SWALES!AJ263, SWEST!AJ263, LPN!AJ263,SPN!AJ263,EPN!AJ263,SPD!AJ263,SPMW!AJ263,SSEH!AJ263,SSES!AJ263)</f>
        <v>0.20870907552652163</v>
      </c>
      <c r="AK263" s="227">
        <f>CHOOSE(m_identity,ENWL!AK263, NPgN!AK263, NPgY!AK263, WMID!AK263, EMID!AK263, SWALES!AK263, SWEST!AK263, LPN!AK263,SPN!AK263,EPN!AK263,SPD!AK263,SPMW!AK263,SSEH!AK263,SSES!AK263)</f>
        <v>0.17722031144107242</v>
      </c>
      <c r="AL263" s="227">
        <f>CHOOSE(m_identity,ENWL!AL263, NPgN!AL263, NPgY!AL263, WMID!AL263, EMID!AL263, SWALES!AL263, SWEST!AL263, LPN!AL263,SPN!AL263,EPN!AL263,SPD!AL263,SPMW!AL263,SSEH!AL263,SSES!AL263)</f>
        <v>0.14041141515123515</v>
      </c>
      <c r="AM263" s="227">
        <f>CHOOSE(m_identity,ENWL!AM263, NPgN!AM263, NPgY!AM263, WMID!AM263, EMID!AM263, SWALES!AM263, SWEST!AM263, LPN!AM263,SPN!AM263,EPN!AM263,SPD!AM263,SPMW!AM263,SSEH!AM263,SSES!AM263)</f>
        <v>0.12334354356302807</v>
      </c>
      <c r="AN263" s="227">
        <f>CHOOSE(m_identity,ENWL!AN263, NPgN!AN263, NPgY!AN263, WMID!AN263, EMID!AN263, SWALES!AN263, SWEST!AN263, LPN!AN263,SPN!AN263,EPN!AN263,SPD!AN263,SPMW!AN263,SSEH!AN263,SSES!AN263)</f>
        <v>9.8497222065381862E-2</v>
      </c>
      <c r="AO263" s="227">
        <f>CHOOSE(m_identity,ENWL!AO263, NPgN!AO263, NPgY!AO263, WMID!AO263, EMID!AO263, SWALES!AO263, SWEST!AO263, LPN!AO263,SPN!AO263,EPN!AO263,SPD!AO263,SPMW!AO263,SSEH!AO263,SSES!AO263)</f>
        <v>8.9591475334489773E-2</v>
      </c>
      <c r="AP263" s="227">
        <f>CHOOSE(m_identity,ENWL!AP263, NPgN!AP263, NPgY!AP263, WMID!AP263, EMID!AP263, SWALES!AP263, SWEST!AP263, LPN!AP263,SPN!AP263,EPN!AP263,SPD!AP263,SPMW!AP263,SSEH!AP263,SSES!AP263)</f>
        <v>7.7977030900908573E-2</v>
      </c>
      <c r="AQ263" s="227">
        <f>CHOOSE(m_identity,ENWL!AQ263, NPgN!AQ263, NPgY!AQ263, WMID!AQ263, EMID!AQ263, SWALES!AQ263, SWEST!AQ263, LPN!AQ263,SPN!AQ263,EPN!AQ263,SPD!AQ263,SPMW!AQ263,SSEH!AQ263,SSES!AQ263)</f>
        <v>5.9583980110653079E-2</v>
      </c>
    </row>
    <row r="264" spans="5:43" s="158" customFormat="1" ht="15" customHeight="1">
      <c r="E264" s="19" t="s">
        <v>867</v>
      </c>
      <c r="F264" s="19"/>
      <c r="G264" s="195" t="s">
        <v>844</v>
      </c>
      <c r="H264" s="19"/>
      <c r="I264" s="19"/>
      <c r="J264" s="88"/>
      <c r="K264" s="88"/>
      <c r="L264" s="88"/>
      <c r="M264" s="88"/>
      <c r="N264" s="88"/>
      <c r="O264" s="88"/>
      <c r="P264" s="88"/>
      <c r="Q264" s="88"/>
      <c r="R264" s="88"/>
      <c r="S264" s="88"/>
      <c r="T264" s="88"/>
      <c r="U264" s="88"/>
      <c r="V264" s="88"/>
      <c r="W264" s="88"/>
      <c r="X264" s="88"/>
      <c r="Y264" s="88"/>
      <c r="Z264" s="88"/>
      <c r="AA264" s="19"/>
      <c r="AB264" s="19"/>
      <c r="AC264" s="19"/>
      <c r="AD264" s="19"/>
      <c r="AE264" s="227">
        <f>CHOOSE(m_identity,ENWL!AE264, NPgN!AE264, NPgY!AE264, WMID!AE264, EMID!AE264, SWALES!AE264, SWEST!AE264, LPN!AE264,SPN!AE264,EPN!AE264,SPD!AE264,SPMW!AE264,SSEH!AE264,SSES!AE264)</f>
        <v>6.7689885085699564E-2</v>
      </c>
      <c r="AF264" s="227">
        <f>CHOOSE(m_identity,ENWL!AF264, NPgN!AF264, NPgY!AF264, WMID!AF264, EMID!AF264, SWALES!AF264, SWEST!AF264, LPN!AF264,SPN!AF264,EPN!AF264,SPD!AF264,SPMW!AF264,SSEH!AF264,SSES!AF264)</f>
        <v>0.24648857591734602</v>
      </c>
      <c r="AG264" s="227">
        <f>CHOOSE(m_identity,ENWL!AG264, NPgN!AG264, NPgY!AG264, WMID!AG264, EMID!AG264, SWALES!AG264, SWEST!AG264, LPN!AG264,SPN!AG264,EPN!AG264,SPD!AG264,SPMW!AG264,SSEH!AG264,SSES!AG264)</f>
        <v>0.32504832351561674</v>
      </c>
      <c r="AH264" s="227">
        <f>CHOOSE(m_identity,ENWL!AH264, NPgN!AH264, NPgY!AH264, WMID!AH264, EMID!AH264, SWALES!AH264, SWEST!AH264, LPN!AH264,SPN!AH264,EPN!AH264,SPD!AH264,SPMW!AH264,SSEH!AH264,SSES!AH264)</f>
        <v>6.0556568981714604E-2</v>
      </c>
      <c r="AI264" s="227">
        <f>CHOOSE(m_identity,ENWL!AI264, NPgN!AI264, NPgY!AI264, WMID!AI264, EMID!AI264, SWALES!AI264, SWEST!AI264, LPN!AI264,SPN!AI264,EPN!AI264,SPD!AI264,SPMW!AI264,SSEH!AI264,SSES!AI264)</f>
        <v>-6.3813195413096158E-2</v>
      </c>
      <c r="AJ264" s="227">
        <f>CHOOSE(m_identity,ENWL!AJ264, NPgN!AJ264, NPgY!AJ264, WMID!AJ264, EMID!AJ264, SWALES!AJ264, SWEST!AJ264, LPN!AJ264,SPN!AJ264,EPN!AJ264,SPD!AJ264,SPMW!AJ264,SSEH!AJ264,SSES!AJ264)</f>
        <v>-0.20870907552652163</v>
      </c>
      <c r="AK264" s="227">
        <f>CHOOSE(m_identity,ENWL!AK264, NPgN!AK264, NPgY!AK264, WMID!AK264, EMID!AK264, SWALES!AK264, SWEST!AK264, LPN!AK264,SPN!AK264,EPN!AK264,SPD!AK264,SPMW!AK264,SSEH!AK264,SSES!AK264)</f>
        <v>-0.17722031144107242</v>
      </c>
      <c r="AL264" s="227">
        <f>CHOOSE(m_identity,ENWL!AL264, NPgN!AL264, NPgY!AL264, WMID!AL264, EMID!AL264, SWALES!AL264, SWEST!AL264, LPN!AL264,SPN!AL264,EPN!AL264,SPD!AL264,SPMW!AL264,SSEH!AL264,SSES!AL264)</f>
        <v>-0.14041141515123515</v>
      </c>
      <c r="AM264" s="227">
        <f>CHOOSE(m_identity,ENWL!AM264, NPgN!AM264, NPgY!AM264, WMID!AM264, EMID!AM264, SWALES!AM264, SWEST!AM264, LPN!AM264,SPN!AM264,EPN!AM264,SPD!AM264,SPMW!AM264,SSEH!AM264,SSES!AM264)</f>
        <v>-0.12334354356302807</v>
      </c>
      <c r="AN264" s="227">
        <f>CHOOSE(m_identity,ENWL!AN264, NPgN!AN264, NPgY!AN264, WMID!AN264, EMID!AN264, SWALES!AN264, SWEST!AN264, LPN!AN264,SPN!AN264,EPN!AN264,SPD!AN264,SPMW!AN264,SSEH!AN264,SSES!AN264)</f>
        <v>-9.8497222065381862E-2</v>
      </c>
      <c r="AO264" s="227">
        <f>CHOOSE(m_identity,ENWL!AO264, NPgN!AO264, NPgY!AO264, WMID!AO264, EMID!AO264, SWALES!AO264, SWEST!AO264, LPN!AO264,SPN!AO264,EPN!AO264,SPD!AO264,SPMW!AO264,SSEH!AO264,SSES!AO264)</f>
        <v>-8.9591475334489773E-2</v>
      </c>
      <c r="AP264" s="227">
        <f>CHOOSE(m_identity,ENWL!AP264, NPgN!AP264, NPgY!AP264, WMID!AP264, EMID!AP264, SWALES!AP264, SWEST!AP264, LPN!AP264,SPN!AP264,EPN!AP264,SPD!AP264,SPMW!AP264,SSEH!AP264,SSES!AP264)</f>
        <v>-7.7977030900908573E-2</v>
      </c>
      <c r="AQ264" s="227">
        <f>CHOOSE(m_identity,ENWL!AQ264, NPgN!AQ264, NPgY!AQ264, WMID!AQ264, EMID!AQ264, SWALES!AQ264, SWEST!AQ264, LPN!AQ264,SPN!AQ264,EPN!AQ264,SPD!AQ264,SPMW!AQ264,SSEH!AQ264,SSES!AQ264)</f>
        <v>-5.9583980110653079E-2</v>
      </c>
    </row>
    <row r="265" spans="5:43" s="158" customFormat="1" ht="15" customHeight="1">
      <c r="E265" s="19" t="s">
        <v>868</v>
      </c>
      <c r="F265" s="19"/>
      <c r="G265" s="195" t="s">
        <v>844</v>
      </c>
      <c r="H265" s="19"/>
      <c r="I265" s="19"/>
      <c r="J265" s="88"/>
      <c r="K265" s="88"/>
      <c r="L265" s="88"/>
      <c r="M265" s="88"/>
      <c r="N265" s="88"/>
      <c r="O265" s="88"/>
      <c r="P265" s="88"/>
      <c r="Q265" s="88"/>
      <c r="R265" s="88"/>
      <c r="S265" s="88"/>
      <c r="T265" s="88"/>
      <c r="U265" s="88"/>
      <c r="V265" s="88"/>
      <c r="W265" s="88"/>
      <c r="X265" s="88"/>
      <c r="Y265" s="88"/>
      <c r="Z265" s="88"/>
      <c r="AA265" s="19"/>
      <c r="AB265" s="19"/>
      <c r="AC265" s="19"/>
      <c r="AD265" s="19"/>
      <c r="AE265" s="167">
        <f t="shared" ref="AE265:AI265" si="38">SUM(AE263,AE264)</f>
        <v>0</v>
      </c>
      <c r="AF265" s="167">
        <f t="shared" si="38"/>
        <v>0</v>
      </c>
      <c r="AG265" s="167">
        <f t="shared" si="38"/>
        <v>0</v>
      </c>
      <c r="AH265" s="167">
        <f t="shared" si="38"/>
        <v>0</v>
      </c>
      <c r="AI265" s="167">
        <f t="shared" si="38"/>
        <v>0</v>
      </c>
      <c r="AJ265" s="167">
        <f>SUM(AJ263,AJ264)</f>
        <v>0</v>
      </c>
      <c r="AK265" s="167">
        <f t="shared" ref="AK265" si="39">SUM(AK263,AK264)</f>
        <v>0</v>
      </c>
      <c r="AL265" s="167">
        <f t="shared" ref="AL265" si="40">SUM(AL263,AL264)</f>
        <v>0</v>
      </c>
      <c r="AM265" s="167">
        <f t="shared" ref="AM265" si="41">SUM(AM263,AM264)</f>
        <v>0</v>
      </c>
      <c r="AN265" s="167">
        <f t="shared" ref="AN265" si="42">SUM(AN263,AN264)</f>
        <v>0</v>
      </c>
      <c r="AO265" s="167">
        <f t="shared" ref="AO265" si="43">SUM(AO263,AO264)</f>
        <v>0</v>
      </c>
      <c r="AP265" s="167">
        <f t="shared" ref="AP265" si="44">SUM(AP263,AP264)</f>
        <v>0</v>
      </c>
      <c r="AQ265" s="167">
        <f t="shared" ref="AQ265" si="45">SUM(AQ263,AQ264)</f>
        <v>0</v>
      </c>
    </row>
    <row r="266" spans="5:43" s="158" customFormat="1" ht="15" customHeight="1">
      <c r="E266" s="19"/>
      <c r="F266" s="19"/>
      <c r="G266" s="195"/>
      <c r="H266" s="19"/>
      <c r="I266" s="19"/>
      <c r="J266" s="88"/>
      <c r="K266" s="88"/>
      <c r="L266" s="88"/>
      <c r="M266" s="88"/>
      <c r="N266" s="88"/>
      <c r="O266" s="88"/>
      <c r="P266" s="88"/>
      <c r="Q266" s="88"/>
      <c r="R266" s="88"/>
      <c r="S266" s="88"/>
      <c r="T266" s="88"/>
      <c r="U266" s="88"/>
      <c r="V266" s="88"/>
      <c r="W266" s="88"/>
      <c r="X266" s="88"/>
      <c r="Y266" s="88"/>
      <c r="Z266" s="88"/>
      <c r="AA266" s="19"/>
      <c r="AB266" s="19"/>
      <c r="AC266" s="19"/>
      <c r="AD266" s="19"/>
      <c r="AE266" s="157"/>
      <c r="AF266" s="157"/>
      <c r="AG266" s="157"/>
      <c r="AH266" s="157"/>
      <c r="AI266" s="157"/>
      <c r="AJ266" s="157"/>
      <c r="AK266" s="157"/>
      <c r="AL266" s="157"/>
      <c r="AM266" s="157"/>
      <c r="AN266" s="157"/>
      <c r="AO266" s="157"/>
      <c r="AP266" s="157"/>
      <c r="AQ266" s="157"/>
    </row>
    <row r="267" spans="5:43" s="158" customFormat="1" ht="15" customHeight="1">
      <c r="E267" s="19" t="s">
        <v>745</v>
      </c>
      <c r="F267" s="19"/>
      <c r="G267" s="195" t="s">
        <v>844</v>
      </c>
      <c r="H267" s="19"/>
      <c r="I267" s="19"/>
      <c r="J267" s="88"/>
      <c r="K267" s="88"/>
      <c r="L267" s="88"/>
      <c r="M267" s="88"/>
      <c r="N267" s="88"/>
      <c r="O267" s="88"/>
      <c r="P267" s="88"/>
      <c r="Q267" s="88"/>
      <c r="R267" s="88"/>
      <c r="S267" s="88"/>
      <c r="T267" s="88"/>
      <c r="U267" s="88"/>
      <c r="V267" s="88"/>
      <c r="W267" s="88"/>
      <c r="X267" s="88"/>
      <c r="Y267" s="88"/>
      <c r="Z267" s="88"/>
      <c r="AA267" s="19"/>
      <c r="AB267" s="19"/>
      <c r="AC267" s="19"/>
      <c r="AD267" s="19"/>
      <c r="AE267" s="227">
        <f>CHOOSE(m_identity,ENWL!AE267, NPgN!AE267, NPgY!AE267, WMID!AE267, EMID!AE267, SWALES!AE267, SWEST!AE267, LPN!AE267,SPN!AE267,EPN!AE267,SPD!AE267,SPMW!AE267,SSEH!AE267,SSES!AE267)</f>
        <v>5.6364836</v>
      </c>
      <c r="AF267" s="227">
        <f>CHOOSE(m_identity,ENWL!AF267, NPgN!AF267, NPgY!AF267, WMID!AF267, EMID!AF267, SWALES!AF267, SWEST!AF267, LPN!AF267,SPN!AF267,EPN!AF267,SPD!AF267,SPMW!AF267,SSEH!AF267,SSES!AF267)</f>
        <v>3.7319883249519479</v>
      </c>
      <c r="AG267" s="227">
        <f>CHOOSE(m_identity,ENWL!AG267, NPgN!AG267, NPgY!AG267, WMID!AG267, EMID!AG267, SWALES!AG267, SWEST!AG267, LPN!AG267,SPN!AG267,EPN!AG267,SPD!AG267,SPMW!AG267,SSEH!AG267,SSES!AG267)</f>
        <v>2.8808119999999997</v>
      </c>
      <c r="AH267" s="227">
        <f>CHOOSE(m_identity,ENWL!AH267, NPgN!AH267, NPgY!AH267, WMID!AH267, EMID!AH267, SWALES!AH267, SWEST!AH267, LPN!AH267,SPN!AH267,EPN!AH267,SPD!AH267,SPMW!AH267,SSEH!AH267,SSES!AH267)</f>
        <v>2.1495902999999998</v>
      </c>
      <c r="AI267" s="227">
        <f>CHOOSE(m_identity,ENWL!AI267, NPgN!AI267, NPgY!AI267, WMID!AI267, EMID!AI267, SWALES!AI267, SWEST!AI267, LPN!AI267,SPN!AI267,EPN!AI267,SPD!AI267,SPMW!AI267,SSEH!AI267,SSES!AI267)</f>
        <v>2.1521824499999997</v>
      </c>
      <c r="AJ267" s="227">
        <f>CHOOSE(m_identity,ENWL!AJ267, NPgN!AJ267, NPgY!AJ267, WMID!AJ267, EMID!AJ267, SWALES!AJ267, SWEST!AJ267, LPN!AJ267,SPN!AJ267,EPN!AJ267,SPD!AJ267,SPMW!AJ267,SSEH!AJ267,SSES!AJ267)</f>
        <v>2.1610071999999998</v>
      </c>
      <c r="AK267" s="227">
        <f>CHOOSE(m_identity,ENWL!AK267, NPgN!AK267, NPgY!AK267, WMID!AK267, EMID!AK267, SWALES!AK267, SWEST!AK267, LPN!AK267,SPN!AK267,EPN!AK267,SPD!AK267,SPMW!AK267,SSEH!AK267,SSES!AK267)</f>
        <v>2.1894388999999999</v>
      </c>
      <c r="AL267" s="227">
        <f>CHOOSE(m_identity,ENWL!AL267, NPgN!AL267, NPgY!AL267, WMID!AL267, EMID!AL267, SWALES!AL267, SWEST!AL267, LPN!AL267,SPN!AL267,EPN!AL267,SPD!AL267,SPMW!AL267,SSEH!AL267,SSES!AL267)</f>
        <v>2.2039407499999997</v>
      </c>
      <c r="AM267" s="227">
        <f>CHOOSE(m_identity,ENWL!AM267, NPgN!AM267, NPgY!AM267, WMID!AM267, EMID!AM267, SWALES!AM267, SWEST!AM267, LPN!AM267,SPN!AM267,EPN!AM267,SPD!AM267,SPMW!AM267,SSEH!AM267,SSES!AM267)</f>
        <v>2.2138115999999997</v>
      </c>
      <c r="AN267" s="227">
        <f>CHOOSE(m_identity,ENWL!AN267, NPgN!AN267, NPgY!AN267, WMID!AN267, EMID!AN267, SWALES!AN267, SWEST!AN267, LPN!AN267,SPN!AN267,EPN!AN267,SPD!AN267,SPMW!AN267,SSEH!AN267,SSES!AN267)</f>
        <v>2.22119205</v>
      </c>
      <c r="AO267" s="227">
        <f>CHOOSE(m_identity,ENWL!AO267, NPgN!AO267, NPgY!AO267, WMID!AO267, EMID!AO267, SWALES!AO267, SWEST!AO267, LPN!AO267,SPN!AO267,EPN!AO267,SPD!AO267,SPMW!AO267,SSEH!AO267,SSES!AO267)</f>
        <v>2.2274631500000002</v>
      </c>
      <c r="AP267" s="227">
        <f>CHOOSE(m_identity,ENWL!AP267, NPgN!AP267, NPgY!AP267, WMID!AP267, EMID!AP267, SWALES!AP267, SWEST!AP267, LPN!AP267,SPN!AP267,EPN!AP267,SPD!AP267,SPMW!AP267,SSEH!AP267,SSES!AP267)</f>
        <v>2.2336974000000001</v>
      </c>
      <c r="AQ267" s="227">
        <f>CHOOSE(m_identity,ENWL!AQ267, NPgN!AQ267, NPgY!AQ267, WMID!AQ267, EMID!AQ267, SWALES!AQ267, SWEST!AQ267, LPN!AQ267,SPN!AQ267,EPN!AQ267,SPD!AQ267,SPMW!AQ267,SSEH!AQ267,SSES!AQ267)</f>
        <v>2.2399838999999999</v>
      </c>
    </row>
    <row r="268" spans="5:43" s="158" customFormat="1" ht="15" customHeight="1">
      <c r="E268" s="19" t="s">
        <v>746</v>
      </c>
      <c r="F268" s="19"/>
      <c r="G268" s="195" t="s">
        <v>844</v>
      </c>
      <c r="H268" s="19"/>
      <c r="I268" s="19"/>
      <c r="J268" s="88"/>
      <c r="K268" s="88"/>
      <c r="L268" s="88"/>
      <c r="M268" s="88"/>
      <c r="N268" s="88"/>
      <c r="O268" s="88"/>
      <c r="P268" s="88"/>
      <c r="Q268" s="88"/>
      <c r="R268" s="88"/>
      <c r="S268" s="88"/>
      <c r="T268" s="88"/>
      <c r="U268" s="88"/>
      <c r="V268" s="88"/>
      <c r="W268" s="88"/>
      <c r="X268" s="88"/>
      <c r="Y268" s="88"/>
      <c r="Z268" s="88"/>
      <c r="AA268" s="19"/>
      <c r="AB268" s="19"/>
      <c r="AC268" s="19"/>
      <c r="AD268" s="19"/>
      <c r="AE268" s="227">
        <f>CHOOSE(m_identity,ENWL!AE268, NPgN!AE268, NPgY!AE268, WMID!AE268, EMID!AE268, SWALES!AE268, SWEST!AE268, LPN!AE268,SPN!AE268,EPN!AE268,SPD!AE268,SPMW!AE268,SSEH!AE268,SSES!AE268)</f>
        <v>-4.8983297414799667</v>
      </c>
      <c r="AF268" s="227">
        <f>CHOOSE(m_identity,ENWL!AF268, NPgN!AF268, NPgY!AF268, WMID!AF268, EMID!AF268, SWALES!AF268, SWEST!AF268, LPN!AF268,SPN!AF268,EPN!AF268,SPD!AF268,SPMW!AF268,SSEH!AF268,SSES!AF268)</f>
        <v>-3.228676127090611</v>
      </c>
      <c r="AG268" s="227">
        <f>CHOOSE(m_identity,ENWL!AG268, NPgN!AG268, NPgY!AG268, WMID!AG268, EMID!AG268, SWALES!AG268, SWEST!AG268, LPN!AG268,SPN!AG268,EPN!AG268,SPD!AG268,SPMW!AG268,SSEH!AG268,SSES!AG268)</f>
        <v>-2.7803738732518646</v>
      </c>
      <c r="AH268" s="227">
        <f>CHOOSE(m_identity,ENWL!AH268, NPgN!AH268, NPgY!AH268, WMID!AH268, EMID!AH268, SWALES!AH268, SWEST!AH268, LPN!AH268,SPN!AH268,EPN!AH268,SPD!AH268,SPMW!AH268,SSEH!AH268,SSES!AH268)</f>
        <v>-2.0614321244410538</v>
      </c>
      <c r="AI268" s="227">
        <f>CHOOSE(m_identity,ENWL!AI268, NPgN!AI268, NPgY!AI268, WMID!AI268, EMID!AI268, SWALES!AI268, SWEST!AI268, LPN!AI268,SPN!AI268,EPN!AI268,SPD!AI268,SPMW!AI268,SSEH!AI268,SSES!AI268)</f>
        <v>-2.0498648448315682</v>
      </c>
      <c r="AJ268" s="227">
        <f>CHOOSE(m_identity,ENWL!AJ268, NPgN!AJ268, NPgY!AJ268, WMID!AJ268, EMID!AJ268, SWALES!AJ268, SWEST!AJ268, LPN!AJ268,SPN!AJ268,EPN!AJ268,SPD!AJ268,SPMW!AJ268,SSEH!AJ268,SSES!AJ268)</f>
        <v>-1.9097241960584679</v>
      </c>
      <c r="AK268" s="227">
        <f>CHOOSE(m_identity,ENWL!AK268, NPgN!AK268, NPgY!AK268, WMID!AK268, EMID!AK268, SWALES!AK268, SWEST!AK268, LPN!AK268,SPN!AK268,EPN!AK268,SPD!AK268,SPMW!AK268,SSEH!AK268,SSES!AK268)</f>
        <v>-1.8743459529177819</v>
      </c>
      <c r="AL268" s="227">
        <f>CHOOSE(m_identity,ENWL!AL268, NPgN!AL268, NPgY!AL268, WMID!AL268, EMID!AL268, SWALES!AL268, SWEST!AL268, LPN!AL268,SPN!AL268,EPN!AL268,SPD!AL268,SPMW!AL268,SSEH!AL268,SSES!AL268)</f>
        <v>-1.9705102740937483</v>
      </c>
      <c r="AM268" s="227">
        <f>CHOOSE(m_identity,ENWL!AM268, NPgN!AM268, NPgY!AM268, WMID!AM268, EMID!AM268, SWALES!AM268, SWEST!AM268, LPN!AM268,SPN!AM268,EPN!AM268,SPD!AM268,SPMW!AM268,SSEH!AM268,SSES!AM268)</f>
        <v>-1.9777155069198078</v>
      </c>
      <c r="AN268" s="227">
        <f>CHOOSE(m_identity,ENWL!AN268, NPgN!AN268, NPgY!AN268, WMID!AN268, EMID!AN268, SWALES!AN268, SWEST!AN268, LPN!AN268,SPN!AN268,EPN!AN268,SPD!AN268,SPMW!AN268,SSEH!AN268,SSES!AN268)</f>
        <v>-1.9842855336534244</v>
      </c>
      <c r="AO268" s="227">
        <f>CHOOSE(m_identity,ENWL!AO268, NPgN!AO268, NPgY!AO268, WMID!AO268, EMID!AO268, SWALES!AO268, SWEST!AO268, LPN!AO268,SPN!AO268,EPN!AO268,SPD!AO268,SPMW!AO268,SSEH!AO268,SSES!AO268)</f>
        <v>-1.9858001698512084</v>
      </c>
      <c r="AP268" s="227">
        <f>CHOOSE(m_identity,ENWL!AP268, NPgN!AP268, NPgY!AP268, WMID!AP268, EMID!AP268, SWALES!AP268, SWEST!AP268, LPN!AP268,SPN!AP268,EPN!AP268,SPD!AP268,SPMW!AP268,SSEH!AP268,SSES!AP268)</f>
        <v>-1.9887782433003931</v>
      </c>
      <c r="AQ268" s="227">
        <f>CHOOSE(m_identity,ENWL!AQ268, NPgN!AQ268, NPgY!AQ268, WMID!AQ268, EMID!AQ268, SWALES!AQ268, SWEST!AQ268, LPN!AQ268,SPN!AQ268,EPN!AQ268,SPD!AQ268,SPMW!AQ268,SSEH!AQ268,SSES!AQ268)</f>
        <v>-1.993100072184534</v>
      </c>
    </row>
    <row r="269" spans="5:43" s="158" customFormat="1" ht="15" customHeight="1">
      <c r="E269" s="19" t="s">
        <v>747</v>
      </c>
      <c r="F269" s="19"/>
      <c r="G269" s="195" t="s">
        <v>844</v>
      </c>
      <c r="H269" s="19"/>
      <c r="I269" s="19"/>
      <c r="J269" s="88"/>
      <c r="K269" s="88"/>
      <c r="L269" s="88"/>
      <c r="M269" s="88"/>
      <c r="N269" s="88"/>
      <c r="O269" s="88"/>
      <c r="P269" s="88"/>
      <c r="Q269" s="88"/>
      <c r="R269" s="88"/>
      <c r="S269" s="88"/>
      <c r="T269" s="88"/>
      <c r="U269" s="88"/>
      <c r="V269" s="88"/>
      <c r="W269" s="88"/>
      <c r="X269" s="88"/>
      <c r="Y269" s="88"/>
      <c r="Z269" s="88"/>
      <c r="AA269" s="19"/>
      <c r="AB269" s="19"/>
      <c r="AC269" s="19"/>
      <c r="AD269" s="19"/>
      <c r="AE269" s="167">
        <f t="shared" ref="AE269:AI269" si="46">SUM(AE267,AE268)</f>
        <v>0.73815385852003335</v>
      </c>
      <c r="AF269" s="167">
        <f t="shared" si="46"/>
        <v>0.50331219786133685</v>
      </c>
      <c r="AG269" s="167">
        <f t="shared" si="46"/>
        <v>0.10043812674813513</v>
      </c>
      <c r="AH269" s="167">
        <f t="shared" si="46"/>
        <v>8.8158175558946006E-2</v>
      </c>
      <c r="AI269" s="167">
        <f t="shared" si="46"/>
        <v>0.10231760516843158</v>
      </c>
      <c r="AJ269" s="167">
        <f>SUM(AJ267,AJ268)</f>
        <v>0.25128300394153191</v>
      </c>
      <c r="AK269" s="167">
        <f t="shared" ref="AK269" si="47">SUM(AK267,AK268)</f>
        <v>0.31509294708221791</v>
      </c>
      <c r="AL269" s="167">
        <f t="shared" ref="AL269" si="48">SUM(AL267,AL268)</f>
        <v>0.23343047590625132</v>
      </c>
      <c r="AM269" s="167">
        <f t="shared" ref="AM269" si="49">SUM(AM267,AM268)</f>
        <v>0.23609609308019186</v>
      </c>
      <c r="AN269" s="167">
        <f t="shared" ref="AN269" si="50">SUM(AN267,AN268)</f>
        <v>0.23690651634657556</v>
      </c>
      <c r="AO269" s="167">
        <f t="shared" ref="AO269" si="51">SUM(AO267,AO268)</f>
        <v>0.24166298014879173</v>
      </c>
      <c r="AP269" s="167">
        <f t="shared" ref="AP269" si="52">SUM(AP267,AP268)</f>
        <v>0.24491915669960695</v>
      </c>
      <c r="AQ269" s="167">
        <f t="shared" ref="AQ269" si="53">SUM(AQ267,AQ268)</f>
        <v>0.24688382781546592</v>
      </c>
    </row>
    <row r="270" spans="5:43" s="158" customFormat="1" ht="15" customHeight="1">
      <c r="E270" s="19"/>
      <c r="F270" s="19"/>
      <c r="G270" s="195"/>
      <c r="H270" s="19"/>
      <c r="I270" s="19"/>
      <c r="J270" s="88"/>
      <c r="K270" s="88"/>
      <c r="L270" s="88"/>
      <c r="M270" s="88"/>
      <c r="N270" s="88"/>
      <c r="O270" s="88"/>
      <c r="P270" s="88"/>
      <c r="Q270" s="88"/>
      <c r="R270" s="88"/>
      <c r="S270" s="88"/>
      <c r="T270" s="88"/>
      <c r="U270" s="88"/>
      <c r="V270" s="88"/>
      <c r="W270" s="88"/>
      <c r="X270" s="88"/>
      <c r="Y270" s="88"/>
      <c r="Z270" s="88"/>
      <c r="AA270" s="19"/>
      <c r="AB270" s="19"/>
      <c r="AC270" s="19"/>
      <c r="AD270" s="19"/>
      <c r="AE270" s="157"/>
      <c r="AF270" s="157"/>
      <c r="AG270" s="157"/>
      <c r="AH270" s="157"/>
      <c r="AI270" s="157"/>
      <c r="AJ270" s="157"/>
      <c r="AK270" s="157"/>
      <c r="AL270" s="157"/>
      <c r="AM270" s="157"/>
      <c r="AN270" s="157"/>
      <c r="AO270" s="157"/>
      <c r="AP270" s="157"/>
      <c r="AQ270" s="157"/>
    </row>
    <row r="271" spans="5:43" s="158" customFormat="1" ht="15" customHeight="1">
      <c r="E271" s="19" t="s">
        <v>760</v>
      </c>
      <c r="F271" s="19"/>
      <c r="G271" s="195" t="s">
        <v>844</v>
      </c>
      <c r="H271" s="19"/>
      <c r="I271" s="19"/>
      <c r="J271" s="88"/>
      <c r="K271" s="88"/>
      <c r="L271" s="88"/>
      <c r="M271" s="88"/>
      <c r="N271" s="88"/>
      <c r="O271" s="88"/>
      <c r="P271" s="88"/>
      <c r="Q271" s="88"/>
      <c r="R271" s="88"/>
      <c r="S271" s="88"/>
      <c r="T271" s="88"/>
      <c r="U271" s="88"/>
      <c r="V271" s="88"/>
      <c r="W271" s="88"/>
      <c r="X271" s="88"/>
      <c r="Y271" s="88"/>
      <c r="Z271" s="88"/>
      <c r="AA271" s="19"/>
      <c r="AB271" s="19"/>
      <c r="AC271" s="19"/>
      <c r="AD271" s="19"/>
      <c r="AE271" s="227">
        <f>CHOOSE(m_identity,ENWL!AE271, NPgN!AE271, NPgY!AE271, WMID!AE271, EMID!AE271, SWALES!AE271, SWEST!AE271, LPN!AE271,SPN!AE271,EPN!AE271,SPD!AE271,SPMW!AE271,SSEH!AE271,SSES!AE271)</f>
        <v>2.0729038000000002</v>
      </c>
      <c r="AF271" s="227">
        <f>CHOOSE(m_identity,ENWL!AF271, NPgN!AF271, NPgY!AF271, WMID!AF271, EMID!AF271, SWALES!AF271, SWEST!AF271, LPN!AF271,SPN!AF271,EPN!AF271,SPD!AF271,SPMW!AF271,SSEH!AF271,SSES!AF271)</f>
        <v>3.1394625713240516</v>
      </c>
      <c r="AG271" s="227">
        <f>CHOOSE(m_identity,ENWL!AG271, NPgN!AG271, NPgY!AG271, WMID!AG271, EMID!AG271, SWALES!AG271, SWEST!AG271, LPN!AG271,SPN!AG271,EPN!AG271,SPD!AG271,SPMW!AG271,SSEH!AG271,SSES!AG271)</f>
        <v>2.6157309999999998</v>
      </c>
      <c r="AH271" s="227">
        <f>CHOOSE(m_identity,ENWL!AH271, NPgN!AH271, NPgY!AH271, WMID!AH271, EMID!AH271, SWALES!AH271, SWEST!AH271, LPN!AH271,SPN!AH271,EPN!AH271,SPD!AH271,SPMW!AH271,SSEH!AH271,SSES!AH271)</f>
        <v>1.7587557</v>
      </c>
      <c r="AI271" s="227">
        <f>CHOOSE(m_identity,ENWL!AI271, NPgN!AI271, NPgY!AI271, WMID!AI271, EMID!AI271, SWALES!AI271, SWEST!AI271, LPN!AI271,SPN!AI271,EPN!AI271,SPD!AI271,SPMW!AI271,SSEH!AI271,SSES!AI271)</f>
        <v>1.7608765500000001</v>
      </c>
      <c r="AJ271" s="227">
        <f>CHOOSE(m_identity,ENWL!AJ271, NPgN!AJ271, NPgY!AJ271, WMID!AJ271, EMID!AJ271, SWALES!AJ271, SWEST!AJ271, LPN!AJ271,SPN!AJ271,EPN!AJ271,SPD!AJ271,SPMW!AJ271,SSEH!AJ271,SSES!AJ271)</f>
        <v>1.7680967999999999</v>
      </c>
      <c r="AK271" s="227">
        <f>CHOOSE(m_identity,ENWL!AK271, NPgN!AK271, NPgY!AK271, WMID!AK271, EMID!AK271, SWALES!AK271, SWEST!AK271, LPN!AK271,SPN!AK271,EPN!AK271,SPD!AK271,SPMW!AK271,SSEH!AK271,SSES!AK271)</f>
        <v>1.7913590999999998</v>
      </c>
      <c r="AL271" s="227">
        <f>CHOOSE(m_identity,ENWL!AL271, NPgN!AL271, NPgY!AL271, WMID!AL271, EMID!AL271, SWALES!AL271, SWEST!AL271, LPN!AL271,SPN!AL271,EPN!AL271,SPD!AL271,SPMW!AL271,SSEH!AL271,SSES!AL271)</f>
        <v>1.80322425</v>
      </c>
      <c r="AM271" s="227">
        <f>CHOOSE(m_identity,ENWL!AM271, NPgN!AM271, NPgY!AM271, WMID!AM271, EMID!AM271, SWALES!AM271, SWEST!AM271, LPN!AM271,SPN!AM271,EPN!AM271,SPD!AM271,SPMW!AM271,SSEH!AM271,SSES!AM271)</f>
        <v>1.8113004000000001</v>
      </c>
      <c r="AN271" s="227">
        <f>CHOOSE(m_identity,ENWL!AN271, NPgN!AN271, NPgY!AN271, WMID!AN271, EMID!AN271, SWALES!AN271, SWEST!AN271, LPN!AN271,SPN!AN271,EPN!AN271,SPD!AN271,SPMW!AN271,SSEH!AN271,SSES!AN271)</f>
        <v>1.8173389499999999</v>
      </c>
      <c r="AO271" s="227">
        <f>CHOOSE(m_identity,ENWL!AO271, NPgN!AO271, NPgY!AO271, WMID!AO271, EMID!AO271, SWALES!AO271, SWEST!AO271, LPN!AO271,SPN!AO271,EPN!AO271,SPD!AO271,SPMW!AO271,SSEH!AO271,SSES!AO271)</f>
        <v>1.8224698500000001</v>
      </c>
      <c r="AP271" s="227">
        <f>CHOOSE(m_identity,ENWL!AP271, NPgN!AP271, NPgY!AP271, WMID!AP271, EMID!AP271, SWALES!AP271, SWEST!AP271, LPN!AP271,SPN!AP271,EPN!AP271,SPD!AP271,SPMW!AP271,SSEH!AP271,SSES!AP271)</f>
        <v>1.8275706</v>
      </c>
      <c r="AQ271" s="227">
        <f>CHOOSE(m_identity,ENWL!AQ271, NPgN!AQ271, NPgY!AQ271, WMID!AQ271, EMID!AQ271, SWALES!AQ271, SWEST!AQ271, LPN!AQ271,SPN!AQ271,EPN!AQ271,SPD!AQ271,SPMW!AQ271,SSEH!AQ271,SSES!AQ271)</f>
        <v>1.8327141</v>
      </c>
    </row>
    <row r="272" spans="5:43" s="158" customFormat="1" ht="15" customHeight="1">
      <c r="E272" s="19" t="s">
        <v>748</v>
      </c>
      <c r="F272" s="19"/>
      <c r="G272" s="195" t="s">
        <v>844</v>
      </c>
      <c r="H272" s="19"/>
      <c r="I272" s="19"/>
      <c r="J272" s="88"/>
      <c r="K272" s="88"/>
      <c r="L272" s="88"/>
      <c r="M272" s="88"/>
      <c r="N272" s="88"/>
      <c r="O272" s="88"/>
      <c r="P272" s="88"/>
      <c r="Q272" s="88"/>
      <c r="R272" s="88"/>
      <c r="S272" s="88"/>
      <c r="T272" s="88"/>
      <c r="U272" s="88"/>
      <c r="V272" s="88"/>
      <c r="W272" s="88"/>
      <c r="X272" s="88"/>
      <c r="Y272" s="88"/>
      <c r="Z272" s="88"/>
      <c r="AA272" s="19"/>
      <c r="AB272" s="19"/>
      <c r="AC272" s="19"/>
      <c r="AD272" s="19"/>
      <c r="AE272" s="227">
        <f>CHOOSE(m_identity,ENWL!AE272, NPgN!AE272, NPgY!AE272, WMID!AE272, EMID!AE272, SWALES!AE272, SWEST!AE272, LPN!AE272,SPN!AE272,EPN!AE272,SPD!AE272,SPMW!AE272,SSEH!AE272,SSES!AE272)</f>
        <v>-2.4031351465937814</v>
      </c>
      <c r="AF272" s="227">
        <f>CHOOSE(m_identity,ENWL!AF272, NPgN!AF272, NPgY!AF272, WMID!AF272, EMID!AF272, SWALES!AF272, SWEST!AF272, LPN!AF272,SPN!AF272,EPN!AF272,SPD!AF272,SPMW!AF272,SSEH!AF272,SSES!AF272)</f>
        <v>-3.2749708489329641</v>
      </c>
      <c r="AG272" s="227">
        <f>CHOOSE(m_identity,ENWL!AG272, NPgN!AG272, NPgY!AG272, WMID!AG272, EMID!AG272, SWALES!AG272, SWEST!AG272, LPN!AG272,SPN!AG272,EPN!AG272,SPD!AG272,SPMW!AG272,SSEH!AG272,SSES!AG272)</f>
        <v>-2.5068080614767911</v>
      </c>
      <c r="AH272" s="227">
        <f>CHOOSE(m_identity,ENWL!AH272, NPgN!AH272, NPgY!AH272, WMID!AH272, EMID!AH272, SWALES!AH272, SWEST!AH272, LPN!AH272,SPN!AH272,EPN!AH272,SPD!AH272,SPMW!AH272,SSEH!AH272,SSES!AH272)</f>
        <v>-1.686626283633589</v>
      </c>
      <c r="AI272" s="227">
        <f>CHOOSE(m_identity,ENWL!AI272, NPgN!AI272, NPgY!AI272, WMID!AI272, EMID!AI272, SWALES!AI272, SWEST!AI272, LPN!AI272,SPN!AI272,EPN!AI272,SPD!AI272,SPMW!AI272,SSEH!AI272,SSES!AI272)</f>
        <v>-1.6771621457712829</v>
      </c>
      <c r="AJ272" s="227">
        <f>CHOOSE(m_identity,ENWL!AJ272, NPgN!AJ272, NPgY!AJ272, WMID!AJ272, EMID!AJ272, SWALES!AJ272, SWEST!AJ272, LPN!AJ272,SPN!AJ272,EPN!AJ272,SPD!AJ272,SPMW!AJ272,SSEH!AJ272,SSES!AJ272)</f>
        <v>-1.5625016149569282</v>
      </c>
      <c r="AK272" s="227">
        <f>CHOOSE(m_identity,ENWL!AK272, NPgN!AK272, NPgY!AK272, WMID!AK272, EMID!AK272, SWALES!AK272, SWEST!AK272, LPN!AK272,SPN!AK272,EPN!AK272,SPD!AK272,SPMW!AK272,SSEH!AK272,SSES!AK272)</f>
        <v>-1.5335557796600034</v>
      </c>
      <c r="AL272" s="227">
        <f>CHOOSE(m_identity,ENWL!AL272, NPgN!AL272, NPgY!AL272, WMID!AL272, EMID!AL272, SWALES!AL272, SWEST!AL272, LPN!AL272,SPN!AL272,EPN!AL272,SPD!AL272,SPMW!AL272,SSEH!AL272,SSES!AL272)</f>
        <v>-1.6122356788039762</v>
      </c>
      <c r="AM272" s="227">
        <f>CHOOSE(m_identity,ENWL!AM272, NPgN!AM272, NPgY!AM272, WMID!AM272, EMID!AM272, SWALES!AM272, SWEST!AM272, LPN!AM272,SPN!AM272,EPN!AM272,SPD!AM272,SPMW!AM272,SSEH!AM272,SSES!AM272)</f>
        <v>-1.6181308692980247</v>
      </c>
      <c r="AN272" s="227">
        <f>CHOOSE(m_identity,ENWL!AN272, NPgN!AN272, NPgY!AN272, WMID!AN272, EMID!AN272, SWALES!AN272, SWEST!AN272, LPN!AN272,SPN!AN272,EPN!AN272,SPD!AN272,SPMW!AN272,SSEH!AN272,SSES!AN272)</f>
        <v>-1.623506345716438</v>
      </c>
      <c r="AO272" s="227">
        <f>CHOOSE(m_identity,ENWL!AO272, NPgN!AO272, NPgY!AO272, WMID!AO272, EMID!AO272, SWALES!AO272, SWEST!AO272, LPN!AO272,SPN!AO272,EPN!AO272,SPD!AO272,SPMW!AO272,SSEH!AO272,SSES!AO272)</f>
        <v>-1.6247455935146253</v>
      </c>
      <c r="AP272" s="227">
        <f>CHOOSE(m_identity,ENWL!AP272, NPgN!AP272, NPgY!AP272, WMID!AP272, EMID!AP272, SWALES!AP272, SWEST!AP272, LPN!AP272,SPN!AP272,EPN!AP272,SPD!AP272,SPMW!AP272,SSEH!AP272,SSES!AP272)</f>
        <v>-1.6271821990639579</v>
      </c>
      <c r="AQ272" s="227">
        <f>CHOOSE(m_identity,ENWL!AQ272, NPgN!AQ272, NPgY!AQ272, WMID!AQ272, EMID!AQ272, SWALES!AQ272, SWEST!AQ272, LPN!AQ272,SPN!AQ272,EPN!AQ272,SPD!AQ272,SPMW!AQ272,SSEH!AQ272,SSES!AQ272)</f>
        <v>-1.6307182408782555</v>
      </c>
    </row>
    <row r="273" spans="5:43" s="158" customFormat="1" ht="15" customHeight="1">
      <c r="E273" s="19" t="s">
        <v>749</v>
      </c>
      <c r="F273" s="19"/>
      <c r="G273" s="195" t="s">
        <v>844</v>
      </c>
      <c r="H273" s="19"/>
      <c r="I273" s="19"/>
      <c r="J273" s="88"/>
      <c r="K273" s="88"/>
      <c r="L273" s="88"/>
      <c r="M273" s="88"/>
      <c r="N273" s="88"/>
      <c r="O273" s="88"/>
      <c r="P273" s="88"/>
      <c r="Q273" s="88"/>
      <c r="R273" s="88"/>
      <c r="S273" s="88"/>
      <c r="T273" s="88"/>
      <c r="U273" s="88"/>
      <c r="V273" s="88"/>
      <c r="W273" s="88"/>
      <c r="X273" s="88"/>
      <c r="Y273" s="88"/>
      <c r="Z273" s="88"/>
      <c r="AA273" s="19"/>
      <c r="AB273" s="19"/>
      <c r="AC273" s="19"/>
      <c r="AD273" s="19"/>
      <c r="AE273" s="167">
        <f t="shared" ref="AE273:AI273" si="54">SUM(AE271,AE272)</f>
        <v>-0.33023134659378117</v>
      </c>
      <c r="AF273" s="167">
        <f t="shared" si="54"/>
        <v>-0.13550827760891249</v>
      </c>
      <c r="AG273" s="167">
        <f t="shared" si="54"/>
        <v>0.10892293852320867</v>
      </c>
      <c r="AH273" s="167">
        <f t="shared" si="54"/>
        <v>7.2129416366411014E-2</v>
      </c>
      <c r="AI273" s="167">
        <f t="shared" si="54"/>
        <v>8.3714404228717232E-2</v>
      </c>
      <c r="AJ273" s="167">
        <f>SUM(AJ271,AJ272)</f>
        <v>0.20559518504307173</v>
      </c>
      <c r="AK273" s="167">
        <f t="shared" ref="AK273" si="55">SUM(AK271,AK272)</f>
        <v>0.25780332033999631</v>
      </c>
      <c r="AL273" s="167">
        <f t="shared" ref="AL273" si="56">SUM(AL271,AL272)</f>
        <v>0.19098857119602375</v>
      </c>
      <c r="AM273" s="167">
        <f t="shared" ref="AM273" si="57">SUM(AM271,AM272)</f>
        <v>0.1931695307019754</v>
      </c>
      <c r="AN273" s="167">
        <f t="shared" ref="AN273" si="58">SUM(AN271,AN272)</f>
        <v>0.19383260428356186</v>
      </c>
      <c r="AO273" s="167">
        <f t="shared" ref="AO273" si="59">SUM(AO271,AO272)</f>
        <v>0.19772425648537473</v>
      </c>
      <c r="AP273" s="167">
        <f t="shared" ref="AP273" si="60">SUM(AP271,AP272)</f>
        <v>0.20038840093604215</v>
      </c>
      <c r="AQ273" s="167">
        <f t="shared" ref="AQ273" si="61">SUM(AQ271,AQ272)</f>
        <v>0.20199585912174456</v>
      </c>
    </row>
    <row r="274" spans="5:43" s="158" customFormat="1" ht="15" customHeight="1">
      <c r="E274" s="19"/>
      <c r="F274" s="19"/>
      <c r="G274" s="195"/>
      <c r="H274" s="19"/>
      <c r="I274" s="19"/>
      <c r="J274" s="88"/>
      <c r="K274" s="88"/>
      <c r="L274" s="88"/>
      <c r="M274" s="88"/>
      <c r="N274" s="88"/>
      <c r="O274" s="88"/>
      <c r="P274" s="88"/>
      <c r="Q274" s="88"/>
      <c r="R274" s="88"/>
      <c r="S274" s="88"/>
      <c r="T274" s="88"/>
      <c r="U274" s="88"/>
      <c r="V274" s="88"/>
      <c r="W274" s="88"/>
      <c r="X274" s="88"/>
      <c r="Y274" s="88"/>
      <c r="Z274" s="88"/>
      <c r="AA274" s="19"/>
      <c r="AB274" s="19"/>
      <c r="AC274" s="19"/>
      <c r="AD274" s="19"/>
      <c r="AE274" s="157"/>
      <c r="AF274" s="157"/>
      <c r="AG274" s="157"/>
      <c r="AH274" s="157"/>
      <c r="AI274" s="157"/>
      <c r="AJ274" s="157"/>
      <c r="AK274" s="157"/>
      <c r="AL274" s="157"/>
      <c r="AM274" s="157"/>
      <c r="AN274" s="157"/>
      <c r="AO274" s="157"/>
      <c r="AP274" s="157"/>
      <c r="AQ274" s="157"/>
    </row>
    <row r="275" spans="5:43" s="158" customFormat="1" ht="15" customHeight="1">
      <c r="E275" s="19" t="s">
        <v>761</v>
      </c>
      <c r="F275" s="19"/>
      <c r="G275" s="195" t="s">
        <v>844</v>
      </c>
      <c r="H275" s="19"/>
      <c r="I275" s="19"/>
      <c r="J275" s="88"/>
      <c r="K275" s="88"/>
      <c r="L275" s="88"/>
      <c r="M275" s="88"/>
      <c r="N275" s="88"/>
      <c r="O275" s="88"/>
      <c r="P275" s="88"/>
      <c r="Q275" s="88"/>
      <c r="R275" s="88"/>
      <c r="S275" s="88"/>
      <c r="T275" s="88"/>
      <c r="U275" s="88"/>
      <c r="V275" s="88"/>
      <c r="W275" s="88"/>
      <c r="X275" s="88"/>
      <c r="Y275" s="88"/>
      <c r="Z275" s="88"/>
      <c r="AA275" s="19"/>
      <c r="AB275" s="19"/>
      <c r="AC275" s="19"/>
      <c r="AD275" s="19"/>
      <c r="AE275" s="227">
        <f>CHOOSE(m_identity,ENWL!AE275, NPgN!AE275, NPgY!AE275, WMID!AE275, EMID!AE275, SWALES!AE275, SWEST!AE275, LPN!AE275,SPN!AE275,EPN!AE275,SPD!AE275,SPMW!AE275,SSEH!AE275,SSES!AE275)</f>
        <v>2.1013130600000003</v>
      </c>
      <c r="AF275" s="227">
        <f>CHOOSE(m_identity,ENWL!AF275, NPgN!AF275, NPgY!AF275, WMID!AF275, EMID!AF275, SWALES!AF275, SWEST!AF275, LPN!AF275,SPN!AF275,EPN!AF275,SPD!AF275,SPMW!AF275,SSEH!AF275,SSES!AF275)</f>
        <v>1.9212880709399995</v>
      </c>
      <c r="AG275" s="227">
        <f>CHOOSE(m_identity,ENWL!AG275, NPgN!AG275, NPgY!AG275, WMID!AG275, EMID!AG275, SWALES!AG275, SWEST!AG275, LPN!AG275,SPN!AG275,EPN!AG275,SPD!AG275,SPMW!AG275,SSEH!AG275,SSES!AG275)</f>
        <v>1.9098933136533998</v>
      </c>
      <c r="AH275" s="227">
        <f>CHOOSE(m_identity,ENWL!AH275, NPgN!AH275, NPgY!AH275, WMID!AH275, EMID!AH275, SWALES!AH275, SWEST!AH275, LPN!AH275,SPN!AH275,EPN!AH275,SPD!AH275,SPMW!AH275,SSEH!AH275,SSES!AH275)</f>
        <v>2</v>
      </c>
      <c r="AI275" s="227">
        <f>CHOOSE(m_identity,ENWL!AI275, NPgN!AI275, NPgY!AI275, WMID!AI275, EMID!AI275, SWALES!AI275, SWEST!AI275, LPN!AI275,SPN!AI275,EPN!AI275,SPD!AI275,SPMW!AI275,SSEH!AI275,SSES!AI275)</f>
        <v>2.1</v>
      </c>
      <c r="AJ275" s="227">
        <f>CHOOSE(m_identity,ENWL!AJ275, NPgN!AJ275, NPgY!AJ275, WMID!AJ275, EMID!AJ275, SWALES!AJ275, SWEST!AJ275, LPN!AJ275,SPN!AJ275,EPN!AJ275,SPD!AJ275,SPMW!AJ275,SSEH!AJ275,SSES!AJ275)</f>
        <v>2.1</v>
      </c>
      <c r="AK275" s="227">
        <f>CHOOSE(m_identity,ENWL!AK275, NPgN!AK275, NPgY!AK275, WMID!AK275, EMID!AK275, SWALES!AK275, SWEST!AK275, LPN!AK275,SPN!AK275,EPN!AK275,SPD!AK275,SPMW!AK275,SSEH!AK275,SSES!AK275)</f>
        <v>2.1</v>
      </c>
      <c r="AL275" s="227">
        <f>CHOOSE(m_identity,ENWL!AL275, NPgN!AL275, NPgY!AL275, WMID!AL275, EMID!AL275, SWALES!AL275, SWEST!AL275, LPN!AL275,SPN!AL275,EPN!AL275,SPD!AL275,SPMW!AL275,SSEH!AL275,SSES!AL275)</f>
        <v>2.1</v>
      </c>
      <c r="AM275" s="227">
        <f>CHOOSE(m_identity,ENWL!AM275, NPgN!AM275, NPgY!AM275, WMID!AM275, EMID!AM275, SWALES!AM275, SWEST!AM275, LPN!AM275,SPN!AM275,EPN!AM275,SPD!AM275,SPMW!AM275,SSEH!AM275,SSES!AM275)</f>
        <v>2.1</v>
      </c>
      <c r="AN275" s="227">
        <f>CHOOSE(m_identity,ENWL!AN275, NPgN!AN275, NPgY!AN275, WMID!AN275, EMID!AN275, SWALES!AN275, SWEST!AN275, LPN!AN275,SPN!AN275,EPN!AN275,SPD!AN275,SPMW!AN275,SSEH!AN275,SSES!AN275)</f>
        <v>2.1</v>
      </c>
      <c r="AO275" s="227">
        <f>CHOOSE(m_identity,ENWL!AO275, NPgN!AO275, NPgY!AO275, WMID!AO275, EMID!AO275, SWALES!AO275, SWEST!AO275, LPN!AO275,SPN!AO275,EPN!AO275,SPD!AO275,SPMW!AO275,SSEH!AO275,SSES!AO275)</f>
        <v>2.1</v>
      </c>
      <c r="AP275" s="227">
        <f>CHOOSE(m_identity,ENWL!AP275, NPgN!AP275, NPgY!AP275, WMID!AP275, EMID!AP275, SWALES!AP275, SWEST!AP275, LPN!AP275,SPN!AP275,EPN!AP275,SPD!AP275,SPMW!AP275,SSEH!AP275,SSES!AP275)</f>
        <v>2.1</v>
      </c>
      <c r="AQ275" s="227">
        <f>CHOOSE(m_identity,ENWL!AQ275, NPgN!AQ275, NPgY!AQ275, WMID!AQ275, EMID!AQ275, SWALES!AQ275, SWEST!AQ275, LPN!AQ275,SPN!AQ275,EPN!AQ275,SPD!AQ275,SPMW!AQ275,SSEH!AQ275,SSES!AQ275)</f>
        <v>2.1</v>
      </c>
    </row>
    <row r="276" spans="5:43" s="158" customFormat="1" ht="15" customHeight="1">
      <c r="E276" s="19" t="s">
        <v>750</v>
      </c>
      <c r="F276" s="19"/>
      <c r="G276" s="195" t="s">
        <v>844</v>
      </c>
      <c r="H276" s="19"/>
      <c r="I276" s="19"/>
      <c r="J276" s="88"/>
      <c r="K276" s="88"/>
      <c r="L276" s="88"/>
      <c r="M276" s="88"/>
      <c r="N276" s="88"/>
      <c r="O276" s="88"/>
      <c r="P276" s="88"/>
      <c r="Q276" s="88"/>
      <c r="R276" s="88"/>
      <c r="S276" s="88"/>
      <c r="T276" s="88"/>
      <c r="U276" s="88"/>
      <c r="V276" s="88"/>
      <c r="W276" s="88"/>
      <c r="X276" s="88"/>
      <c r="Y276" s="88"/>
      <c r="Z276" s="88"/>
      <c r="AA276" s="19"/>
      <c r="AB276" s="19"/>
      <c r="AC276" s="19"/>
      <c r="AD276" s="19"/>
      <c r="AE276" s="227">
        <f>CHOOSE(m_identity,ENWL!AE276, NPgN!AE276, NPgY!AE276, WMID!AE276, EMID!AE276, SWALES!AE276, SWEST!AE276, LPN!AE276,SPN!AE276,EPN!AE276,SPD!AE276,SPMW!AE276,SSEH!AE276,SSES!AE276)</f>
        <v>0</v>
      </c>
      <c r="AF276" s="227">
        <f>CHOOSE(m_identity,ENWL!AF276, NPgN!AF276, NPgY!AF276, WMID!AF276, EMID!AF276, SWALES!AF276, SWEST!AF276, LPN!AF276,SPN!AF276,EPN!AF276,SPD!AF276,SPMW!AF276,SSEH!AF276,SSES!AF276)</f>
        <v>0</v>
      </c>
      <c r="AG276" s="227">
        <f>CHOOSE(m_identity,ENWL!AG276, NPgN!AG276, NPgY!AG276, WMID!AG276, EMID!AG276, SWALES!AG276, SWEST!AG276, LPN!AG276,SPN!AG276,EPN!AG276,SPD!AG276,SPMW!AG276,SSEH!AG276,SSES!AG276)</f>
        <v>0</v>
      </c>
      <c r="AH276" s="227">
        <f>CHOOSE(m_identity,ENWL!AH276, NPgN!AH276, NPgY!AH276, WMID!AH276, EMID!AH276, SWALES!AH276, SWEST!AH276, LPN!AH276,SPN!AH276,EPN!AH276,SPD!AH276,SPMW!AH276,SSEH!AH276,SSES!AH276)</f>
        <v>0</v>
      </c>
      <c r="AI276" s="227">
        <f>CHOOSE(m_identity,ENWL!AI276, NPgN!AI276, NPgY!AI276, WMID!AI276, EMID!AI276, SWALES!AI276, SWEST!AI276, LPN!AI276,SPN!AI276,EPN!AI276,SPD!AI276,SPMW!AI276,SSEH!AI276,SSES!AI276)</f>
        <v>0</v>
      </c>
      <c r="AJ276" s="227">
        <f>CHOOSE(m_identity,ENWL!AJ276, NPgN!AJ276, NPgY!AJ276, WMID!AJ276, EMID!AJ276, SWALES!AJ276, SWEST!AJ276, LPN!AJ276,SPN!AJ276,EPN!AJ276,SPD!AJ276,SPMW!AJ276,SSEH!AJ276,SSES!AJ276)</f>
        <v>0</v>
      </c>
      <c r="AK276" s="227">
        <f>CHOOSE(m_identity,ENWL!AK276, NPgN!AK276, NPgY!AK276, WMID!AK276, EMID!AK276, SWALES!AK276, SWEST!AK276, LPN!AK276,SPN!AK276,EPN!AK276,SPD!AK276,SPMW!AK276,SSEH!AK276,SSES!AK276)</f>
        <v>0</v>
      </c>
      <c r="AL276" s="227">
        <f>CHOOSE(m_identity,ENWL!AL276, NPgN!AL276, NPgY!AL276, WMID!AL276, EMID!AL276, SWALES!AL276, SWEST!AL276, LPN!AL276,SPN!AL276,EPN!AL276,SPD!AL276,SPMW!AL276,SSEH!AL276,SSES!AL276)</f>
        <v>0</v>
      </c>
      <c r="AM276" s="227">
        <f>CHOOSE(m_identity,ENWL!AM276, NPgN!AM276, NPgY!AM276, WMID!AM276, EMID!AM276, SWALES!AM276, SWEST!AM276, LPN!AM276,SPN!AM276,EPN!AM276,SPD!AM276,SPMW!AM276,SSEH!AM276,SSES!AM276)</f>
        <v>0</v>
      </c>
      <c r="AN276" s="227">
        <f>CHOOSE(m_identity,ENWL!AN276, NPgN!AN276, NPgY!AN276, WMID!AN276, EMID!AN276, SWALES!AN276, SWEST!AN276, LPN!AN276,SPN!AN276,EPN!AN276,SPD!AN276,SPMW!AN276,SSEH!AN276,SSES!AN276)</f>
        <v>0</v>
      </c>
      <c r="AO276" s="227">
        <f>CHOOSE(m_identity,ENWL!AO276, NPgN!AO276, NPgY!AO276, WMID!AO276, EMID!AO276, SWALES!AO276, SWEST!AO276, LPN!AO276,SPN!AO276,EPN!AO276,SPD!AO276,SPMW!AO276,SSEH!AO276,SSES!AO276)</f>
        <v>0</v>
      </c>
      <c r="AP276" s="227">
        <f>CHOOSE(m_identity,ENWL!AP276, NPgN!AP276, NPgY!AP276, WMID!AP276, EMID!AP276, SWALES!AP276, SWEST!AP276, LPN!AP276,SPN!AP276,EPN!AP276,SPD!AP276,SPMW!AP276,SSEH!AP276,SSES!AP276)</f>
        <v>0</v>
      </c>
      <c r="AQ276" s="227">
        <f>CHOOSE(m_identity,ENWL!AQ276, NPgN!AQ276, NPgY!AQ276, WMID!AQ276, EMID!AQ276, SWALES!AQ276, SWEST!AQ276, LPN!AQ276,SPN!AQ276,EPN!AQ276,SPD!AQ276,SPMW!AQ276,SSEH!AQ276,SSES!AQ276)</f>
        <v>0</v>
      </c>
    </row>
    <row r="277" spans="5:43" s="158" customFormat="1" ht="15" customHeight="1">
      <c r="E277" s="19" t="s">
        <v>751</v>
      </c>
      <c r="F277" s="19"/>
      <c r="G277" s="195" t="s">
        <v>844</v>
      </c>
      <c r="H277" s="19"/>
      <c r="I277" s="19"/>
      <c r="J277" s="88"/>
      <c r="K277" s="88"/>
      <c r="L277" s="88"/>
      <c r="M277" s="88"/>
      <c r="N277" s="88"/>
      <c r="O277" s="88"/>
      <c r="P277" s="88"/>
      <c r="Q277" s="88"/>
      <c r="R277" s="88"/>
      <c r="S277" s="88"/>
      <c r="T277" s="88"/>
      <c r="U277" s="88"/>
      <c r="V277" s="88"/>
      <c r="W277" s="88"/>
      <c r="X277" s="88"/>
      <c r="Y277" s="88"/>
      <c r="Z277" s="88"/>
      <c r="AA277" s="19"/>
      <c r="AB277" s="19"/>
      <c r="AC277" s="19"/>
      <c r="AD277" s="19"/>
      <c r="AE277" s="167">
        <f t="shared" ref="AE277:AI277" si="62">SUM(AE275,AE276)</f>
        <v>2.1013130600000003</v>
      </c>
      <c r="AF277" s="167">
        <f t="shared" si="62"/>
        <v>1.9212880709399995</v>
      </c>
      <c r="AG277" s="167">
        <f t="shared" si="62"/>
        <v>1.9098933136533998</v>
      </c>
      <c r="AH277" s="167">
        <f t="shared" si="62"/>
        <v>2</v>
      </c>
      <c r="AI277" s="167">
        <f t="shared" si="62"/>
        <v>2.1</v>
      </c>
      <c r="AJ277" s="167">
        <f>SUM(AJ275,AJ276)</f>
        <v>2.1</v>
      </c>
      <c r="AK277" s="167">
        <f t="shared" ref="AK277" si="63">SUM(AK275,AK276)</f>
        <v>2.1</v>
      </c>
      <c r="AL277" s="167">
        <f t="shared" ref="AL277" si="64">SUM(AL275,AL276)</f>
        <v>2.1</v>
      </c>
      <c r="AM277" s="167">
        <f t="shared" ref="AM277" si="65">SUM(AM275,AM276)</f>
        <v>2.1</v>
      </c>
      <c r="AN277" s="167">
        <f t="shared" ref="AN277" si="66">SUM(AN275,AN276)</f>
        <v>2.1</v>
      </c>
      <c r="AO277" s="167">
        <f t="shared" ref="AO277" si="67">SUM(AO275,AO276)</f>
        <v>2.1</v>
      </c>
      <c r="AP277" s="167">
        <f t="shared" ref="AP277" si="68">SUM(AP275,AP276)</f>
        <v>2.1</v>
      </c>
      <c r="AQ277" s="167">
        <f t="shared" ref="AQ277" si="69">SUM(AQ275,AQ276)</f>
        <v>2.1</v>
      </c>
    </row>
    <row r="278" spans="5:43" s="158" customFormat="1" ht="15" customHeight="1">
      <c r="E278" s="19"/>
      <c r="F278" s="19"/>
      <c r="G278" s="195"/>
      <c r="H278" s="19"/>
      <c r="I278" s="19"/>
      <c r="J278" s="88"/>
      <c r="K278" s="88"/>
      <c r="L278" s="88"/>
      <c r="M278" s="88"/>
      <c r="N278" s="88"/>
      <c r="O278" s="88"/>
      <c r="P278" s="88"/>
      <c r="Q278" s="88"/>
      <c r="R278" s="88"/>
      <c r="S278" s="88"/>
      <c r="T278" s="88"/>
      <c r="U278" s="88"/>
      <c r="V278" s="88"/>
      <c r="W278" s="88"/>
      <c r="X278" s="88"/>
      <c r="Y278" s="88"/>
      <c r="Z278" s="88"/>
      <c r="AA278" s="19"/>
      <c r="AB278" s="19"/>
      <c r="AC278" s="19"/>
      <c r="AD278" s="19"/>
      <c r="AE278" s="157"/>
      <c r="AF278" s="157"/>
      <c r="AG278" s="157"/>
      <c r="AH278" s="157"/>
      <c r="AI278" s="157"/>
      <c r="AJ278" s="157"/>
      <c r="AK278" s="157"/>
      <c r="AL278" s="157"/>
      <c r="AM278" s="157"/>
      <c r="AN278" s="157"/>
      <c r="AO278" s="157"/>
      <c r="AP278" s="157"/>
      <c r="AQ278" s="157"/>
    </row>
    <row r="279" spans="5:43" s="158" customFormat="1" ht="15" customHeight="1">
      <c r="E279" s="19" t="s">
        <v>762</v>
      </c>
      <c r="F279" s="19"/>
      <c r="G279" s="195" t="s">
        <v>844</v>
      </c>
      <c r="H279" s="19"/>
      <c r="I279" s="19"/>
      <c r="J279" s="88"/>
      <c r="K279" s="88"/>
      <c r="L279" s="88"/>
      <c r="M279" s="88"/>
      <c r="N279" s="88"/>
      <c r="O279" s="88"/>
      <c r="P279" s="88"/>
      <c r="Q279" s="88"/>
      <c r="R279" s="88"/>
      <c r="S279" s="88"/>
      <c r="T279" s="88"/>
      <c r="U279" s="88"/>
      <c r="V279" s="88"/>
      <c r="W279" s="88"/>
      <c r="X279" s="88"/>
      <c r="Y279" s="88"/>
      <c r="Z279" s="88"/>
      <c r="AA279" s="19"/>
      <c r="AB279" s="19"/>
      <c r="AC279" s="19"/>
      <c r="AD279" s="19"/>
      <c r="AE279" s="227">
        <f>CHOOSE(m_identity,ENWL!AE279, NPgN!AE279, NPgY!AE279, WMID!AE279, EMID!AE279, SWALES!AE279, SWEST!AE279, LPN!AE279,SPN!AE279,EPN!AE279,SPD!AE279,SPMW!AE279,SSEH!AE279,SSES!AE279)</f>
        <v>0.19908086</v>
      </c>
      <c r="AF279" s="227">
        <f>CHOOSE(m_identity,ENWL!AF279, NPgN!AF279, NPgY!AF279, WMID!AF279, EMID!AF279, SWALES!AF279, SWEST!AF279, LPN!AF279,SPN!AF279,EPN!AF279,SPD!AF279,SPMW!AF279,SSEH!AF279,SSES!AF279)</f>
        <v>0.33160320599999998</v>
      </c>
      <c r="AG279" s="227">
        <f>CHOOSE(m_identity,ENWL!AG279, NPgN!AG279, NPgY!AG279, WMID!AG279, EMID!AG279, SWALES!AG279, SWEST!AG279, LPN!AG279,SPN!AG279,EPN!AG279,SPD!AG279,SPMW!AG279,SSEH!AG279,SSES!AG279)</f>
        <v>0.46990150482538762</v>
      </c>
      <c r="AH279" s="227">
        <f>CHOOSE(m_identity,ENWL!AH279, NPgN!AH279, NPgY!AH279, WMID!AH279, EMID!AH279, SWALES!AH279, SWEST!AH279, LPN!AH279,SPN!AH279,EPN!AH279,SPD!AH279,SPMW!AH279,SSEH!AH279,SSES!AH279)</f>
        <v>0.57600000000000007</v>
      </c>
      <c r="AI279" s="227">
        <f>CHOOSE(m_identity,ENWL!AI279, NPgN!AI279, NPgY!AI279, WMID!AI279, EMID!AI279, SWALES!AI279, SWEST!AI279, LPN!AI279,SPN!AI279,EPN!AI279,SPD!AI279,SPMW!AI279,SSEH!AI279,SSES!AI279)</f>
        <v>0.57600000000000007</v>
      </c>
      <c r="AJ279" s="227">
        <f>CHOOSE(m_identity,ENWL!AJ279, NPgN!AJ279, NPgY!AJ279, WMID!AJ279, EMID!AJ279, SWALES!AJ279, SWEST!AJ279, LPN!AJ279,SPN!AJ279,EPN!AJ279,SPD!AJ279,SPMW!AJ279,SSEH!AJ279,SSES!AJ279)</f>
        <v>0.57600000000000007</v>
      </c>
      <c r="AK279" s="227">
        <f>CHOOSE(m_identity,ENWL!AK279, NPgN!AK279, NPgY!AK279, WMID!AK279, EMID!AK279, SWALES!AK279, SWEST!AK279, LPN!AK279,SPN!AK279,EPN!AK279,SPD!AK279,SPMW!AK279,SSEH!AK279,SSES!AK279)</f>
        <v>0.57600000000000007</v>
      </c>
      <c r="AL279" s="227">
        <f>CHOOSE(m_identity,ENWL!AL279, NPgN!AL279, NPgY!AL279, WMID!AL279, EMID!AL279, SWALES!AL279, SWEST!AL279, LPN!AL279,SPN!AL279,EPN!AL279,SPD!AL279,SPMW!AL279,SSEH!AL279,SSES!AL279)</f>
        <v>0.57600000000000007</v>
      </c>
      <c r="AM279" s="227">
        <f>CHOOSE(m_identity,ENWL!AM279, NPgN!AM279, NPgY!AM279, WMID!AM279, EMID!AM279, SWALES!AM279, SWEST!AM279, LPN!AM279,SPN!AM279,EPN!AM279,SPD!AM279,SPMW!AM279,SSEH!AM279,SSES!AM279)</f>
        <v>0.57600000000000007</v>
      </c>
      <c r="AN279" s="227">
        <f>CHOOSE(m_identity,ENWL!AN279, NPgN!AN279, NPgY!AN279, WMID!AN279, EMID!AN279, SWALES!AN279, SWEST!AN279, LPN!AN279,SPN!AN279,EPN!AN279,SPD!AN279,SPMW!AN279,SSEH!AN279,SSES!AN279)</f>
        <v>0.57600000000000007</v>
      </c>
      <c r="AO279" s="227">
        <f>CHOOSE(m_identity,ENWL!AO279, NPgN!AO279, NPgY!AO279, WMID!AO279, EMID!AO279, SWALES!AO279, SWEST!AO279, LPN!AO279,SPN!AO279,EPN!AO279,SPD!AO279,SPMW!AO279,SSEH!AO279,SSES!AO279)</f>
        <v>0.57600000000000007</v>
      </c>
      <c r="AP279" s="227">
        <f>CHOOSE(m_identity,ENWL!AP279, NPgN!AP279, NPgY!AP279, WMID!AP279, EMID!AP279, SWALES!AP279, SWEST!AP279, LPN!AP279,SPN!AP279,EPN!AP279,SPD!AP279,SPMW!AP279,SSEH!AP279,SSES!AP279)</f>
        <v>0.57600000000000007</v>
      </c>
      <c r="AQ279" s="227">
        <f>CHOOSE(m_identity,ENWL!AQ279, NPgN!AQ279, NPgY!AQ279, WMID!AQ279, EMID!AQ279, SWALES!AQ279, SWEST!AQ279, LPN!AQ279,SPN!AQ279,EPN!AQ279,SPD!AQ279,SPMW!AQ279,SSEH!AQ279,SSES!AQ279)</f>
        <v>0.57600000000000007</v>
      </c>
    </row>
    <row r="280" spans="5:43" s="158" customFormat="1" ht="15" customHeight="1">
      <c r="E280" s="19" t="s">
        <v>752</v>
      </c>
      <c r="F280" s="19"/>
      <c r="G280" s="195" t="s">
        <v>844</v>
      </c>
      <c r="H280" s="19"/>
      <c r="I280" s="19"/>
      <c r="J280" s="88"/>
      <c r="K280" s="88"/>
      <c r="L280" s="88"/>
      <c r="M280" s="88"/>
      <c r="N280" s="88"/>
      <c r="O280" s="88"/>
      <c r="P280" s="88"/>
      <c r="Q280" s="88"/>
      <c r="R280" s="88"/>
      <c r="S280" s="88"/>
      <c r="T280" s="88"/>
      <c r="U280" s="88"/>
      <c r="V280" s="88"/>
      <c r="W280" s="88"/>
      <c r="X280" s="88"/>
      <c r="Y280" s="88"/>
      <c r="Z280" s="88"/>
      <c r="AA280" s="19"/>
      <c r="AB280" s="19"/>
      <c r="AC280" s="19"/>
      <c r="AD280" s="19"/>
      <c r="AE280" s="227">
        <f>CHOOSE(m_identity,ENWL!AE280, NPgN!AE280, NPgY!AE280, WMID!AE280, EMID!AE280, SWALES!AE280, SWEST!AE280, LPN!AE280,SPN!AE280,EPN!AE280,SPD!AE280,SPMW!AE280,SSEH!AE280,SSES!AE280)</f>
        <v>-1.820477823163603</v>
      </c>
      <c r="AF280" s="227">
        <f>CHOOSE(m_identity,ENWL!AF280, NPgN!AF280, NPgY!AF280, WMID!AF280, EMID!AF280, SWALES!AF280, SWEST!AF280, LPN!AF280,SPN!AF280,EPN!AF280,SPD!AF280,SPMW!AF280,SSEH!AF280,SSES!AF280)</f>
        <v>-1.1292441721574575</v>
      </c>
      <c r="AG280" s="227">
        <f>CHOOSE(m_identity,ENWL!AG280, NPgN!AG280, NPgY!AG280, WMID!AG280, EMID!AG280, SWALES!AG280, SWEST!AG280, LPN!AG280,SPN!AG280,EPN!AG280,SPD!AG280,SPMW!AG280,SSEH!AG280,SSES!AG280)</f>
        <v>-0.72513911255246133</v>
      </c>
      <c r="AH280" s="227">
        <f>CHOOSE(m_identity,ENWL!AH280, NPgN!AH280, NPgY!AH280, WMID!AH280, EMID!AH280, SWALES!AH280, SWEST!AH280, LPN!AH280,SPN!AH280,EPN!AH280,SPD!AH280,SPMW!AH280,SSEH!AH280,SSES!AH280)</f>
        <v>-0.90401983971757982</v>
      </c>
      <c r="AI280" s="227">
        <f>CHOOSE(m_identity,ENWL!AI280, NPgN!AI280, NPgY!AI280, WMID!AI280, EMID!AI280, SWALES!AI280, SWEST!AI280, LPN!AI280,SPN!AI280,EPN!AI280,SPD!AI280,SPMW!AI280,SSEH!AI280,SSES!AI280)</f>
        <v>-0.903434241040321</v>
      </c>
      <c r="AJ280" s="227">
        <f>CHOOSE(m_identity,ENWL!AJ280, NPgN!AJ280, NPgY!AJ280, WMID!AJ280, EMID!AJ280, SWALES!AJ280, SWEST!AJ280, LPN!AJ280,SPN!AJ280,EPN!AJ280,SPD!AJ280,SPMW!AJ280,SSEH!AJ280,SSES!AJ280)</f>
        <v>-0.84481523366926048</v>
      </c>
      <c r="AK280" s="227">
        <f>CHOOSE(m_identity,ENWL!AK280, NPgN!AK280, NPgY!AK280, WMID!AK280, EMID!AK280, SWALES!AK280, SWEST!AK280, LPN!AK280,SPN!AK280,EPN!AK280,SPD!AK280,SPMW!AK280,SSEH!AK280,SSES!AK280)</f>
        <v>-0.82879577086873479</v>
      </c>
      <c r="AL280" s="227">
        <f>CHOOSE(m_identity,ENWL!AL280, NPgN!AL280, NPgY!AL280, WMID!AL280, EMID!AL280, SWALES!AL280, SWEST!AL280, LPN!AL280,SPN!AL280,EPN!AL280,SPD!AL280,SPMW!AL280,SSEH!AL280,SSES!AL280)</f>
        <v>-0.86929559458112993</v>
      </c>
      <c r="AM280" s="227">
        <f>CHOOSE(m_identity,ENWL!AM280, NPgN!AM280, NPgY!AM280, WMID!AM280, EMID!AM280, SWALES!AM280, SWEST!AM280, LPN!AM280,SPN!AM280,EPN!AM280,SPD!AM280,SPMW!AM280,SSEH!AM280,SSES!AM280)</f>
        <v>-0.86864352222995955</v>
      </c>
      <c r="AN280" s="227">
        <f>CHOOSE(m_identity,ENWL!AN280, NPgN!AN280, NPgY!AN280, WMID!AN280, EMID!AN280, SWALES!AN280, SWEST!AN280, LPN!AN280,SPN!AN280,EPN!AN280,SPD!AN280,SPMW!AN280,SSEH!AN280,SSES!AN280)</f>
        <v>-0.86716501747486285</v>
      </c>
      <c r="AO280" s="227">
        <f>CHOOSE(m_identity,ENWL!AO280, NPgN!AO280, NPgY!AO280, WMID!AO280, EMID!AO280, SWALES!AO280, SWEST!AO280, LPN!AO280,SPN!AO280,EPN!AO280,SPD!AO280,SPMW!AO280,SSEH!AO280,SSES!AO280)</f>
        <v>-0.86348037898554264</v>
      </c>
      <c r="AP280" s="227">
        <f>CHOOSE(m_identity,ENWL!AP280, NPgN!AP280, NPgY!AP280, WMID!AP280, EMID!AP280, SWALES!AP280, SWEST!AP280, LPN!AP280,SPN!AP280,EPN!AP280,SPD!AP280,SPMW!AP280,SSEH!AP280,SSES!AP280)</f>
        <v>-0.8604443088132071</v>
      </c>
      <c r="AQ280" s="227">
        <f>CHOOSE(m_identity,ENWL!AQ280, NPgN!AQ280, NPgY!AQ280, WMID!AQ280, EMID!AQ280, SWALES!AQ280, SWEST!AQ280, LPN!AQ280,SPN!AQ280,EPN!AQ280,SPD!AQ280,SPMW!AQ280,SSEH!AQ280,SSES!AQ280)</f>
        <v>-0.85799581480655585</v>
      </c>
    </row>
    <row r="281" spans="5:43" s="158" customFormat="1" ht="15" customHeight="1">
      <c r="E281" s="19" t="s">
        <v>753</v>
      </c>
      <c r="F281" s="19"/>
      <c r="G281" s="195" t="s">
        <v>844</v>
      </c>
      <c r="H281" s="19"/>
      <c r="I281" s="19"/>
      <c r="J281" s="88"/>
      <c r="K281" s="88"/>
      <c r="L281" s="88"/>
      <c r="M281" s="88"/>
      <c r="N281" s="88"/>
      <c r="O281" s="88"/>
      <c r="P281" s="88"/>
      <c r="Q281" s="88"/>
      <c r="R281" s="88"/>
      <c r="S281" s="88"/>
      <c r="T281" s="88"/>
      <c r="U281" s="88"/>
      <c r="V281" s="88"/>
      <c r="W281" s="88"/>
      <c r="X281" s="88"/>
      <c r="Y281" s="88"/>
      <c r="Z281" s="88"/>
      <c r="AA281" s="19"/>
      <c r="AB281" s="19"/>
      <c r="AC281" s="19"/>
      <c r="AD281" s="19"/>
      <c r="AE281" s="167">
        <f t="shared" ref="AE281:AI281" si="70">SUM(AE279,AE280)</f>
        <v>-1.6213969631636029</v>
      </c>
      <c r="AF281" s="167">
        <f t="shared" si="70"/>
        <v>-0.7976409661574575</v>
      </c>
      <c r="AG281" s="167">
        <f t="shared" si="70"/>
        <v>-0.25523760772707371</v>
      </c>
      <c r="AH281" s="167">
        <f t="shared" si="70"/>
        <v>-0.32801983971757975</v>
      </c>
      <c r="AI281" s="167">
        <f t="shared" si="70"/>
        <v>-0.32743424104032093</v>
      </c>
      <c r="AJ281" s="167">
        <f>SUM(AJ279,AJ280)</f>
        <v>-0.26881523366926041</v>
      </c>
      <c r="AK281" s="167">
        <f t="shared" ref="AK281" si="71">SUM(AK279,AK280)</f>
        <v>-0.25279577086873473</v>
      </c>
      <c r="AL281" s="167">
        <f t="shared" ref="AL281" si="72">SUM(AL279,AL280)</f>
        <v>-0.29329559458112986</v>
      </c>
      <c r="AM281" s="167">
        <f t="shared" ref="AM281" si="73">SUM(AM279,AM280)</f>
        <v>-0.29264352222995949</v>
      </c>
      <c r="AN281" s="167">
        <f t="shared" ref="AN281" si="74">SUM(AN279,AN280)</f>
        <v>-0.29116501747486279</v>
      </c>
      <c r="AO281" s="167">
        <f t="shared" ref="AO281" si="75">SUM(AO279,AO280)</f>
        <v>-0.28748037898554257</v>
      </c>
      <c r="AP281" s="167">
        <f t="shared" ref="AP281" si="76">SUM(AP279,AP280)</f>
        <v>-0.28444430881320704</v>
      </c>
      <c r="AQ281" s="167">
        <f t="shared" ref="AQ281" si="77">SUM(AQ279,AQ280)</f>
        <v>-0.28199581480655578</v>
      </c>
    </row>
    <row r="282" spans="5:43" s="158" customFormat="1" ht="15" customHeight="1">
      <c r="E282" s="19"/>
      <c r="F282" s="19"/>
      <c r="G282" s="195"/>
      <c r="H282" s="19"/>
      <c r="I282" s="19"/>
      <c r="J282" s="88"/>
      <c r="K282" s="88"/>
      <c r="L282" s="88"/>
      <c r="M282" s="88"/>
      <c r="N282" s="88"/>
      <c r="O282" s="88"/>
      <c r="P282" s="88"/>
      <c r="Q282" s="88"/>
      <c r="R282" s="88"/>
      <c r="S282" s="88"/>
      <c r="T282" s="88"/>
      <c r="U282" s="88"/>
      <c r="V282" s="88"/>
      <c r="W282" s="88"/>
      <c r="X282" s="88"/>
      <c r="Y282" s="88"/>
      <c r="Z282" s="88"/>
      <c r="AA282" s="19"/>
      <c r="AB282" s="19"/>
      <c r="AC282" s="19"/>
      <c r="AD282" s="19"/>
      <c r="AE282" s="157"/>
      <c r="AF282" s="157"/>
      <c r="AG282" s="157"/>
      <c r="AH282" s="157"/>
      <c r="AI282" s="157"/>
      <c r="AJ282" s="157"/>
      <c r="AK282" s="157"/>
      <c r="AL282" s="157"/>
      <c r="AM282" s="157"/>
      <c r="AN282" s="157"/>
      <c r="AO282" s="157"/>
      <c r="AP282" s="157"/>
      <c r="AQ282" s="157"/>
    </row>
    <row r="283" spans="5:43" s="158" customFormat="1" ht="15" customHeight="1">
      <c r="E283" s="19" t="s">
        <v>763</v>
      </c>
      <c r="F283" s="19"/>
      <c r="G283" s="195" t="s">
        <v>844</v>
      </c>
      <c r="H283" s="19"/>
      <c r="I283" s="19"/>
      <c r="J283" s="88"/>
      <c r="K283" s="88"/>
      <c r="L283" s="88"/>
      <c r="M283" s="88"/>
      <c r="N283" s="88"/>
      <c r="O283" s="88"/>
      <c r="P283" s="88"/>
      <c r="Q283" s="88"/>
      <c r="R283" s="88"/>
      <c r="S283" s="88"/>
      <c r="T283" s="88"/>
      <c r="U283" s="88"/>
      <c r="V283" s="88"/>
      <c r="W283" s="88"/>
      <c r="X283" s="88"/>
      <c r="Y283" s="88"/>
      <c r="Z283" s="88"/>
      <c r="AA283" s="19"/>
      <c r="AB283" s="19"/>
      <c r="AC283" s="19"/>
      <c r="AD283" s="19"/>
      <c r="AE283" s="227">
        <f>CHOOSE(m_identity,ENWL!AE283, NPgN!AE283, NPgY!AE283, WMID!AE283, EMID!AE283, SWALES!AE283, SWEST!AE283, LPN!AE283,SPN!AE283,EPN!AE283,SPD!AE283,SPMW!AE283,SSEH!AE283,SSES!AE283)</f>
        <v>3.6100284000000005</v>
      </c>
      <c r="AF283" s="227">
        <f>CHOOSE(m_identity,ENWL!AF283, NPgN!AF283, NPgY!AF283, WMID!AF283, EMID!AF283, SWALES!AF283, SWEST!AF283, LPN!AF283,SPN!AF283,EPN!AF283,SPD!AF283,SPMW!AF283,SSEH!AF283,SSES!AF283)</f>
        <v>2.5944126465046029</v>
      </c>
      <c r="AG283" s="227">
        <f>CHOOSE(m_identity,ENWL!AG283, NPgN!AG283, NPgY!AG283, WMID!AG283, EMID!AG283, SWALES!AG283, SWEST!AG283, LPN!AG283,SPN!AG283,EPN!AG283,SPD!AG283,SPMW!AG283,SSEH!AG283,SSES!AG283)</f>
        <v>2.3897977785099984</v>
      </c>
      <c r="AH283" s="227">
        <f>CHOOSE(m_identity,ENWL!AH283, NPgN!AH283, NPgY!AH283, WMID!AH283, EMID!AH283, SWALES!AH283, SWEST!AH283, LPN!AH283,SPN!AH283,EPN!AH283,SPD!AH283,SPMW!AH283,SSEH!AH283,SSES!AH283)</f>
        <v>2.0587701727425305</v>
      </c>
      <c r="AI283" s="227">
        <f>CHOOSE(m_identity,ENWL!AI283, NPgN!AI283, NPgY!AI283, WMID!AI283, EMID!AI283, SWALES!AI283, SWEST!AI283, LPN!AI283,SPN!AI283,EPN!AI283,SPD!AI283,SPMW!AI283,SSEH!AI283,SSES!AI283)</f>
        <v>1.9062920377072483</v>
      </c>
      <c r="AJ283" s="227">
        <f>CHOOSE(m_identity,ENWL!AJ283, NPgN!AJ283, NPgY!AJ283, WMID!AJ283, EMID!AJ283, SWALES!AJ283, SWEST!AJ283, LPN!AJ283,SPN!AJ283,EPN!AJ283,SPD!AJ283,SPMW!AJ283,SSEH!AJ283,SSES!AJ283)</f>
        <v>1.3892025073963867</v>
      </c>
      <c r="AK283" s="227">
        <f>CHOOSE(m_identity,ENWL!AK283, NPgN!AK283, NPgY!AK283, WMID!AK283, EMID!AK283, SWALES!AK283, SWEST!AK283, LPN!AK283,SPN!AK283,EPN!AK283,SPD!AK283,SPMW!AK283,SSEH!AK283,SSES!AK283)</f>
        <v>1.0143002879938769</v>
      </c>
      <c r="AL283" s="227">
        <f>CHOOSE(m_identity,ENWL!AL283, NPgN!AL283, NPgY!AL283, WMID!AL283, EMID!AL283, SWALES!AL283, SWEST!AL283, LPN!AL283,SPN!AL283,EPN!AL283,SPD!AL283,SPMW!AL283,SSEH!AL283,SSES!AL283)</f>
        <v>0.70240023070554147</v>
      </c>
      <c r="AM283" s="227">
        <f>CHOOSE(m_identity,ENWL!AM283, NPgN!AM283, NPgY!AM283, WMID!AM283, EMID!AM283, SWALES!AM283, SWEST!AM283, LPN!AM283,SPN!AM283,EPN!AM283,SPD!AM283,SPMW!AM283,SSEH!AM283,SSES!AM283)</f>
        <v>0.38119457818848568</v>
      </c>
      <c r="AN283" s="227">
        <f>CHOOSE(m_identity,ENWL!AN283, NPgN!AN283, NPgY!AN283, WMID!AN283, EMID!AN283, SWALES!AN283, SWEST!AN283, LPN!AN283,SPN!AN283,EPN!AN283,SPD!AN283,SPMW!AN283,SSEH!AN283,SSES!AN283)</f>
        <v>0.11428556960679928</v>
      </c>
      <c r="AO283" s="227">
        <f>CHOOSE(m_identity,ENWL!AO283, NPgN!AO283, NPgY!AO283, WMID!AO283, EMID!AO283, SWALES!AO283, SWEST!AO283, LPN!AO283,SPN!AO283,EPN!AO283,SPD!AO283,SPMW!AO283,SSEH!AO283,SSES!AO283)</f>
        <v>1.4509728537304156E-2</v>
      </c>
      <c r="AP283" s="227">
        <f>CHOOSE(m_identity,ENWL!AP283, NPgN!AP283, NPgY!AP283, WMID!AP283, EMID!AP283, SWALES!AP283, SWEST!AP283, LPN!AP283,SPN!AP283,EPN!AP283,SPD!AP283,SPMW!AP283,SSEH!AP283,SSES!AP283)</f>
        <v>0</v>
      </c>
      <c r="AQ283" s="227">
        <f>CHOOSE(m_identity,ENWL!AQ283, NPgN!AQ283, NPgY!AQ283, WMID!AQ283, EMID!AQ283, SWALES!AQ283, SWEST!AQ283, LPN!AQ283,SPN!AQ283,EPN!AQ283,SPD!AQ283,SPMW!AQ283,SSEH!AQ283,SSES!AQ283)</f>
        <v>0</v>
      </c>
    </row>
    <row r="284" spans="5:43" s="158" customFormat="1" ht="15" customHeight="1">
      <c r="E284" s="19" t="s">
        <v>754</v>
      </c>
      <c r="F284" s="19"/>
      <c r="G284" s="195" t="s">
        <v>844</v>
      </c>
      <c r="H284" s="19"/>
      <c r="I284" s="19"/>
      <c r="J284" s="88"/>
      <c r="K284" s="88"/>
      <c r="L284" s="88"/>
      <c r="M284" s="88"/>
      <c r="N284" s="88"/>
      <c r="O284" s="88"/>
      <c r="P284" s="88"/>
      <c r="Q284" s="88"/>
      <c r="R284" s="88"/>
      <c r="S284" s="88"/>
      <c r="T284" s="88"/>
      <c r="U284" s="88"/>
      <c r="V284" s="88"/>
      <c r="W284" s="88"/>
      <c r="X284" s="88"/>
      <c r="Y284" s="88"/>
      <c r="Z284" s="88"/>
      <c r="AA284" s="19"/>
      <c r="AB284" s="19"/>
      <c r="AC284" s="19"/>
      <c r="AD284" s="19"/>
      <c r="AE284" s="227">
        <f>CHOOSE(m_identity,ENWL!AE284, NPgN!AE284, NPgY!AE284, WMID!AE284, EMID!AE284, SWALES!AE284, SWEST!AE284, LPN!AE284,SPN!AE284,EPN!AE284,SPD!AE284,SPMW!AE284,SSEH!AE284,SSES!AE284)</f>
        <v>-1.2569334339539999</v>
      </c>
      <c r="AF284" s="227">
        <f>CHOOSE(m_identity,ENWL!AF284, NPgN!AF284, NPgY!AF284, WMID!AF284, EMID!AF284, SWALES!AF284, SWEST!AF284, LPN!AF284,SPN!AF284,EPN!AF284,SPD!AF284,SPMW!AF284,SSEH!AF284,SSES!AF284)</f>
        <v>-0.70180836703200011</v>
      </c>
      <c r="AG284" s="227">
        <f>CHOOSE(m_identity,ENWL!AG284, NPgN!AG284, NPgY!AG284, WMID!AG284, EMID!AG284, SWALES!AG284, SWEST!AG284, LPN!AG284,SPN!AG284,EPN!AG284,SPD!AG284,SPMW!AG284,SSEH!AG284,SSES!AG284)</f>
        <v>-0.20167205999999999</v>
      </c>
      <c r="AH284" s="227">
        <f>CHOOSE(m_identity,ENWL!AH284, NPgN!AH284, NPgY!AH284, WMID!AH284, EMID!AH284, SWALES!AH284, SWEST!AH284, LPN!AH284,SPN!AH284,EPN!AH284,SPD!AH284,SPMW!AH284,SSEH!AH284,SSES!AH284)</f>
        <v>0</v>
      </c>
      <c r="AI284" s="227">
        <f>CHOOSE(m_identity,ENWL!AI284, NPgN!AI284, NPgY!AI284, WMID!AI284, EMID!AI284, SWALES!AI284, SWEST!AI284, LPN!AI284,SPN!AI284,EPN!AI284,SPD!AI284,SPMW!AI284,SSEH!AI284,SSES!AI284)</f>
        <v>0</v>
      </c>
      <c r="AJ284" s="227">
        <f>CHOOSE(m_identity,ENWL!AJ284, NPgN!AJ284, NPgY!AJ284, WMID!AJ284, EMID!AJ284, SWALES!AJ284, SWEST!AJ284, LPN!AJ284,SPN!AJ284,EPN!AJ284,SPD!AJ284,SPMW!AJ284,SSEH!AJ284,SSES!AJ284)</f>
        <v>0</v>
      </c>
      <c r="AK284" s="227">
        <f>CHOOSE(m_identity,ENWL!AK284, NPgN!AK284, NPgY!AK284, WMID!AK284, EMID!AK284, SWALES!AK284, SWEST!AK284, LPN!AK284,SPN!AK284,EPN!AK284,SPD!AK284,SPMW!AK284,SSEH!AK284,SSES!AK284)</f>
        <v>0</v>
      </c>
      <c r="AL284" s="227">
        <f>CHOOSE(m_identity,ENWL!AL284, NPgN!AL284, NPgY!AL284, WMID!AL284, EMID!AL284, SWALES!AL284, SWEST!AL284, LPN!AL284,SPN!AL284,EPN!AL284,SPD!AL284,SPMW!AL284,SSEH!AL284,SSES!AL284)</f>
        <v>0</v>
      </c>
      <c r="AM284" s="227">
        <f>CHOOSE(m_identity,ENWL!AM284, NPgN!AM284, NPgY!AM284, WMID!AM284, EMID!AM284, SWALES!AM284, SWEST!AM284, LPN!AM284,SPN!AM284,EPN!AM284,SPD!AM284,SPMW!AM284,SSEH!AM284,SSES!AM284)</f>
        <v>0</v>
      </c>
      <c r="AN284" s="227">
        <f>CHOOSE(m_identity,ENWL!AN284, NPgN!AN284, NPgY!AN284, WMID!AN284, EMID!AN284, SWALES!AN284, SWEST!AN284, LPN!AN284,SPN!AN284,EPN!AN284,SPD!AN284,SPMW!AN284,SSEH!AN284,SSES!AN284)</f>
        <v>0</v>
      </c>
      <c r="AO284" s="227">
        <f>CHOOSE(m_identity,ENWL!AO284, NPgN!AO284, NPgY!AO284, WMID!AO284, EMID!AO284, SWALES!AO284, SWEST!AO284, LPN!AO284,SPN!AO284,EPN!AO284,SPD!AO284,SPMW!AO284,SSEH!AO284,SSES!AO284)</f>
        <v>0</v>
      </c>
      <c r="AP284" s="227">
        <f>CHOOSE(m_identity,ENWL!AP284, NPgN!AP284, NPgY!AP284, WMID!AP284, EMID!AP284, SWALES!AP284, SWEST!AP284, LPN!AP284,SPN!AP284,EPN!AP284,SPD!AP284,SPMW!AP284,SSEH!AP284,SSES!AP284)</f>
        <v>0</v>
      </c>
      <c r="AQ284" s="227">
        <f>CHOOSE(m_identity,ENWL!AQ284, NPgN!AQ284, NPgY!AQ284, WMID!AQ284, EMID!AQ284, SWALES!AQ284, SWEST!AQ284, LPN!AQ284,SPN!AQ284,EPN!AQ284,SPD!AQ284,SPMW!AQ284,SSEH!AQ284,SSES!AQ284)</f>
        <v>0</v>
      </c>
    </row>
    <row r="285" spans="5:43" s="158" customFormat="1" ht="15" customHeight="1">
      <c r="E285" s="19" t="s">
        <v>755</v>
      </c>
      <c r="F285" s="19"/>
      <c r="G285" s="195" t="s">
        <v>844</v>
      </c>
      <c r="H285" s="19"/>
      <c r="I285" s="19"/>
      <c r="J285" s="88"/>
      <c r="K285" s="88"/>
      <c r="L285" s="88"/>
      <c r="M285" s="88"/>
      <c r="N285" s="88"/>
      <c r="O285" s="88"/>
      <c r="P285" s="88"/>
      <c r="Q285" s="88"/>
      <c r="R285" s="88"/>
      <c r="S285" s="88"/>
      <c r="T285" s="88"/>
      <c r="U285" s="88"/>
      <c r="V285" s="88"/>
      <c r="W285" s="88"/>
      <c r="X285" s="88"/>
      <c r="Y285" s="88"/>
      <c r="Z285" s="88"/>
      <c r="AA285" s="19"/>
      <c r="AB285" s="19"/>
      <c r="AC285" s="19"/>
      <c r="AD285" s="19"/>
      <c r="AE285" s="167">
        <f t="shared" ref="AE285:AI285" si="78">SUM(AE283,AE284)</f>
        <v>2.3530949660460005</v>
      </c>
      <c r="AF285" s="167">
        <f t="shared" si="78"/>
        <v>1.8926042794726028</v>
      </c>
      <c r="AG285" s="167">
        <f t="shared" si="78"/>
        <v>2.1881257185099985</v>
      </c>
      <c r="AH285" s="167">
        <f t="shared" si="78"/>
        <v>2.0587701727425305</v>
      </c>
      <c r="AI285" s="167">
        <f t="shared" si="78"/>
        <v>1.9062920377072483</v>
      </c>
      <c r="AJ285" s="167">
        <f>SUM(AJ283,AJ284)</f>
        <v>1.3892025073963867</v>
      </c>
      <c r="AK285" s="167">
        <f t="shared" ref="AK285" si="79">SUM(AK283,AK284)</f>
        <v>1.0143002879938769</v>
      </c>
      <c r="AL285" s="167">
        <f t="shared" ref="AL285" si="80">SUM(AL283,AL284)</f>
        <v>0.70240023070554147</v>
      </c>
      <c r="AM285" s="167">
        <f t="shared" ref="AM285" si="81">SUM(AM283,AM284)</f>
        <v>0.38119457818848568</v>
      </c>
      <c r="AN285" s="167">
        <f t="shared" ref="AN285" si="82">SUM(AN283,AN284)</f>
        <v>0.11428556960679928</v>
      </c>
      <c r="AO285" s="167">
        <f t="shared" ref="AO285" si="83">SUM(AO283,AO284)</f>
        <v>1.4509728537304156E-2</v>
      </c>
      <c r="AP285" s="167">
        <f t="shared" ref="AP285" si="84">SUM(AP283,AP284)</f>
        <v>0</v>
      </c>
      <c r="AQ285" s="167">
        <f t="shared" ref="AQ285" si="85">SUM(AQ283,AQ284)</f>
        <v>0</v>
      </c>
    </row>
    <row r="286" spans="5:43" s="158" customFormat="1" ht="15" customHeight="1">
      <c r="E286" s="19"/>
      <c r="F286" s="19"/>
      <c r="G286" s="195"/>
      <c r="H286" s="19"/>
      <c r="I286" s="19"/>
      <c r="J286" s="88"/>
      <c r="K286" s="88"/>
      <c r="L286" s="88"/>
      <c r="M286" s="88"/>
      <c r="N286" s="88"/>
      <c r="O286" s="88"/>
      <c r="P286" s="88"/>
      <c r="Q286" s="88"/>
      <c r="R286" s="88"/>
      <c r="S286" s="88"/>
      <c r="T286" s="88"/>
      <c r="U286" s="88"/>
      <c r="V286" s="88"/>
      <c r="W286" s="88"/>
      <c r="X286" s="88"/>
      <c r="Y286" s="88"/>
      <c r="Z286" s="88"/>
      <c r="AA286" s="19"/>
      <c r="AB286" s="19"/>
      <c r="AC286" s="19"/>
      <c r="AD286" s="19"/>
      <c r="AE286" s="157"/>
      <c r="AF286" s="157"/>
      <c r="AG286" s="157"/>
      <c r="AH286" s="157"/>
      <c r="AI286" s="157"/>
      <c r="AJ286" s="157"/>
      <c r="AK286" s="157"/>
      <c r="AL286" s="157"/>
      <c r="AM286" s="157"/>
      <c r="AN286" s="157"/>
      <c r="AO286" s="157"/>
      <c r="AP286" s="157"/>
      <c r="AQ286" s="157"/>
    </row>
    <row r="287" spans="5:43" s="158" customFormat="1" ht="15" customHeight="1">
      <c r="E287" s="19" t="s">
        <v>764</v>
      </c>
      <c r="F287" s="19"/>
      <c r="G287" s="195" t="s">
        <v>844</v>
      </c>
      <c r="H287" s="19"/>
      <c r="I287" s="19"/>
      <c r="J287" s="88"/>
      <c r="K287" s="88"/>
      <c r="L287" s="88"/>
      <c r="M287" s="88"/>
      <c r="N287" s="88"/>
      <c r="O287" s="88"/>
      <c r="P287" s="88"/>
      <c r="Q287" s="88"/>
      <c r="R287" s="88"/>
      <c r="S287" s="88"/>
      <c r="T287" s="88"/>
      <c r="U287" s="88"/>
      <c r="V287" s="88"/>
      <c r="W287" s="88"/>
      <c r="X287" s="88"/>
      <c r="Y287" s="88"/>
      <c r="Z287" s="88"/>
      <c r="AA287" s="19"/>
      <c r="AB287" s="19"/>
      <c r="AC287" s="19"/>
      <c r="AD287" s="19"/>
      <c r="AE287" s="227">
        <f>CHOOSE(m_identity,ENWL!AE287, NPgN!AE287, NPgY!AE287, WMID!AE287, EMID!AE287, SWALES!AE287, SWEST!AE287, LPN!AE287,SPN!AE287,EPN!AE287,SPD!AE287,SPMW!AE287,SSEH!AE287,SSES!AE287)</f>
        <v>4.8704760000000009</v>
      </c>
      <c r="AF287" s="227">
        <f>CHOOSE(m_identity,ENWL!AF287, NPgN!AF287, NPgY!AF287, WMID!AF287, EMID!AF287, SWALES!AF287, SWEST!AF287, LPN!AF287,SPN!AF287,EPN!AF287,SPD!AF287,SPMW!AF287,SSEH!AF287,SSES!AF287)</f>
        <v>4.9379824702767721</v>
      </c>
      <c r="AG287" s="227">
        <f>CHOOSE(m_identity,ENWL!AG287, NPgN!AG287, NPgY!AG287, WMID!AG287, EMID!AG287, SWALES!AG287, SWEST!AG287, LPN!AG287,SPN!AG287,EPN!AG287,SPD!AG287,SPMW!AG287,SSEH!AG287,SSES!AG287)</f>
        <v>4.6300033391100008</v>
      </c>
      <c r="AH287" s="227">
        <f>CHOOSE(m_identity,ENWL!AH287, NPgN!AH287, NPgY!AH287, WMID!AH287, EMID!AH287, SWALES!AH287, SWEST!AH287, LPN!AH287,SPN!AH287,EPN!AH287,SPD!AH287,SPMW!AH287,SSEH!AH287,SSES!AH287)</f>
        <v>3.8168471000951647</v>
      </c>
      <c r="AI287" s="227">
        <f>CHOOSE(m_identity,ENWL!AI287, NPgN!AI287, NPgY!AI287, WMID!AI287, EMID!AI287, SWALES!AI287, SWEST!AI287, LPN!AI287,SPN!AI287,EPN!AI287,SPD!AI287,SPMW!AI287,SSEH!AI287,SSES!AI287)</f>
        <v>3.2782470802033208</v>
      </c>
      <c r="AJ287" s="227">
        <f>CHOOSE(m_identity,ENWL!AJ287, NPgN!AJ287, NPgY!AJ287, WMID!AJ287, EMID!AJ287, SWALES!AJ287, SWEST!AJ287, LPN!AJ287,SPN!AJ287,EPN!AJ287,SPD!AJ287,SPMW!AJ287,SSEH!AJ287,SSES!AJ287)</f>
        <v>2.6004415494467881</v>
      </c>
      <c r="AK287" s="227">
        <f>CHOOSE(m_identity,ENWL!AK287, NPgN!AK287, NPgY!AK287, WMID!AK287, EMID!AK287, SWALES!AK287, SWEST!AK287, LPN!AK287,SPN!AK287,EPN!AK287,SPD!AK287,SPMW!AK287,SSEH!AK287,SSES!AK287)</f>
        <v>2.0654768719488077</v>
      </c>
      <c r="AL287" s="227">
        <f>CHOOSE(m_identity,ENWL!AL287, NPgN!AL287, NPgY!AL287, WMID!AL287, EMID!AL287, SWALES!AL287, SWEST!AL287, LPN!AL287,SPN!AL287,EPN!AL287,SPD!AL287,SPMW!AL287,SSEH!AL287,SSES!AL287)</f>
        <v>1.5852282861925469</v>
      </c>
      <c r="AM287" s="227">
        <f>CHOOSE(m_identity,ENWL!AM287, NPgN!AM287, NPgY!AM287, WMID!AM287, EMID!AM287, SWALES!AM287, SWEST!AM287, LPN!AM287,SPN!AM287,EPN!AM287,SPD!AM287,SPMW!AM287,SSEH!AM287,SSES!AM287)</f>
        <v>1.036316018538908</v>
      </c>
      <c r="AN287" s="227">
        <f>CHOOSE(m_identity,ENWL!AN287, NPgN!AN287, NPgY!AN287, WMID!AN287, EMID!AN287, SWALES!AN287, SWEST!AN287, LPN!AN287,SPN!AN287,EPN!AN287,SPD!AN287,SPMW!AN287,SSEH!AN287,SSES!AN287)</f>
        <v>0.5629648460118476</v>
      </c>
      <c r="AO287" s="227">
        <f>CHOOSE(m_identity,ENWL!AO287, NPgN!AO287, NPgY!AO287, WMID!AO287, EMID!AO287, SWALES!AO287, SWEST!AO287, LPN!AO287,SPN!AO287,EPN!AO287,SPD!AO287,SPMW!AO287,SSEH!AO287,SSES!AO287)</f>
        <v>0.11808236810317667</v>
      </c>
      <c r="AP287" s="227">
        <f>CHOOSE(m_identity,ENWL!AP287, NPgN!AP287, NPgY!AP287, WMID!AP287, EMID!AP287, SWALES!AP287, SWEST!AP287, LPN!AP287,SPN!AP287,EPN!AP287,SPD!AP287,SPMW!AP287,SSEH!AP287,SSES!AP287)</f>
        <v>0</v>
      </c>
      <c r="AQ287" s="227">
        <f>CHOOSE(m_identity,ENWL!AQ287, NPgN!AQ287, NPgY!AQ287, WMID!AQ287, EMID!AQ287, SWALES!AQ287, SWEST!AQ287, LPN!AQ287,SPN!AQ287,EPN!AQ287,SPD!AQ287,SPMW!AQ287,SSEH!AQ287,SSES!AQ287)</f>
        <v>0</v>
      </c>
    </row>
    <row r="288" spans="5:43" s="158" customFormat="1" ht="15" customHeight="1">
      <c r="E288" s="19" t="s">
        <v>756</v>
      </c>
      <c r="F288" s="19"/>
      <c r="G288" s="195" t="s">
        <v>844</v>
      </c>
      <c r="H288" s="19"/>
      <c r="I288" s="19"/>
      <c r="J288" s="88"/>
      <c r="K288" s="88"/>
      <c r="L288" s="88"/>
      <c r="M288" s="88"/>
      <c r="N288" s="88"/>
      <c r="O288" s="88"/>
      <c r="P288" s="88"/>
      <c r="Q288" s="88"/>
      <c r="R288" s="88"/>
      <c r="S288" s="88"/>
      <c r="T288" s="88"/>
      <c r="U288" s="88"/>
      <c r="V288" s="88"/>
      <c r="W288" s="88"/>
      <c r="X288" s="88"/>
      <c r="Y288" s="88"/>
      <c r="Z288" s="88"/>
      <c r="AA288" s="19"/>
      <c r="AB288" s="19"/>
      <c r="AC288" s="19"/>
      <c r="AD288" s="19"/>
      <c r="AE288" s="227">
        <f>CHOOSE(m_identity,ENWL!AE288, NPgN!AE288, NPgY!AE288, WMID!AE288, EMID!AE288, SWALES!AE288, SWEST!AE288, LPN!AE288,SPN!AE288,EPN!AE288,SPD!AE288,SPMW!AE288,SSEH!AE288,SSES!AE288)</f>
        <v>-1.7689349907020002</v>
      </c>
      <c r="AF288" s="227">
        <f>CHOOSE(m_identity,ENWL!AF288, NPgN!AF288, NPgY!AF288, WMID!AF288, EMID!AF288, SWALES!AF288, SWEST!AF288, LPN!AF288,SPN!AF288,EPN!AF288,SPD!AF288,SPMW!AF288,SSEH!AF288,SSES!AF288)</f>
        <v>-7.7657379599999988E-3</v>
      </c>
      <c r="AG288" s="227">
        <f>CHOOSE(m_identity,ENWL!AG288, NPgN!AG288, NPgY!AG288, WMID!AG288, EMID!AG288, SWALES!AG288, SWEST!AG288, LPN!AG288,SPN!AG288,EPN!AG288,SPD!AG288,SPMW!AG288,SSEH!AG288,SSES!AG288)</f>
        <v>-3.9980879999999996E-2</v>
      </c>
      <c r="AH288" s="227">
        <f>CHOOSE(m_identity,ENWL!AH288, NPgN!AH288, NPgY!AH288, WMID!AH288, EMID!AH288, SWALES!AH288, SWEST!AH288, LPN!AH288,SPN!AH288,EPN!AH288,SPD!AH288,SPMW!AH288,SSEH!AH288,SSES!AH288)</f>
        <v>0</v>
      </c>
      <c r="AI288" s="227">
        <f>CHOOSE(m_identity,ENWL!AI288, NPgN!AI288, NPgY!AI288, WMID!AI288, EMID!AI288, SWALES!AI288, SWEST!AI288, LPN!AI288,SPN!AI288,EPN!AI288,SPD!AI288,SPMW!AI288,SSEH!AI288,SSES!AI288)</f>
        <v>0</v>
      </c>
      <c r="AJ288" s="227">
        <f>CHOOSE(m_identity,ENWL!AJ288, NPgN!AJ288, NPgY!AJ288, WMID!AJ288, EMID!AJ288, SWALES!AJ288, SWEST!AJ288, LPN!AJ288,SPN!AJ288,EPN!AJ288,SPD!AJ288,SPMW!AJ288,SSEH!AJ288,SSES!AJ288)</f>
        <v>0</v>
      </c>
      <c r="AK288" s="227">
        <f>CHOOSE(m_identity,ENWL!AK288, NPgN!AK288, NPgY!AK288, WMID!AK288, EMID!AK288, SWALES!AK288, SWEST!AK288, LPN!AK288,SPN!AK288,EPN!AK288,SPD!AK288,SPMW!AK288,SSEH!AK288,SSES!AK288)</f>
        <v>0</v>
      </c>
      <c r="AL288" s="227">
        <f>CHOOSE(m_identity,ENWL!AL288, NPgN!AL288, NPgY!AL288, WMID!AL288, EMID!AL288, SWALES!AL288, SWEST!AL288, LPN!AL288,SPN!AL288,EPN!AL288,SPD!AL288,SPMW!AL288,SSEH!AL288,SSES!AL288)</f>
        <v>0</v>
      </c>
      <c r="AM288" s="227">
        <f>CHOOSE(m_identity,ENWL!AM288, NPgN!AM288, NPgY!AM288, WMID!AM288, EMID!AM288, SWALES!AM288, SWEST!AM288, LPN!AM288,SPN!AM288,EPN!AM288,SPD!AM288,SPMW!AM288,SSEH!AM288,SSES!AM288)</f>
        <v>0</v>
      </c>
      <c r="AN288" s="227">
        <f>CHOOSE(m_identity,ENWL!AN288, NPgN!AN288, NPgY!AN288, WMID!AN288, EMID!AN288, SWALES!AN288, SWEST!AN288, LPN!AN288,SPN!AN288,EPN!AN288,SPD!AN288,SPMW!AN288,SSEH!AN288,SSES!AN288)</f>
        <v>0</v>
      </c>
      <c r="AO288" s="227">
        <f>CHOOSE(m_identity,ENWL!AO288, NPgN!AO288, NPgY!AO288, WMID!AO288, EMID!AO288, SWALES!AO288, SWEST!AO288, LPN!AO288,SPN!AO288,EPN!AO288,SPD!AO288,SPMW!AO288,SSEH!AO288,SSES!AO288)</f>
        <v>0</v>
      </c>
      <c r="AP288" s="227">
        <f>CHOOSE(m_identity,ENWL!AP288, NPgN!AP288, NPgY!AP288, WMID!AP288, EMID!AP288, SWALES!AP288, SWEST!AP288, LPN!AP288,SPN!AP288,EPN!AP288,SPD!AP288,SPMW!AP288,SSEH!AP288,SSES!AP288)</f>
        <v>0</v>
      </c>
      <c r="AQ288" s="227">
        <f>CHOOSE(m_identity,ENWL!AQ288, NPgN!AQ288, NPgY!AQ288, WMID!AQ288, EMID!AQ288, SWALES!AQ288, SWEST!AQ288, LPN!AQ288,SPN!AQ288,EPN!AQ288,SPD!AQ288,SPMW!AQ288,SSEH!AQ288,SSES!AQ288)</f>
        <v>0</v>
      </c>
    </row>
    <row r="289" spans="5:43" s="158" customFormat="1" ht="15" customHeight="1">
      <c r="E289" s="19" t="s">
        <v>757</v>
      </c>
      <c r="F289" s="19"/>
      <c r="G289" s="195" t="s">
        <v>844</v>
      </c>
      <c r="H289" s="19"/>
      <c r="I289" s="19"/>
      <c r="J289" s="88"/>
      <c r="K289" s="88"/>
      <c r="L289" s="88"/>
      <c r="M289" s="88"/>
      <c r="N289" s="88"/>
      <c r="O289" s="88"/>
      <c r="P289" s="88"/>
      <c r="Q289" s="88"/>
      <c r="R289" s="88"/>
      <c r="S289" s="88"/>
      <c r="T289" s="88"/>
      <c r="U289" s="88"/>
      <c r="V289" s="88"/>
      <c r="W289" s="88"/>
      <c r="X289" s="88"/>
      <c r="Y289" s="88"/>
      <c r="Z289" s="88"/>
      <c r="AA289" s="19"/>
      <c r="AB289" s="19"/>
      <c r="AC289" s="19"/>
      <c r="AD289" s="19"/>
      <c r="AE289" s="167">
        <f t="shared" ref="AE289:AI289" si="86">SUM(AE287,AE288)</f>
        <v>3.1015410092980007</v>
      </c>
      <c r="AF289" s="167">
        <f t="shared" si="86"/>
        <v>4.9302167323167723</v>
      </c>
      <c r="AG289" s="167">
        <f t="shared" si="86"/>
        <v>4.590022459110001</v>
      </c>
      <c r="AH289" s="167">
        <f t="shared" si="86"/>
        <v>3.8168471000951647</v>
      </c>
      <c r="AI289" s="167">
        <f t="shared" si="86"/>
        <v>3.2782470802033208</v>
      </c>
      <c r="AJ289" s="167">
        <f>SUM(AJ287,AJ288)</f>
        <v>2.6004415494467881</v>
      </c>
      <c r="AK289" s="167">
        <f t="shared" ref="AK289" si="87">SUM(AK287,AK288)</f>
        <v>2.0654768719488077</v>
      </c>
      <c r="AL289" s="167">
        <f t="shared" ref="AL289" si="88">SUM(AL287,AL288)</f>
        <v>1.5852282861925469</v>
      </c>
      <c r="AM289" s="167">
        <f t="shared" ref="AM289" si="89">SUM(AM287,AM288)</f>
        <v>1.036316018538908</v>
      </c>
      <c r="AN289" s="167">
        <f t="shared" ref="AN289" si="90">SUM(AN287,AN288)</f>
        <v>0.5629648460118476</v>
      </c>
      <c r="AO289" s="167">
        <f t="shared" ref="AO289" si="91">SUM(AO287,AO288)</f>
        <v>0.11808236810317667</v>
      </c>
      <c r="AP289" s="167">
        <f t="shared" ref="AP289" si="92">SUM(AP287,AP288)</f>
        <v>0</v>
      </c>
      <c r="AQ289" s="167">
        <f t="shared" ref="AQ289" si="93">SUM(AQ287,AQ288)</f>
        <v>0</v>
      </c>
    </row>
    <row r="290" spans="5:43" s="158" customFormat="1" ht="15" customHeight="1">
      <c r="E290" s="19"/>
      <c r="F290" s="19"/>
      <c r="G290" s="195"/>
      <c r="H290" s="19"/>
      <c r="I290" s="19"/>
      <c r="J290" s="88"/>
      <c r="K290" s="88"/>
      <c r="L290" s="88"/>
      <c r="M290" s="88"/>
      <c r="N290" s="88"/>
      <c r="O290" s="88"/>
      <c r="P290" s="88"/>
      <c r="Q290" s="88"/>
      <c r="R290" s="88"/>
      <c r="S290" s="88"/>
      <c r="T290" s="88"/>
      <c r="U290" s="88"/>
      <c r="V290" s="88"/>
      <c r="W290" s="88"/>
      <c r="X290" s="88"/>
      <c r="Y290" s="88"/>
      <c r="Z290" s="88"/>
      <c r="AA290" s="19"/>
      <c r="AB290" s="19"/>
      <c r="AC290" s="19"/>
      <c r="AD290" s="19"/>
      <c r="AE290" s="157"/>
      <c r="AF290" s="157"/>
      <c r="AG290" s="157"/>
      <c r="AH290" s="157"/>
      <c r="AI290" s="157"/>
      <c r="AJ290" s="157"/>
      <c r="AK290" s="157"/>
      <c r="AL290" s="157"/>
      <c r="AM290" s="157"/>
      <c r="AN290" s="157"/>
      <c r="AO290" s="157"/>
      <c r="AP290" s="157"/>
      <c r="AQ290" s="157"/>
    </row>
    <row r="291" spans="5:43" s="158" customFormat="1" ht="15" customHeight="1">
      <c r="E291" s="19" t="s">
        <v>841</v>
      </c>
      <c r="F291" s="19"/>
      <c r="G291" s="195" t="s">
        <v>844</v>
      </c>
      <c r="H291" s="19"/>
      <c r="I291" s="19"/>
      <c r="J291" s="88"/>
      <c r="K291" s="88"/>
      <c r="L291" s="88"/>
      <c r="M291" s="88"/>
      <c r="N291" s="88"/>
      <c r="O291" s="88"/>
      <c r="P291" s="88"/>
      <c r="Q291" s="88"/>
      <c r="R291" s="88"/>
      <c r="S291" s="88"/>
      <c r="T291" s="88"/>
      <c r="U291" s="88"/>
      <c r="V291" s="88"/>
      <c r="W291" s="88"/>
      <c r="X291" s="88"/>
      <c r="Y291" s="88"/>
      <c r="Z291" s="88"/>
      <c r="AA291" s="19"/>
      <c r="AB291" s="19"/>
      <c r="AC291" s="19"/>
      <c r="AD291" s="19"/>
      <c r="AE291" s="227">
        <f>CHOOSE(m_identity,ENWL!AE291, NPgN!AE291, NPgY!AE291, WMID!AE291, EMID!AE291, SWALES!AE291, SWEST!AE291, LPN!AE291,SPN!AE291,EPN!AE291,SPD!AE291,SPMW!AE291,SSEH!AE291,SSES!AE291)</f>
        <v>0</v>
      </c>
      <c r="AF291" s="227">
        <f>CHOOSE(m_identity,ENWL!AF291, NPgN!AF291, NPgY!AF291, WMID!AF291, EMID!AF291, SWALES!AF291, SWEST!AF291, LPN!AF291,SPN!AF291,EPN!AF291,SPD!AF291,SPMW!AF291,SSEH!AF291,SSES!AF291)</f>
        <v>0</v>
      </c>
      <c r="AG291" s="227">
        <f>CHOOSE(m_identity,ENWL!AG291, NPgN!AG291, NPgY!AG291, WMID!AG291, EMID!AG291, SWALES!AG291, SWEST!AG291, LPN!AG291,SPN!AG291,EPN!AG291,SPD!AG291,SPMW!AG291,SSEH!AG291,SSES!AG291)</f>
        <v>0</v>
      </c>
      <c r="AH291" s="227">
        <f>CHOOSE(m_identity,ENWL!AH291, NPgN!AH291, NPgY!AH291, WMID!AH291, EMID!AH291, SWALES!AH291, SWEST!AH291, LPN!AH291,SPN!AH291,EPN!AH291,SPD!AH291,SPMW!AH291,SSEH!AH291,SSES!AH291)</f>
        <v>3.6896975954051172E-3</v>
      </c>
      <c r="AI291" s="227">
        <f>CHOOSE(m_identity,ENWL!AI291, NPgN!AI291, NPgY!AI291, WMID!AI291, EMID!AI291, SWALES!AI291, SWEST!AI291, LPN!AI291,SPN!AI291,EPN!AI291,SPD!AI291,SPMW!AI291,SSEH!AI291,SSES!AI291)</f>
        <v>2.2469077932534144E-2</v>
      </c>
      <c r="AJ291" s="227">
        <f>CHOOSE(m_identity,ENWL!AJ291, NPgN!AJ291, NPgY!AJ291, WMID!AJ291, EMID!AJ291, SWALES!AJ291, SWEST!AJ291, LPN!AJ291,SPN!AJ291,EPN!AJ291,SPD!AJ291,SPMW!AJ291,SSEH!AJ291,SSES!AJ291)</f>
        <v>5.877760144443768E-2</v>
      </c>
      <c r="AK291" s="227">
        <f>CHOOSE(m_identity,ENWL!AK291, NPgN!AK291, NPgY!AK291, WMID!AK291, EMID!AK291, SWALES!AK291, SWEST!AK291, LPN!AK291,SPN!AK291,EPN!AK291,SPD!AK291,SPMW!AK291,SSEH!AK291,SSES!AK291)</f>
        <v>0.10692177032470157</v>
      </c>
      <c r="AL291" s="227">
        <f>CHOOSE(m_identity,ENWL!AL291, NPgN!AL291, NPgY!AL291, WMID!AL291, EMID!AL291, SWALES!AL291, SWEST!AL291, LPN!AL291,SPN!AL291,EPN!AL291,SPD!AL291,SPMW!AL291,SSEH!AL291,SSES!AL291)</f>
        <v>0.13835007474546052</v>
      </c>
      <c r="AM291" s="227">
        <f>CHOOSE(m_identity,ENWL!AM291, NPgN!AM291, NPgY!AM291, WMID!AM291, EMID!AM291, SWALES!AM291, SWEST!AM291, LPN!AM291,SPN!AM291,EPN!AM291,SPD!AM291,SPMW!AM291,SSEH!AM291,SSES!AM291)</f>
        <v>0.15548516651296035</v>
      </c>
      <c r="AN291" s="227">
        <f>CHOOSE(m_identity,ENWL!AN291, NPgN!AN291, NPgY!AN291, WMID!AN291, EMID!AN291, SWALES!AN291, SWEST!AN291, LPN!AN291,SPN!AN291,EPN!AN291,SPD!AN291,SPMW!AN291,SSEH!AN291,SSES!AN291)</f>
        <v>0.15461075180564521</v>
      </c>
      <c r="AO291" s="227">
        <f>CHOOSE(m_identity,ENWL!AO291, NPgN!AO291, NPgY!AO291, WMID!AO291, EMID!AO291, SWALES!AO291, SWEST!AO291, LPN!AO291,SPN!AO291,EPN!AO291,SPD!AO291,SPMW!AO291,SSEH!AO291,SSES!AO291)</f>
        <v>0.11162235795884104</v>
      </c>
      <c r="AP291" s="227">
        <f>CHOOSE(m_identity,ENWL!AP291, NPgN!AP291, NPgY!AP291, WMID!AP291, EMID!AP291, SWALES!AP291, SWEST!AP291, LPN!AP291,SPN!AP291,EPN!AP291,SPD!AP291,SPMW!AP291,SSEH!AP291,SSES!AP291)</f>
        <v>0</v>
      </c>
      <c r="AQ291" s="227">
        <f>CHOOSE(m_identity,ENWL!AQ291, NPgN!AQ291, NPgY!AQ291, WMID!AQ291, EMID!AQ291, SWALES!AQ291, SWEST!AQ291, LPN!AQ291,SPN!AQ291,EPN!AQ291,SPD!AQ291,SPMW!AQ291,SSEH!AQ291,SSES!AQ291)</f>
        <v>0</v>
      </c>
    </row>
    <row r="292" spans="5:43" s="158" customFormat="1" ht="15" customHeight="1">
      <c r="E292" s="19" t="s">
        <v>842</v>
      </c>
      <c r="F292" s="19"/>
      <c r="G292" s="195" t="s">
        <v>844</v>
      </c>
      <c r="H292" s="19"/>
      <c r="I292" s="19"/>
      <c r="J292" s="88"/>
      <c r="K292" s="88"/>
      <c r="L292" s="88"/>
      <c r="M292" s="88"/>
      <c r="N292" s="88"/>
      <c r="O292" s="88"/>
      <c r="P292" s="88"/>
      <c r="Q292" s="88"/>
      <c r="R292" s="88"/>
      <c r="S292" s="88"/>
      <c r="T292" s="88"/>
      <c r="U292" s="88"/>
      <c r="V292" s="88"/>
      <c r="W292" s="88"/>
      <c r="X292" s="88"/>
      <c r="Y292" s="88"/>
      <c r="Z292" s="88"/>
      <c r="AA292" s="19"/>
      <c r="AB292" s="19"/>
      <c r="AC292" s="19"/>
      <c r="AD292" s="19"/>
      <c r="AE292" s="227">
        <f>CHOOSE(m_identity,ENWL!AE292, NPgN!AE292, NPgY!AE292, WMID!AE292, EMID!AE292, SWALES!AE292, SWEST!AE292, LPN!AE292,SPN!AE292,EPN!AE292,SPD!AE292,SPMW!AE292,SSEH!AE292,SSES!AE292)</f>
        <v>0</v>
      </c>
      <c r="AF292" s="227">
        <f>CHOOSE(m_identity,ENWL!AF292, NPgN!AF292, NPgY!AF292, WMID!AF292, EMID!AF292, SWALES!AF292, SWEST!AF292, LPN!AF292,SPN!AF292,EPN!AF292,SPD!AF292,SPMW!AF292,SSEH!AF292,SSES!AF292)</f>
        <v>0</v>
      </c>
      <c r="AG292" s="227">
        <f>CHOOSE(m_identity,ENWL!AG292, NPgN!AG292, NPgY!AG292, WMID!AG292, EMID!AG292, SWALES!AG292, SWEST!AG292, LPN!AG292,SPN!AG292,EPN!AG292,SPD!AG292,SPMW!AG292,SSEH!AG292,SSES!AG292)</f>
        <v>0</v>
      </c>
      <c r="AH292" s="227">
        <f>CHOOSE(m_identity,ENWL!AH292, NPgN!AH292, NPgY!AH292, WMID!AH292, EMID!AH292, SWALES!AH292, SWEST!AH292, LPN!AH292,SPN!AH292,EPN!AH292,SPD!AH292,SPMW!AH292,SSEH!AH292,SSES!AH292)</f>
        <v>-3.6896975954051172E-3</v>
      </c>
      <c r="AI292" s="227">
        <f>CHOOSE(m_identity,ENWL!AI292, NPgN!AI292, NPgY!AI292, WMID!AI292, EMID!AI292, SWALES!AI292, SWEST!AI292, LPN!AI292,SPN!AI292,EPN!AI292,SPD!AI292,SPMW!AI292,SSEH!AI292,SSES!AI292)</f>
        <v>-2.2469077932534144E-2</v>
      </c>
      <c r="AJ292" s="227">
        <f>CHOOSE(m_identity,ENWL!AJ292, NPgN!AJ292, NPgY!AJ292, WMID!AJ292, EMID!AJ292, SWALES!AJ292, SWEST!AJ292, LPN!AJ292,SPN!AJ292,EPN!AJ292,SPD!AJ292,SPMW!AJ292,SSEH!AJ292,SSES!AJ292)</f>
        <v>-5.877760144443768E-2</v>
      </c>
      <c r="AK292" s="227">
        <f>CHOOSE(m_identity,ENWL!AK292, NPgN!AK292, NPgY!AK292, WMID!AK292, EMID!AK292, SWALES!AK292, SWEST!AK292, LPN!AK292,SPN!AK292,EPN!AK292,SPD!AK292,SPMW!AK292,SSEH!AK292,SSES!AK292)</f>
        <v>-0.10692177032470157</v>
      </c>
      <c r="AL292" s="227">
        <f>CHOOSE(m_identity,ENWL!AL292, NPgN!AL292, NPgY!AL292, WMID!AL292, EMID!AL292, SWALES!AL292, SWEST!AL292, LPN!AL292,SPN!AL292,EPN!AL292,SPD!AL292,SPMW!AL292,SSEH!AL292,SSES!AL292)</f>
        <v>-0.13835007474546052</v>
      </c>
      <c r="AM292" s="227">
        <f>CHOOSE(m_identity,ENWL!AM292, NPgN!AM292, NPgY!AM292, WMID!AM292, EMID!AM292, SWALES!AM292, SWEST!AM292, LPN!AM292,SPN!AM292,EPN!AM292,SPD!AM292,SPMW!AM292,SSEH!AM292,SSES!AM292)</f>
        <v>-0.15548516651296035</v>
      </c>
      <c r="AN292" s="227">
        <f>CHOOSE(m_identity,ENWL!AN292, NPgN!AN292, NPgY!AN292, WMID!AN292, EMID!AN292, SWALES!AN292, SWEST!AN292, LPN!AN292,SPN!AN292,EPN!AN292,SPD!AN292,SPMW!AN292,SSEH!AN292,SSES!AN292)</f>
        <v>-0.15461075180564521</v>
      </c>
      <c r="AO292" s="227">
        <f>CHOOSE(m_identity,ENWL!AO292, NPgN!AO292, NPgY!AO292, WMID!AO292, EMID!AO292, SWALES!AO292, SWEST!AO292, LPN!AO292,SPN!AO292,EPN!AO292,SPD!AO292,SPMW!AO292,SSEH!AO292,SSES!AO292)</f>
        <v>-0.11162235795884104</v>
      </c>
      <c r="AP292" s="227">
        <f>CHOOSE(m_identity,ENWL!AP292, NPgN!AP292, NPgY!AP292, WMID!AP292, EMID!AP292, SWALES!AP292, SWEST!AP292, LPN!AP292,SPN!AP292,EPN!AP292,SPD!AP292,SPMW!AP292,SSEH!AP292,SSES!AP292)</f>
        <v>0</v>
      </c>
      <c r="AQ292" s="227">
        <f>CHOOSE(m_identity,ENWL!AQ292, NPgN!AQ292, NPgY!AQ292, WMID!AQ292, EMID!AQ292, SWALES!AQ292, SWEST!AQ292, LPN!AQ292,SPN!AQ292,EPN!AQ292,SPD!AQ292,SPMW!AQ292,SSEH!AQ292,SSES!AQ292)</f>
        <v>0</v>
      </c>
    </row>
    <row r="293" spans="5:43" s="158" customFormat="1" ht="15" customHeight="1">
      <c r="E293" s="19" t="s">
        <v>843</v>
      </c>
      <c r="F293" s="19"/>
      <c r="G293" s="195" t="s">
        <v>844</v>
      </c>
      <c r="H293" s="19"/>
      <c r="I293" s="19"/>
      <c r="J293" s="88"/>
      <c r="K293" s="88"/>
      <c r="L293" s="88"/>
      <c r="M293" s="88"/>
      <c r="N293" s="88"/>
      <c r="O293" s="88"/>
      <c r="P293" s="88"/>
      <c r="Q293" s="88"/>
      <c r="R293" s="88"/>
      <c r="S293" s="88"/>
      <c r="T293" s="88"/>
      <c r="U293" s="88"/>
      <c r="V293" s="88"/>
      <c r="W293" s="88"/>
      <c r="X293" s="88"/>
      <c r="Y293" s="88"/>
      <c r="Z293" s="88"/>
      <c r="AA293" s="19"/>
      <c r="AB293" s="19"/>
      <c r="AC293" s="19"/>
      <c r="AD293" s="19"/>
      <c r="AE293" s="167">
        <f t="shared" ref="AE293:AI293" si="94">SUM(AE291,AE292)</f>
        <v>0</v>
      </c>
      <c r="AF293" s="167">
        <f t="shared" si="94"/>
        <v>0</v>
      </c>
      <c r="AG293" s="167">
        <f t="shared" si="94"/>
        <v>0</v>
      </c>
      <c r="AH293" s="167">
        <f t="shared" si="94"/>
        <v>0</v>
      </c>
      <c r="AI293" s="167">
        <f t="shared" si="94"/>
        <v>0</v>
      </c>
      <c r="AJ293" s="167">
        <f>SUM(AJ291,AJ292)</f>
        <v>0</v>
      </c>
      <c r="AK293" s="167">
        <f t="shared" ref="AK293" si="95">SUM(AK291,AK292)</f>
        <v>0</v>
      </c>
      <c r="AL293" s="167">
        <f t="shared" ref="AL293" si="96">SUM(AL291,AL292)</f>
        <v>0</v>
      </c>
      <c r="AM293" s="167">
        <f t="shared" ref="AM293" si="97">SUM(AM291,AM292)</f>
        <v>0</v>
      </c>
      <c r="AN293" s="167">
        <f t="shared" ref="AN293" si="98">SUM(AN291,AN292)</f>
        <v>0</v>
      </c>
      <c r="AO293" s="167">
        <f t="shared" ref="AO293" si="99">SUM(AO291,AO292)</f>
        <v>0</v>
      </c>
      <c r="AP293" s="167">
        <f t="shared" ref="AP293" si="100">SUM(AP291,AP292)</f>
        <v>0</v>
      </c>
      <c r="AQ293" s="167">
        <f t="shared" ref="AQ293" si="101">SUM(AQ291,AQ292)</f>
        <v>0</v>
      </c>
    </row>
    <row r="294" spans="5:43" s="158" customFormat="1" ht="15" customHeight="1">
      <c r="E294" s="19"/>
      <c r="F294" s="19"/>
      <c r="G294" s="195"/>
      <c r="H294" s="19"/>
      <c r="I294" s="19"/>
      <c r="J294" s="88"/>
      <c r="K294" s="88"/>
      <c r="L294" s="88"/>
      <c r="M294" s="88"/>
      <c r="N294" s="88"/>
      <c r="O294" s="88"/>
      <c r="P294" s="88"/>
      <c r="Q294" s="88"/>
      <c r="R294" s="88"/>
      <c r="S294" s="88"/>
      <c r="T294" s="88"/>
      <c r="U294" s="88"/>
      <c r="V294" s="88"/>
      <c r="W294" s="88"/>
      <c r="X294" s="88"/>
      <c r="Y294" s="88"/>
      <c r="Z294" s="88"/>
      <c r="AA294" s="19"/>
      <c r="AB294" s="19"/>
      <c r="AC294" s="19"/>
      <c r="AD294" s="19"/>
      <c r="AE294" s="157"/>
      <c r="AF294" s="157"/>
      <c r="AG294" s="157"/>
      <c r="AH294" s="157"/>
      <c r="AI294" s="157"/>
      <c r="AJ294" s="157"/>
      <c r="AK294" s="157"/>
      <c r="AL294" s="157"/>
      <c r="AM294" s="157"/>
      <c r="AN294" s="157"/>
      <c r="AO294" s="157"/>
      <c r="AP294" s="157"/>
      <c r="AQ294" s="157"/>
    </row>
    <row r="295" spans="5:43" s="158" customFormat="1" ht="15" customHeight="1">
      <c r="E295" s="19" t="s">
        <v>765</v>
      </c>
      <c r="F295" s="19"/>
      <c r="G295" s="195" t="s">
        <v>844</v>
      </c>
      <c r="H295" s="19"/>
      <c r="I295" s="19"/>
      <c r="J295" s="88"/>
      <c r="K295" s="88"/>
      <c r="L295" s="88"/>
      <c r="M295" s="88"/>
      <c r="N295" s="88"/>
      <c r="O295" s="88"/>
      <c r="P295" s="88"/>
      <c r="Q295" s="88"/>
      <c r="R295" s="88"/>
      <c r="S295" s="88"/>
      <c r="T295" s="88"/>
      <c r="U295" s="88"/>
      <c r="V295" s="88"/>
      <c r="W295" s="88"/>
      <c r="X295" s="88"/>
      <c r="Y295" s="88"/>
      <c r="Z295" s="88"/>
      <c r="AA295" s="19"/>
      <c r="AB295" s="19"/>
      <c r="AC295" s="19"/>
      <c r="AD295" s="19"/>
      <c r="AE295" s="227">
        <f>CHOOSE(m_identity,ENWL!AE295, NPgN!AE295, NPgY!AE295, WMID!AE295, EMID!AE295, SWALES!AE295, SWEST!AE295, LPN!AE295,SPN!AE295,EPN!AE295,SPD!AE295,SPMW!AE295,SSEH!AE295,SSES!AE295)</f>
        <v>0</v>
      </c>
      <c r="AF295" s="227">
        <f>CHOOSE(m_identity,ENWL!AF295, NPgN!AF295, NPgY!AF295, WMID!AF295, EMID!AF295, SWALES!AF295, SWEST!AF295, LPN!AF295,SPN!AF295,EPN!AF295,SPD!AF295,SPMW!AF295,SSEH!AF295,SSES!AF295)</f>
        <v>0</v>
      </c>
      <c r="AG295" s="227">
        <f>CHOOSE(m_identity,ENWL!AG295, NPgN!AG295, NPgY!AG295, WMID!AG295, EMID!AG295, SWALES!AG295, SWEST!AG295, LPN!AG295,SPN!AG295,EPN!AG295,SPD!AG295,SPMW!AG295,SSEH!AG295,SSES!AG295)</f>
        <v>3.9288419999999999</v>
      </c>
      <c r="AH295" s="227">
        <f>CHOOSE(m_identity,ENWL!AH295, NPgN!AH295, NPgY!AH295, WMID!AH295, EMID!AH295, SWALES!AH295, SWEST!AH295, LPN!AH295,SPN!AH295,EPN!AH295,SPD!AH295,SPMW!AH295,SSEH!AH295,SSES!AH295)</f>
        <v>5.0860310000000002</v>
      </c>
      <c r="AI295" s="227">
        <f>CHOOSE(m_identity,ENWL!AI295, NPgN!AI295, NPgY!AI295, WMID!AI295, EMID!AI295, SWALES!AI295, SWEST!AI295, LPN!AI295,SPN!AI295,EPN!AI295,SPD!AI295,SPMW!AI295,SSEH!AI295,SSES!AI295)</f>
        <v>4.1637449999999996</v>
      </c>
      <c r="AJ295" s="227">
        <f>CHOOSE(m_identity,ENWL!AJ295, NPgN!AJ295, NPgY!AJ295, WMID!AJ295, EMID!AJ295, SWALES!AJ295, SWEST!AJ295, LPN!AJ295,SPN!AJ295,EPN!AJ295,SPD!AJ295,SPMW!AJ295,SSEH!AJ295,SSES!AJ295)</f>
        <v>2.2751570000000001</v>
      </c>
      <c r="AK295" s="227">
        <f>CHOOSE(m_identity,ENWL!AK295, NPgN!AK295, NPgY!AK295, WMID!AK295, EMID!AK295, SWALES!AK295, SWEST!AK295, LPN!AK295,SPN!AK295,EPN!AK295,SPD!AK295,SPMW!AK295,SSEH!AK295,SSES!AK295)</f>
        <v>0.43249200000000004</v>
      </c>
      <c r="AL295" s="227">
        <f>CHOOSE(m_identity,ENWL!AL295, NPgN!AL295, NPgY!AL295, WMID!AL295, EMID!AL295, SWALES!AL295, SWEST!AL295, LPN!AL295,SPN!AL295,EPN!AL295,SPD!AL295,SPMW!AL295,SSEH!AL295,SSES!AL295)</f>
        <v>0</v>
      </c>
      <c r="AM295" s="227">
        <f>CHOOSE(m_identity,ENWL!AM295, NPgN!AM295, NPgY!AM295, WMID!AM295, EMID!AM295, SWALES!AM295, SWEST!AM295, LPN!AM295,SPN!AM295,EPN!AM295,SPD!AM295,SPMW!AM295,SSEH!AM295,SSES!AM295)</f>
        <v>0</v>
      </c>
      <c r="AN295" s="227">
        <f>CHOOSE(m_identity,ENWL!AN295, NPgN!AN295, NPgY!AN295, WMID!AN295, EMID!AN295, SWALES!AN295, SWEST!AN295, LPN!AN295,SPN!AN295,EPN!AN295,SPD!AN295,SPMW!AN295,SSEH!AN295,SSES!AN295)</f>
        <v>0</v>
      </c>
      <c r="AO295" s="227">
        <f>CHOOSE(m_identity,ENWL!AO295, NPgN!AO295, NPgY!AO295, WMID!AO295, EMID!AO295, SWALES!AO295, SWEST!AO295, LPN!AO295,SPN!AO295,EPN!AO295,SPD!AO295,SPMW!AO295,SSEH!AO295,SSES!AO295)</f>
        <v>0</v>
      </c>
      <c r="AP295" s="227">
        <f>CHOOSE(m_identity,ENWL!AP295, NPgN!AP295, NPgY!AP295, WMID!AP295, EMID!AP295, SWALES!AP295, SWEST!AP295, LPN!AP295,SPN!AP295,EPN!AP295,SPD!AP295,SPMW!AP295,SSEH!AP295,SSES!AP295)</f>
        <v>0</v>
      </c>
      <c r="AQ295" s="227">
        <f>CHOOSE(m_identity,ENWL!AQ295, NPgN!AQ295, NPgY!AQ295, WMID!AQ295, EMID!AQ295, SWALES!AQ295, SWEST!AQ295, LPN!AQ295,SPN!AQ295,EPN!AQ295,SPD!AQ295,SPMW!AQ295,SSEH!AQ295,SSES!AQ295)</f>
        <v>0</v>
      </c>
    </row>
    <row r="296" spans="5:43" s="158" customFormat="1" ht="15" customHeight="1">
      <c r="E296" s="19" t="s">
        <v>734</v>
      </c>
      <c r="F296" s="19"/>
      <c r="G296" s="195" t="s">
        <v>844</v>
      </c>
      <c r="H296" s="19"/>
      <c r="I296" s="19"/>
      <c r="J296" s="88"/>
      <c r="K296" s="88"/>
      <c r="L296" s="88"/>
      <c r="M296" s="88"/>
      <c r="N296" s="88"/>
      <c r="O296" s="88"/>
      <c r="P296" s="88"/>
      <c r="Q296" s="88"/>
      <c r="R296" s="88"/>
      <c r="S296" s="88"/>
      <c r="T296" s="88"/>
      <c r="U296" s="88"/>
      <c r="V296" s="88"/>
      <c r="W296" s="88"/>
      <c r="X296" s="88"/>
      <c r="Y296" s="88"/>
      <c r="Z296" s="88"/>
      <c r="AA296" s="19"/>
      <c r="AB296" s="19"/>
      <c r="AC296" s="19"/>
      <c r="AD296" s="19"/>
      <c r="AE296" s="227">
        <f>CHOOSE(m_identity,ENWL!AE296, NPgN!AE296, NPgY!AE296, WMID!AE296, EMID!AE296, SWALES!AE296, SWEST!AE296, LPN!AE296,SPN!AE296,EPN!AE296,SPD!AE296,SPMW!AE296,SSEH!AE296,SSES!AE296)</f>
        <v>-3.5523640077860006</v>
      </c>
      <c r="AF296" s="227">
        <f>CHOOSE(m_identity,ENWL!AF296, NPgN!AF296, NPgY!AF296, WMID!AF296, EMID!AF296, SWALES!AF296, SWEST!AF296, LPN!AF296,SPN!AF296,EPN!AF296,SPD!AF296,SPMW!AF296,SSEH!AF296,SSES!AF296)</f>
        <v>-3.0866555577599999</v>
      </c>
      <c r="AG296" s="227">
        <f>CHOOSE(m_identity,ENWL!AG296, NPgN!AG296, NPgY!AG296, WMID!AG296, EMID!AG296, SWALES!AG296, SWEST!AG296, LPN!AG296,SPN!AG296,EPN!AG296,SPD!AG296,SPMW!AG296,SSEH!AG296,SSES!AG296)</f>
        <v>-7.3453534500000002</v>
      </c>
      <c r="AH296" s="227">
        <f>CHOOSE(m_identity,ENWL!AH296, NPgN!AH296, NPgY!AH296, WMID!AH296, EMID!AH296, SWALES!AH296, SWEST!AH296, LPN!AH296,SPN!AH296,EPN!AH296,SPD!AH296,SPMW!AH296,SSEH!AH296,SSES!AH296)</f>
        <v>-5.0860310000000002</v>
      </c>
      <c r="AI296" s="227">
        <f>CHOOSE(m_identity,ENWL!AI296, NPgN!AI296, NPgY!AI296, WMID!AI296, EMID!AI296, SWALES!AI296, SWEST!AI296, LPN!AI296,SPN!AI296,EPN!AI296,SPD!AI296,SPMW!AI296,SSEH!AI296,SSES!AI296)</f>
        <v>-4.1637449999999996</v>
      </c>
      <c r="AJ296" s="227">
        <f>CHOOSE(m_identity,ENWL!AJ296, NPgN!AJ296, NPgY!AJ296, WMID!AJ296, EMID!AJ296, SWALES!AJ296, SWEST!AJ296, LPN!AJ296,SPN!AJ296,EPN!AJ296,SPD!AJ296,SPMW!AJ296,SSEH!AJ296,SSES!AJ296)</f>
        <v>-2.2751570000000001</v>
      </c>
      <c r="AK296" s="227">
        <f>CHOOSE(m_identity,ENWL!AK296, NPgN!AK296, NPgY!AK296, WMID!AK296, EMID!AK296, SWALES!AK296, SWEST!AK296, LPN!AK296,SPN!AK296,EPN!AK296,SPD!AK296,SPMW!AK296,SSEH!AK296,SSES!AK296)</f>
        <v>-0.43249200000000004</v>
      </c>
      <c r="AL296" s="227">
        <f>CHOOSE(m_identity,ENWL!AL296, NPgN!AL296, NPgY!AL296, WMID!AL296, EMID!AL296, SWALES!AL296, SWEST!AL296, LPN!AL296,SPN!AL296,EPN!AL296,SPD!AL296,SPMW!AL296,SSEH!AL296,SSES!AL296)</f>
        <v>0</v>
      </c>
      <c r="AM296" s="227">
        <f>CHOOSE(m_identity,ENWL!AM296, NPgN!AM296, NPgY!AM296, WMID!AM296, EMID!AM296, SWALES!AM296, SWEST!AM296, LPN!AM296,SPN!AM296,EPN!AM296,SPD!AM296,SPMW!AM296,SSEH!AM296,SSES!AM296)</f>
        <v>0</v>
      </c>
      <c r="AN296" s="227">
        <f>CHOOSE(m_identity,ENWL!AN296, NPgN!AN296, NPgY!AN296, WMID!AN296, EMID!AN296, SWALES!AN296, SWEST!AN296, LPN!AN296,SPN!AN296,EPN!AN296,SPD!AN296,SPMW!AN296,SSEH!AN296,SSES!AN296)</f>
        <v>0</v>
      </c>
      <c r="AO296" s="227">
        <f>CHOOSE(m_identity,ENWL!AO296, NPgN!AO296, NPgY!AO296, WMID!AO296, EMID!AO296, SWALES!AO296, SWEST!AO296, LPN!AO296,SPN!AO296,EPN!AO296,SPD!AO296,SPMW!AO296,SSEH!AO296,SSES!AO296)</f>
        <v>0</v>
      </c>
      <c r="AP296" s="227">
        <f>CHOOSE(m_identity,ENWL!AP296, NPgN!AP296, NPgY!AP296, WMID!AP296, EMID!AP296, SWALES!AP296, SWEST!AP296, LPN!AP296,SPN!AP296,EPN!AP296,SPD!AP296,SPMW!AP296,SSEH!AP296,SSES!AP296)</f>
        <v>0</v>
      </c>
      <c r="AQ296" s="227">
        <f>CHOOSE(m_identity,ENWL!AQ296, NPgN!AQ296, NPgY!AQ296, WMID!AQ296, EMID!AQ296, SWALES!AQ296, SWEST!AQ296, LPN!AQ296,SPN!AQ296,EPN!AQ296,SPD!AQ296,SPMW!AQ296,SSEH!AQ296,SSES!AQ296)</f>
        <v>0</v>
      </c>
    </row>
    <row r="297" spans="5:43" s="158" customFormat="1" ht="15" customHeight="1">
      <c r="E297" s="19" t="s">
        <v>735</v>
      </c>
      <c r="F297" s="19"/>
      <c r="G297" s="195" t="s">
        <v>844</v>
      </c>
      <c r="H297" s="19"/>
      <c r="I297" s="19"/>
      <c r="J297" s="88"/>
      <c r="K297" s="88"/>
      <c r="L297" s="88"/>
      <c r="M297" s="88"/>
      <c r="N297" s="88"/>
      <c r="O297" s="88"/>
      <c r="P297" s="88"/>
      <c r="Q297" s="88"/>
      <c r="R297" s="88"/>
      <c r="S297" s="88"/>
      <c r="T297" s="88"/>
      <c r="U297" s="88"/>
      <c r="V297" s="88"/>
      <c r="W297" s="88"/>
      <c r="X297" s="88"/>
      <c r="Y297" s="88"/>
      <c r="Z297" s="88"/>
      <c r="AA297" s="19"/>
      <c r="AB297" s="19"/>
      <c r="AC297" s="19"/>
      <c r="AD297" s="19"/>
      <c r="AE297" s="167">
        <f t="shared" ref="AE297:AI297" si="102">SUM(AE295,AE296)</f>
        <v>-3.5523640077860006</v>
      </c>
      <c r="AF297" s="167">
        <f t="shared" si="102"/>
        <v>-3.0866555577599999</v>
      </c>
      <c r="AG297" s="167">
        <f t="shared" si="102"/>
        <v>-3.4165114500000002</v>
      </c>
      <c r="AH297" s="167">
        <f t="shared" si="102"/>
        <v>0</v>
      </c>
      <c r="AI297" s="167">
        <f t="shared" si="102"/>
        <v>0</v>
      </c>
      <c r="AJ297" s="167">
        <f>SUM(AJ295,AJ296)</f>
        <v>0</v>
      </c>
      <c r="AK297" s="167">
        <f t="shared" ref="AK297" si="103">SUM(AK295,AK296)</f>
        <v>0</v>
      </c>
      <c r="AL297" s="167">
        <f t="shared" ref="AL297" si="104">SUM(AL295,AL296)</f>
        <v>0</v>
      </c>
      <c r="AM297" s="167">
        <f t="shared" ref="AM297" si="105">SUM(AM295,AM296)</f>
        <v>0</v>
      </c>
      <c r="AN297" s="167">
        <f t="shared" ref="AN297" si="106">SUM(AN295,AN296)</f>
        <v>0</v>
      </c>
      <c r="AO297" s="167">
        <f t="shared" ref="AO297" si="107">SUM(AO295,AO296)</f>
        <v>0</v>
      </c>
      <c r="AP297" s="167">
        <f t="shared" ref="AP297" si="108">SUM(AP295,AP296)</f>
        <v>0</v>
      </c>
      <c r="AQ297" s="167">
        <f t="shared" ref="AQ297" si="109">SUM(AQ295,AQ296)</f>
        <v>0</v>
      </c>
    </row>
    <row r="298" spans="5:43" s="158" customFormat="1" ht="15" customHeight="1">
      <c r="E298" s="19"/>
      <c r="F298" s="19"/>
      <c r="G298" s="195"/>
      <c r="H298" s="19"/>
      <c r="I298" s="19"/>
      <c r="J298" s="88"/>
      <c r="K298" s="88"/>
      <c r="L298" s="88"/>
      <c r="M298" s="88"/>
      <c r="N298" s="88"/>
      <c r="O298" s="88"/>
      <c r="P298" s="88"/>
      <c r="Q298" s="88"/>
      <c r="R298" s="88"/>
      <c r="S298" s="88"/>
      <c r="T298" s="88"/>
      <c r="U298" s="88"/>
      <c r="V298" s="88"/>
      <c r="W298" s="88"/>
      <c r="X298" s="88"/>
      <c r="Y298" s="88"/>
      <c r="Z298" s="88"/>
      <c r="AA298" s="19"/>
      <c r="AB298" s="19"/>
      <c r="AC298" s="19"/>
      <c r="AD298" s="19"/>
      <c r="AE298" s="157"/>
      <c r="AF298" s="157"/>
      <c r="AG298" s="157"/>
      <c r="AH298" s="157"/>
      <c r="AI298" s="157"/>
      <c r="AJ298" s="157"/>
      <c r="AK298" s="157"/>
      <c r="AL298" s="157"/>
      <c r="AM298" s="157"/>
      <c r="AN298" s="157"/>
      <c r="AO298" s="157"/>
      <c r="AP298" s="157"/>
      <c r="AQ298" s="157"/>
    </row>
    <row r="299" spans="5:43" s="158" customFormat="1" ht="15" customHeight="1">
      <c r="E299" s="19" t="s">
        <v>767</v>
      </c>
      <c r="F299" s="19"/>
      <c r="G299" s="195" t="s">
        <v>844</v>
      </c>
      <c r="H299" s="19"/>
      <c r="I299" s="19"/>
      <c r="J299" s="88"/>
      <c r="K299" s="88"/>
      <c r="L299" s="88"/>
      <c r="M299" s="88"/>
      <c r="N299" s="88"/>
      <c r="O299" s="88"/>
      <c r="P299" s="88"/>
      <c r="Q299" s="88"/>
      <c r="R299" s="88"/>
      <c r="S299" s="88"/>
      <c r="T299" s="88"/>
      <c r="U299" s="88"/>
      <c r="V299" s="88"/>
      <c r="W299" s="88"/>
      <c r="X299" s="88"/>
      <c r="Y299" s="88"/>
      <c r="Z299" s="88"/>
      <c r="AA299" s="19"/>
      <c r="AB299" s="19"/>
      <c r="AC299" s="19"/>
      <c r="AD299" s="19"/>
      <c r="AE299" s="227">
        <f>CHOOSE(m_identity,ENWL!AE299, NPgN!AE299, NPgY!AE299, WMID!AE299, EMID!AE299, SWALES!AE299, SWEST!AE299, LPN!AE299,SPN!AE299,EPN!AE299,SPD!AE299,SPMW!AE299,SSEH!AE299,SSES!AE299)</f>
        <v>0</v>
      </c>
      <c r="AF299" s="227">
        <f>CHOOSE(m_identity,ENWL!AF299, NPgN!AF299, NPgY!AF299, WMID!AF299, EMID!AF299, SWALES!AF299, SWEST!AF299, LPN!AF299,SPN!AF299,EPN!AF299,SPD!AF299,SPMW!AF299,SSEH!AF299,SSES!AF299)</f>
        <v>0</v>
      </c>
      <c r="AG299" s="227">
        <f>CHOOSE(m_identity,ENWL!AG299, NPgN!AG299, NPgY!AG299, WMID!AG299, EMID!AG299, SWALES!AG299, SWEST!AG299, LPN!AG299,SPN!AG299,EPN!AG299,SPD!AG299,SPMW!AG299,SSEH!AG299,SSES!AG299)</f>
        <v>0</v>
      </c>
      <c r="AH299" s="227">
        <f>CHOOSE(m_identity,ENWL!AH299, NPgN!AH299, NPgY!AH299, WMID!AH299, EMID!AH299, SWALES!AH299, SWEST!AH299, LPN!AH299,SPN!AH299,EPN!AH299,SPD!AH299,SPMW!AH299,SSEH!AH299,SSES!AH299)</f>
        <v>0</v>
      </c>
      <c r="AI299" s="227">
        <f>CHOOSE(m_identity,ENWL!AI299, NPgN!AI299, NPgY!AI299, WMID!AI299, EMID!AI299, SWALES!AI299, SWEST!AI299, LPN!AI299,SPN!AI299,EPN!AI299,SPD!AI299,SPMW!AI299,SSEH!AI299,SSES!AI299)</f>
        <v>0</v>
      </c>
      <c r="AJ299" s="227">
        <f>CHOOSE(m_identity,ENWL!AJ299, NPgN!AJ299, NPgY!AJ299, WMID!AJ299, EMID!AJ299, SWALES!AJ299, SWEST!AJ299, LPN!AJ299,SPN!AJ299,EPN!AJ299,SPD!AJ299,SPMW!AJ299,SSEH!AJ299,SSES!AJ299)</f>
        <v>0</v>
      </c>
      <c r="AK299" s="227">
        <f>CHOOSE(m_identity,ENWL!AK299, NPgN!AK299, NPgY!AK299, WMID!AK299, EMID!AK299, SWALES!AK299, SWEST!AK299, LPN!AK299,SPN!AK299,EPN!AK299,SPD!AK299,SPMW!AK299,SSEH!AK299,SSES!AK299)</f>
        <v>0</v>
      </c>
      <c r="AL299" s="227">
        <f>CHOOSE(m_identity,ENWL!AL299, NPgN!AL299, NPgY!AL299, WMID!AL299, EMID!AL299, SWALES!AL299, SWEST!AL299, LPN!AL299,SPN!AL299,EPN!AL299,SPD!AL299,SPMW!AL299,SSEH!AL299,SSES!AL299)</f>
        <v>0</v>
      </c>
      <c r="AM299" s="227">
        <f>CHOOSE(m_identity,ENWL!AM299, NPgN!AM299, NPgY!AM299, WMID!AM299, EMID!AM299, SWALES!AM299, SWEST!AM299, LPN!AM299,SPN!AM299,EPN!AM299,SPD!AM299,SPMW!AM299,SSEH!AM299,SSES!AM299)</f>
        <v>0</v>
      </c>
      <c r="AN299" s="227">
        <f>CHOOSE(m_identity,ENWL!AN299, NPgN!AN299, NPgY!AN299, WMID!AN299, EMID!AN299, SWALES!AN299, SWEST!AN299, LPN!AN299,SPN!AN299,EPN!AN299,SPD!AN299,SPMW!AN299,SSEH!AN299,SSES!AN299)</f>
        <v>0</v>
      </c>
      <c r="AO299" s="227">
        <f>CHOOSE(m_identity,ENWL!AO299, NPgN!AO299, NPgY!AO299, WMID!AO299, EMID!AO299, SWALES!AO299, SWEST!AO299, LPN!AO299,SPN!AO299,EPN!AO299,SPD!AO299,SPMW!AO299,SSEH!AO299,SSES!AO299)</f>
        <v>0</v>
      </c>
      <c r="AP299" s="227">
        <f>CHOOSE(m_identity,ENWL!AP299, NPgN!AP299, NPgY!AP299, WMID!AP299, EMID!AP299, SWALES!AP299, SWEST!AP299, LPN!AP299,SPN!AP299,EPN!AP299,SPD!AP299,SPMW!AP299,SSEH!AP299,SSES!AP299)</f>
        <v>0</v>
      </c>
      <c r="AQ299" s="227">
        <f>CHOOSE(m_identity,ENWL!AQ299, NPgN!AQ299, NPgY!AQ299, WMID!AQ299, EMID!AQ299, SWALES!AQ299, SWEST!AQ299, LPN!AQ299,SPN!AQ299,EPN!AQ299,SPD!AQ299,SPMW!AQ299,SSEH!AQ299,SSES!AQ299)</f>
        <v>0</v>
      </c>
    </row>
    <row r="300" spans="5:43" s="158" customFormat="1" ht="15" customHeight="1">
      <c r="E300" s="19" t="s">
        <v>768</v>
      </c>
      <c r="F300" s="19"/>
      <c r="G300" s="195" t="s">
        <v>844</v>
      </c>
      <c r="H300" s="19"/>
      <c r="I300" s="19"/>
      <c r="J300" s="88"/>
      <c r="K300" s="88"/>
      <c r="L300" s="88"/>
      <c r="M300" s="88"/>
      <c r="N300" s="88"/>
      <c r="O300" s="88"/>
      <c r="P300" s="88"/>
      <c r="Q300" s="88"/>
      <c r="R300" s="88"/>
      <c r="S300" s="88"/>
      <c r="T300" s="88"/>
      <c r="U300" s="88"/>
      <c r="V300" s="88"/>
      <c r="W300" s="88"/>
      <c r="X300" s="88"/>
      <c r="Y300" s="88"/>
      <c r="Z300" s="88"/>
      <c r="AA300" s="19"/>
      <c r="AB300" s="19"/>
      <c r="AC300" s="19"/>
      <c r="AD300" s="19"/>
      <c r="AE300" s="227">
        <f>CHOOSE(m_identity,ENWL!AE300, NPgN!AE300, NPgY!AE300, WMID!AE300, EMID!AE300, SWALES!AE300, SWEST!AE300, LPN!AE300,SPN!AE300,EPN!AE300,SPD!AE300,SPMW!AE300,SSEH!AE300,SSES!AE300)</f>
        <v>0</v>
      </c>
      <c r="AF300" s="227">
        <f>CHOOSE(m_identity,ENWL!AF300, NPgN!AF300, NPgY!AF300, WMID!AF300, EMID!AF300, SWALES!AF300, SWEST!AF300, LPN!AF300,SPN!AF300,EPN!AF300,SPD!AF300,SPMW!AF300,SSEH!AF300,SSES!AF300)</f>
        <v>0</v>
      </c>
      <c r="AG300" s="227">
        <f>CHOOSE(m_identity,ENWL!AG300, NPgN!AG300, NPgY!AG300, WMID!AG300, EMID!AG300, SWALES!AG300, SWEST!AG300, LPN!AG300,SPN!AG300,EPN!AG300,SPD!AG300,SPMW!AG300,SSEH!AG300,SSES!AG300)</f>
        <v>0</v>
      </c>
      <c r="AH300" s="227">
        <f>CHOOSE(m_identity,ENWL!AH300, NPgN!AH300, NPgY!AH300, WMID!AH300, EMID!AH300, SWALES!AH300, SWEST!AH300, LPN!AH300,SPN!AH300,EPN!AH300,SPD!AH300,SPMW!AH300,SSEH!AH300,SSES!AH300)</f>
        <v>0</v>
      </c>
      <c r="AI300" s="227">
        <f>CHOOSE(m_identity,ENWL!AI300, NPgN!AI300, NPgY!AI300, WMID!AI300, EMID!AI300, SWALES!AI300, SWEST!AI300, LPN!AI300,SPN!AI300,EPN!AI300,SPD!AI300,SPMW!AI300,SSEH!AI300,SSES!AI300)</f>
        <v>0</v>
      </c>
      <c r="AJ300" s="227">
        <f>CHOOSE(m_identity,ENWL!AJ300, NPgN!AJ300, NPgY!AJ300, WMID!AJ300, EMID!AJ300, SWALES!AJ300, SWEST!AJ300, LPN!AJ300,SPN!AJ300,EPN!AJ300,SPD!AJ300,SPMW!AJ300,SSEH!AJ300,SSES!AJ300)</f>
        <v>0</v>
      </c>
      <c r="AK300" s="227">
        <f>CHOOSE(m_identity,ENWL!AK300, NPgN!AK300, NPgY!AK300, WMID!AK300, EMID!AK300, SWALES!AK300, SWEST!AK300, LPN!AK300,SPN!AK300,EPN!AK300,SPD!AK300,SPMW!AK300,SSEH!AK300,SSES!AK300)</f>
        <v>0</v>
      </c>
      <c r="AL300" s="227">
        <f>CHOOSE(m_identity,ENWL!AL300, NPgN!AL300, NPgY!AL300, WMID!AL300, EMID!AL300, SWALES!AL300, SWEST!AL300, LPN!AL300,SPN!AL300,EPN!AL300,SPD!AL300,SPMW!AL300,SSEH!AL300,SSES!AL300)</f>
        <v>0</v>
      </c>
      <c r="AM300" s="227">
        <f>CHOOSE(m_identity,ENWL!AM300, NPgN!AM300, NPgY!AM300, WMID!AM300, EMID!AM300, SWALES!AM300, SWEST!AM300, LPN!AM300,SPN!AM300,EPN!AM300,SPD!AM300,SPMW!AM300,SSEH!AM300,SSES!AM300)</f>
        <v>0</v>
      </c>
      <c r="AN300" s="227">
        <f>CHOOSE(m_identity,ENWL!AN300, NPgN!AN300, NPgY!AN300, WMID!AN300, EMID!AN300, SWALES!AN300, SWEST!AN300, LPN!AN300,SPN!AN300,EPN!AN300,SPD!AN300,SPMW!AN300,SSEH!AN300,SSES!AN300)</f>
        <v>0</v>
      </c>
      <c r="AO300" s="227">
        <f>CHOOSE(m_identity,ENWL!AO300, NPgN!AO300, NPgY!AO300, WMID!AO300, EMID!AO300, SWALES!AO300, SWEST!AO300, LPN!AO300,SPN!AO300,EPN!AO300,SPD!AO300,SPMW!AO300,SSEH!AO300,SSES!AO300)</f>
        <v>0</v>
      </c>
      <c r="AP300" s="227">
        <f>CHOOSE(m_identity,ENWL!AP300, NPgN!AP300, NPgY!AP300, WMID!AP300, EMID!AP300, SWALES!AP300, SWEST!AP300, LPN!AP300,SPN!AP300,EPN!AP300,SPD!AP300,SPMW!AP300,SSEH!AP300,SSES!AP300)</f>
        <v>0</v>
      </c>
      <c r="AQ300" s="227">
        <f>CHOOSE(m_identity,ENWL!AQ300, NPgN!AQ300, NPgY!AQ300, WMID!AQ300, EMID!AQ300, SWALES!AQ300, SWEST!AQ300, LPN!AQ300,SPN!AQ300,EPN!AQ300,SPD!AQ300,SPMW!AQ300,SSEH!AQ300,SSES!AQ300)</f>
        <v>0</v>
      </c>
    </row>
    <row r="301" spans="5:43" s="158" customFormat="1" ht="15" customHeight="1">
      <c r="E301" s="19" t="s">
        <v>769</v>
      </c>
      <c r="F301" s="19"/>
      <c r="G301" s="195" t="s">
        <v>844</v>
      </c>
      <c r="H301" s="19"/>
      <c r="I301" s="19"/>
      <c r="J301" s="88"/>
      <c r="K301" s="88"/>
      <c r="L301" s="88"/>
      <c r="M301" s="88"/>
      <c r="N301" s="88"/>
      <c r="O301" s="88"/>
      <c r="P301" s="88"/>
      <c r="Q301" s="88"/>
      <c r="R301" s="88"/>
      <c r="S301" s="88"/>
      <c r="T301" s="88"/>
      <c r="U301" s="88"/>
      <c r="V301" s="88"/>
      <c r="W301" s="88"/>
      <c r="X301" s="88"/>
      <c r="Y301" s="88"/>
      <c r="Z301" s="88"/>
      <c r="AA301" s="19"/>
      <c r="AB301" s="19"/>
      <c r="AC301" s="19"/>
      <c r="AD301" s="19"/>
      <c r="AE301" s="167">
        <f t="shared" ref="AE301:AI301" si="110">SUM(AE299,AE300)</f>
        <v>0</v>
      </c>
      <c r="AF301" s="167">
        <f t="shared" si="110"/>
        <v>0</v>
      </c>
      <c r="AG301" s="167">
        <f t="shared" si="110"/>
        <v>0</v>
      </c>
      <c r="AH301" s="167">
        <f t="shared" si="110"/>
        <v>0</v>
      </c>
      <c r="AI301" s="167">
        <f t="shared" si="110"/>
        <v>0</v>
      </c>
      <c r="AJ301" s="167">
        <f>SUM(AJ299,AJ300)</f>
        <v>0</v>
      </c>
      <c r="AK301" s="167">
        <f t="shared" ref="AK301" si="111">SUM(AK299,AK300)</f>
        <v>0</v>
      </c>
      <c r="AL301" s="167">
        <f t="shared" ref="AL301" si="112">SUM(AL299,AL300)</f>
        <v>0</v>
      </c>
      <c r="AM301" s="167">
        <f t="shared" ref="AM301" si="113">SUM(AM299,AM300)</f>
        <v>0</v>
      </c>
      <c r="AN301" s="167">
        <f t="shared" ref="AN301" si="114">SUM(AN299,AN300)</f>
        <v>0</v>
      </c>
      <c r="AO301" s="167">
        <f t="shared" ref="AO301" si="115">SUM(AO299,AO300)</f>
        <v>0</v>
      </c>
      <c r="AP301" s="167">
        <f t="shared" ref="AP301" si="116">SUM(AP299,AP300)</f>
        <v>0</v>
      </c>
      <c r="AQ301" s="167">
        <f t="shared" ref="AQ301" si="117">SUM(AQ299,AQ300)</f>
        <v>0</v>
      </c>
    </row>
    <row r="302" spans="5:43" s="158" customFormat="1" ht="15" customHeight="1">
      <c r="E302" s="19"/>
      <c r="F302" s="19"/>
      <c r="G302" s="195"/>
      <c r="H302" s="19"/>
      <c r="I302" s="19"/>
      <c r="J302" s="88"/>
      <c r="K302" s="88"/>
      <c r="L302" s="88"/>
      <c r="M302" s="88"/>
      <c r="N302" s="88"/>
      <c r="O302" s="88"/>
      <c r="P302" s="88"/>
      <c r="Q302" s="88"/>
      <c r="R302" s="88"/>
      <c r="S302" s="88"/>
      <c r="T302" s="88"/>
      <c r="U302" s="88"/>
      <c r="V302" s="88"/>
      <c r="W302" s="88"/>
      <c r="X302" s="88"/>
      <c r="Y302" s="88"/>
      <c r="Z302" s="88"/>
      <c r="AA302" s="19"/>
      <c r="AB302" s="19"/>
      <c r="AC302" s="19"/>
      <c r="AD302" s="19"/>
      <c r="AE302" s="157"/>
      <c r="AF302" s="157"/>
      <c r="AG302" s="157"/>
      <c r="AH302" s="157"/>
      <c r="AI302" s="157"/>
      <c r="AJ302" s="157"/>
      <c r="AK302" s="157"/>
      <c r="AL302" s="157"/>
      <c r="AM302" s="157"/>
      <c r="AN302" s="157"/>
      <c r="AO302" s="157"/>
      <c r="AP302" s="157"/>
      <c r="AQ302" s="157"/>
    </row>
    <row r="303" spans="5:43" s="158" customFormat="1" ht="15" customHeight="1">
      <c r="E303" s="19" t="s">
        <v>834</v>
      </c>
      <c r="F303" s="19"/>
      <c r="G303" s="195" t="s">
        <v>844</v>
      </c>
      <c r="H303" s="19"/>
      <c r="I303" s="19"/>
      <c r="J303" s="88"/>
      <c r="K303" s="88"/>
      <c r="L303" s="88"/>
      <c r="M303" s="88"/>
      <c r="N303" s="88"/>
      <c r="O303" s="88"/>
      <c r="P303" s="88"/>
      <c r="Q303" s="88"/>
      <c r="R303" s="88"/>
      <c r="S303" s="88"/>
      <c r="T303" s="88"/>
      <c r="U303" s="88"/>
      <c r="V303" s="88"/>
      <c r="W303" s="88"/>
      <c r="X303" s="88"/>
      <c r="Y303" s="88"/>
      <c r="Z303" s="88"/>
      <c r="AA303" s="19"/>
      <c r="AB303" s="19"/>
      <c r="AC303" s="19"/>
      <c r="AD303" s="19"/>
      <c r="AE303" s="227">
        <f>CHOOSE(m_identity,ENWL!AE303, NPgN!AE303, NPgY!AE303, WMID!AE303, EMID!AE303, SWALES!AE303, SWEST!AE303, LPN!AE303,SPN!AE303,EPN!AE303,SPD!AE303,SPMW!AE303,SSEH!AE303,SSES!AE303)</f>
        <v>0</v>
      </c>
      <c r="AF303" s="227">
        <f>CHOOSE(m_identity,ENWL!AF303, NPgN!AF303, NPgY!AF303, WMID!AF303, EMID!AF303, SWALES!AF303, SWEST!AF303, LPN!AF303,SPN!AF303,EPN!AF303,SPD!AF303,SPMW!AF303,SSEH!AF303,SSES!AF303)</f>
        <v>0</v>
      </c>
      <c r="AG303" s="227">
        <f>CHOOSE(m_identity,ENWL!AG303, NPgN!AG303, NPgY!AG303, WMID!AG303, EMID!AG303, SWALES!AG303, SWEST!AG303, LPN!AG303,SPN!AG303,EPN!AG303,SPD!AG303,SPMW!AG303,SSEH!AG303,SSES!AG303)</f>
        <v>0</v>
      </c>
      <c r="AH303" s="227">
        <f>CHOOSE(m_identity,ENWL!AH303, NPgN!AH303, NPgY!AH303, WMID!AH303, EMID!AH303, SWALES!AH303, SWEST!AH303, LPN!AH303,SPN!AH303,EPN!AH303,SPD!AH303,SPMW!AH303,SSEH!AH303,SSES!AH303)</f>
        <v>0</v>
      </c>
      <c r="AI303" s="227">
        <f>CHOOSE(m_identity,ENWL!AI303, NPgN!AI303, NPgY!AI303, WMID!AI303, EMID!AI303, SWALES!AI303, SWEST!AI303, LPN!AI303,SPN!AI303,EPN!AI303,SPD!AI303,SPMW!AI303,SSEH!AI303,SSES!AI303)</f>
        <v>0</v>
      </c>
      <c r="AJ303" s="227">
        <f>CHOOSE(m_identity,ENWL!AJ303, NPgN!AJ303, NPgY!AJ303, WMID!AJ303, EMID!AJ303, SWALES!AJ303, SWEST!AJ303, LPN!AJ303,SPN!AJ303,EPN!AJ303,SPD!AJ303,SPMW!AJ303,SSEH!AJ303,SSES!AJ303)</f>
        <v>0</v>
      </c>
      <c r="AK303" s="227">
        <f>CHOOSE(m_identity,ENWL!AK303, NPgN!AK303, NPgY!AK303, WMID!AK303, EMID!AK303, SWALES!AK303, SWEST!AK303, LPN!AK303,SPN!AK303,EPN!AK303,SPD!AK303,SPMW!AK303,SSEH!AK303,SSES!AK303)</f>
        <v>0</v>
      </c>
      <c r="AL303" s="227">
        <f>CHOOSE(m_identity,ENWL!AL303, NPgN!AL303, NPgY!AL303, WMID!AL303, EMID!AL303, SWALES!AL303, SWEST!AL303, LPN!AL303,SPN!AL303,EPN!AL303,SPD!AL303,SPMW!AL303,SSEH!AL303,SSES!AL303)</f>
        <v>0</v>
      </c>
      <c r="AM303" s="227">
        <f>CHOOSE(m_identity,ENWL!AM303, NPgN!AM303, NPgY!AM303, WMID!AM303, EMID!AM303, SWALES!AM303, SWEST!AM303, LPN!AM303,SPN!AM303,EPN!AM303,SPD!AM303,SPMW!AM303,SSEH!AM303,SSES!AM303)</f>
        <v>0</v>
      </c>
      <c r="AN303" s="227">
        <f>CHOOSE(m_identity,ENWL!AN303, NPgN!AN303, NPgY!AN303, WMID!AN303, EMID!AN303, SWALES!AN303, SWEST!AN303, LPN!AN303,SPN!AN303,EPN!AN303,SPD!AN303,SPMW!AN303,SSEH!AN303,SSES!AN303)</f>
        <v>0</v>
      </c>
      <c r="AO303" s="227">
        <f>CHOOSE(m_identity,ENWL!AO303, NPgN!AO303, NPgY!AO303, WMID!AO303, EMID!AO303, SWALES!AO303, SWEST!AO303, LPN!AO303,SPN!AO303,EPN!AO303,SPD!AO303,SPMW!AO303,SSEH!AO303,SSES!AO303)</f>
        <v>0</v>
      </c>
      <c r="AP303" s="227">
        <f>CHOOSE(m_identity,ENWL!AP303, NPgN!AP303, NPgY!AP303, WMID!AP303, EMID!AP303, SWALES!AP303, SWEST!AP303, LPN!AP303,SPN!AP303,EPN!AP303,SPD!AP303,SPMW!AP303,SSEH!AP303,SSES!AP303)</f>
        <v>0</v>
      </c>
      <c r="AQ303" s="227">
        <f>CHOOSE(m_identity,ENWL!AQ303, NPgN!AQ303, NPgY!AQ303, WMID!AQ303, EMID!AQ303, SWALES!AQ303, SWEST!AQ303, LPN!AQ303,SPN!AQ303,EPN!AQ303,SPD!AQ303,SPMW!AQ303,SSEH!AQ303,SSES!AQ303)</f>
        <v>0</v>
      </c>
    </row>
    <row r="304" spans="5:43" s="158" customFormat="1" ht="15" customHeight="1">
      <c r="E304" s="19" t="s">
        <v>835</v>
      </c>
      <c r="F304" s="19"/>
      <c r="G304" s="195" t="s">
        <v>844</v>
      </c>
      <c r="H304" s="19"/>
      <c r="I304" s="19"/>
      <c r="J304" s="88"/>
      <c r="K304" s="88"/>
      <c r="L304" s="88"/>
      <c r="M304" s="88"/>
      <c r="N304" s="88"/>
      <c r="O304" s="88"/>
      <c r="P304" s="88"/>
      <c r="Q304" s="88"/>
      <c r="R304" s="88"/>
      <c r="S304" s="88"/>
      <c r="T304" s="88"/>
      <c r="U304" s="88"/>
      <c r="V304" s="88"/>
      <c r="W304" s="88"/>
      <c r="X304" s="88"/>
      <c r="Y304" s="88"/>
      <c r="Z304" s="88"/>
      <c r="AA304" s="19"/>
      <c r="AB304" s="19"/>
      <c r="AC304" s="19"/>
      <c r="AD304" s="19"/>
      <c r="AE304" s="227">
        <f>CHOOSE(m_identity,ENWL!AE304, NPgN!AE304, NPgY!AE304, WMID!AE304, EMID!AE304, SWALES!AE304, SWEST!AE304, LPN!AE304,SPN!AE304,EPN!AE304,SPD!AE304,SPMW!AE304,SSEH!AE304,SSES!AE304)</f>
        <v>0</v>
      </c>
      <c r="AF304" s="227">
        <f>CHOOSE(m_identity,ENWL!AF304, NPgN!AF304, NPgY!AF304, WMID!AF304, EMID!AF304, SWALES!AF304, SWEST!AF304, LPN!AF304,SPN!AF304,EPN!AF304,SPD!AF304,SPMW!AF304,SSEH!AF304,SSES!AF304)</f>
        <v>0</v>
      </c>
      <c r="AG304" s="227">
        <f>CHOOSE(m_identity,ENWL!AG304, NPgN!AG304, NPgY!AG304, WMID!AG304, EMID!AG304, SWALES!AG304, SWEST!AG304, LPN!AG304,SPN!AG304,EPN!AG304,SPD!AG304,SPMW!AG304,SSEH!AG304,SSES!AG304)</f>
        <v>0</v>
      </c>
      <c r="AH304" s="227">
        <f>CHOOSE(m_identity,ENWL!AH304, NPgN!AH304, NPgY!AH304, WMID!AH304, EMID!AH304, SWALES!AH304, SWEST!AH304, LPN!AH304,SPN!AH304,EPN!AH304,SPD!AH304,SPMW!AH304,SSEH!AH304,SSES!AH304)</f>
        <v>0</v>
      </c>
      <c r="AI304" s="227">
        <f>CHOOSE(m_identity,ENWL!AI304, NPgN!AI304, NPgY!AI304, WMID!AI304, EMID!AI304, SWALES!AI304, SWEST!AI304, LPN!AI304,SPN!AI304,EPN!AI304,SPD!AI304,SPMW!AI304,SSEH!AI304,SSES!AI304)</f>
        <v>0</v>
      </c>
      <c r="AJ304" s="227">
        <f>CHOOSE(m_identity,ENWL!AJ304, NPgN!AJ304, NPgY!AJ304, WMID!AJ304, EMID!AJ304, SWALES!AJ304, SWEST!AJ304, LPN!AJ304,SPN!AJ304,EPN!AJ304,SPD!AJ304,SPMW!AJ304,SSEH!AJ304,SSES!AJ304)</f>
        <v>0</v>
      </c>
      <c r="AK304" s="227">
        <f>CHOOSE(m_identity,ENWL!AK304, NPgN!AK304, NPgY!AK304, WMID!AK304, EMID!AK304, SWALES!AK304, SWEST!AK304, LPN!AK304,SPN!AK304,EPN!AK304,SPD!AK304,SPMW!AK304,SSEH!AK304,SSES!AK304)</f>
        <v>0</v>
      </c>
      <c r="AL304" s="227">
        <f>CHOOSE(m_identity,ENWL!AL304, NPgN!AL304, NPgY!AL304, WMID!AL304, EMID!AL304, SWALES!AL304, SWEST!AL304, LPN!AL304,SPN!AL304,EPN!AL304,SPD!AL304,SPMW!AL304,SSEH!AL304,SSES!AL304)</f>
        <v>0</v>
      </c>
      <c r="AM304" s="227">
        <f>CHOOSE(m_identity,ENWL!AM304, NPgN!AM304, NPgY!AM304, WMID!AM304, EMID!AM304, SWALES!AM304, SWEST!AM304, LPN!AM304,SPN!AM304,EPN!AM304,SPD!AM304,SPMW!AM304,SSEH!AM304,SSES!AM304)</f>
        <v>0</v>
      </c>
      <c r="AN304" s="227">
        <f>CHOOSE(m_identity,ENWL!AN304, NPgN!AN304, NPgY!AN304, WMID!AN304, EMID!AN304, SWALES!AN304, SWEST!AN304, LPN!AN304,SPN!AN304,EPN!AN304,SPD!AN304,SPMW!AN304,SSEH!AN304,SSES!AN304)</f>
        <v>0</v>
      </c>
      <c r="AO304" s="227">
        <f>CHOOSE(m_identity,ENWL!AO304, NPgN!AO304, NPgY!AO304, WMID!AO304, EMID!AO304, SWALES!AO304, SWEST!AO304, LPN!AO304,SPN!AO304,EPN!AO304,SPD!AO304,SPMW!AO304,SSEH!AO304,SSES!AO304)</f>
        <v>0</v>
      </c>
      <c r="AP304" s="227">
        <f>CHOOSE(m_identity,ENWL!AP304, NPgN!AP304, NPgY!AP304, WMID!AP304, EMID!AP304, SWALES!AP304, SWEST!AP304, LPN!AP304,SPN!AP304,EPN!AP304,SPD!AP304,SPMW!AP304,SSEH!AP304,SSES!AP304)</f>
        <v>0</v>
      </c>
      <c r="AQ304" s="227">
        <f>CHOOSE(m_identity,ENWL!AQ304, NPgN!AQ304, NPgY!AQ304, WMID!AQ304, EMID!AQ304, SWALES!AQ304, SWEST!AQ304, LPN!AQ304,SPN!AQ304,EPN!AQ304,SPD!AQ304,SPMW!AQ304,SSEH!AQ304,SSES!AQ304)</f>
        <v>0</v>
      </c>
    </row>
    <row r="305" spans="2:43" s="158" customFormat="1" ht="15" customHeight="1">
      <c r="E305" s="19" t="s">
        <v>836</v>
      </c>
      <c r="F305" s="19"/>
      <c r="G305" s="195" t="s">
        <v>844</v>
      </c>
      <c r="H305" s="19"/>
      <c r="I305" s="19"/>
      <c r="J305" s="88"/>
      <c r="K305" s="88"/>
      <c r="L305" s="88"/>
      <c r="M305" s="88"/>
      <c r="N305" s="88"/>
      <c r="O305" s="88"/>
      <c r="P305" s="88"/>
      <c r="Q305" s="88"/>
      <c r="R305" s="88"/>
      <c r="S305" s="88"/>
      <c r="T305" s="88"/>
      <c r="U305" s="88"/>
      <c r="V305" s="88"/>
      <c r="W305" s="88"/>
      <c r="X305" s="88"/>
      <c r="Y305" s="88"/>
      <c r="Z305" s="88"/>
      <c r="AA305" s="19"/>
      <c r="AB305" s="19"/>
      <c r="AC305" s="19"/>
      <c r="AD305" s="19"/>
      <c r="AE305" s="167">
        <f t="shared" ref="AE305:AI305" si="118">SUM(AE303,AE304)</f>
        <v>0</v>
      </c>
      <c r="AF305" s="167">
        <f t="shared" si="118"/>
        <v>0</v>
      </c>
      <c r="AG305" s="167">
        <f t="shared" si="118"/>
        <v>0</v>
      </c>
      <c r="AH305" s="167">
        <f t="shared" si="118"/>
        <v>0</v>
      </c>
      <c r="AI305" s="167">
        <f t="shared" si="118"/>
        <v>0</v>
      </c>
      <c r="AJ305" s="167">
        <f>SUM(AJ303,AJ304)</f>
        <v>0</v>
      </c>
      <c r="AK305" s="167">
        <f t="shared" ref="AK305" si="119">SUM(AK303,AK304)</f>
        <v>0</v>
      </c>
      <c r="AL305" s="167">
        <f t="shared" ref="AL305" si="120">SUM(AL303,AL304)</f>
        <v>0</v>
      </c>
      <c r="AM305" s="167">
        <f t="shared" ref="AM305" si="121">SUM(AM303,AM304)</f>
        <v>0</v>
      </c>
      <c r="AN305" s="167">
        <f t="shared" ref="AN305" si="122">SUM(AN303,AN304)</f>
        <v>0</v>
      </c>
      <c r="AO305" s="167">
        <f t="shared" ref="AO305" si="123">SUM(AO303,AO304)</f>
        <v>0</v>
      </c>
      <c r="AP305" s="167">
        <f t="shared" ref="AP305" si="124">SUM(AP303,AP304)</f>
        <v>0</v>
      </c>
      <c r="AQ305" s="167">
        <f t="shared" ref="AQ305" si="125">SUM(AQ303,AQ304)</f>
        <v>0</v>
      </c>
    </row>
    <row r="306" spans="2:43" s="158" customFormat="1" ht="15" customHeight="1">
      <c r="E306" s="19"/>
      <c r="F306" s="19"/>
      <c r="G306" s="195"/>
      <c r="H306" s="19"/>
      <c r="I306" s="19"/>
      <c r="J306" s="88"/>
      <c r="K306" s="88"/>
      <c r="L306" s="88"/>
      <c r="M306" s="88"/>
      <c r="N306" s="88"/>
      <c r="O306" s="88"/>
      <c r="P306" s="88"/>
      <c r="Q306" s="88"/>
      <c r="R306" s="88"/>
      <c r="S306" s="88"/>
      <c r="T306" s="88"/>
      <c r="U306" s="88"/>
      <c r="V306" s="88"/>
      <c r="W306" s="88"/>
      <c r="X306" s="88"/>
      <c r="Y306" s="88"/>
      <c r="Z306" s="88"/>
      <c r="AA306" s="19"/>
      <c r="AB306" s="19"/>
      <c r="AC306" s="19"/>
      <c r="AD306" s="19"/>
      <c r="AE306" s="157"/>
      <c r="AF306" s="157"/>
      <c r="AG306" s="157"/>
      <c r="AH306" s="157"/>
      <c r="AI306" s="157"/>
      <c r="AJ306" s="157"/>
      <c r="AK306" s="157"/>
      <c r="AL306" s="157"/>
      <c r="AM306" s="157"/>
      <c r="AN306" s="157"/>
      <c r="AO306" s="157"/>
      <c r="AP306" s="157"/>
      <c r="AQ306" s="157"/>
    </row>
    <row r="307" spans="2:43" s="158" customFormat="1" ht="15" customHeight="1">
      <c r="E307" s="19" t="s">
        <v>766</v>
      </c>
      <c r="F307" s="19"/>
      <c r="G307" s="195" t="s">
        <v>844</v>
      </c>
      <c r="H307" s="19"/>
      <c r="I307" s="19"/>
      <c r="J307" s="88"/>
      <c r="K307" s="88"/>
      <c r="L307" s="88"/>
      <c r="M307" s="88"/>
      <c r="N307" s="88"/>
      <c r="O307" s="88"/>
      <c r="P307" s="88"/>
      <c r="Q307" s="88"/>
      <c r="R307" s="88"/>
      <c r="S307" s="88"/>
      <c r="T307" s="88"/>
      <c r="U307" s="88"/>
      <c r="V307" s="88"/>
      <c r="W307" s="88"/>
      <c r="X307" s="88"/>
      <c r="Y307" s="88"/>
      <c r="Z307" s="88"/>
      <c r="AA307" s="19"/>
      <c r="AB307" s="19"/>
      <c r="AC307" s="19"/>
      <c r="AD307" s="19"/>
      <c r="AE307" s="227">
        <f>CHOOSE(m_identity,ENWL!AE307, NPgN!AE307, NPgY!AE307, WMID!AE307, EMID!AE307, SWALES!AE307, SWEST!AE307, LPN!AE307,SPN!AE307,EPN!AE307,SPD!AE307,SPMW!AE307,SSEH!AE307,SSES!AE307)</f>
        <v>0</v>
      </c>
      <c r="AF307" s="227">
        <f>CHOOSE(m_identity,ENWL!AF307, NPgN!AF307, NPgY!AF307, WMID!AF307, EMID!AF307, SWALES!AF307, SWEST!AF307, LPN!AF307,SPN!AF307,EPN!AF307,SPD!AF307,SPMW!AF307,SSEH!AF307,SSES!AF307)</f>
        <v>0</v>
      </c>
      <c r="AG307" s="227">
        <f>CHOOSE(m_identity,ENWL!AG307, NPgN!AG307, NPgY!AG307, WMID!AG307, EMID!AG307, SWALES!AG307, SWEST!AG307, LPN!AG307,SPN!AG307,EPN!AG307,SPD!AG307,SPMW!AG307,SSEH!AG307,SSES!AG307)</f>
        <v>0</v>
      </c>
      <c r="AH307" s="227">
        <f>CHOOSE(m_identity,ENWL!AH307, NPgN!AH307, NPgY!AH307, WMID!AH307, EMID!AH307, SWALES!AH307, SWEST!AH307, LPN!AH307,SPN!AH307,EPN!AH307,SPD!AH307,SPMW!AH307,SSEH!AH307,SSES!AH307)</f>
        <v>0</v>
      </c>
      <c r="AI307" s="227">
        <f>CHOOSE(m_identity,ENWL!AI307, NPgN!AI307, NPgY!AI307, WMID!AI307, EMID!AI307, SWALES!AI307, SWEST!AI307, LPN!AI307,SPN!AI307,EPN!AI307,SPD!AI307,SPMW!AI307,SSEH!AI307,SSES!AI307)</f>
        <v>0</v>
      </c>
      <c r="AJ307" s="227">
        <f>CHOOSE(m_identity,ENWL!AJ307, NPgN!AJ307, NPgY!AJ307, WMID!AJ307, EMID!AJ307, SWALES!AJ307, SWEST!AJ307, LPN!AJ307,SPN!AJ307,EPN!AJ307,SPD!AJ307,SPMW!AJ307,SSEH!AJ307,SSES!AJ307)</f>
        <v>0</v>
      </c>
      <c r="AK307" s="227">
        <f>CHOOSE(m_identity,ENWL!AK307, NPgN!AK307, NPgY!AK307, WMID!AK307, EMID!AK307, SWALES!AK307, SWEST!AK307, LPN!AK307,SPN!AK307,EPN!AK307,SPD!AK307,SPMW!AK307,SSEH!AK307,SSES!AK307)</f>
        <v>0</v>
      </c>
      <c r="AL307" s="227">
        <f>CHOOSE(m_identity,ENWL!AL307, NPgN!AL307, NPgY!AL307, WMID!AL307, EMID!AL307, SWALES!AL307, SWEST!AL307, LPN!AL307,SPN!AL307,EPN!AL307,SPD!AL307,SPMW!AL307,SSEH!AL307,SSES!AL307)</f>
        <v>0</v>
      </c>
      <c r="AM307" s="227">
        <f>CHOOSE(m_identity,ENWL!AM307, NPgN!AM307, NPgY!AM307, WMID!AM307, EMID!AM307, SWALES!AM307, SWEST!AM307, LPN!AM307,SPN!AM307,EPN!AM307,SPD!AM307,SPMW!AM307,SSEH!AM307,SSES!AM307)</f>
        <v>0</v>
      </c>
      <c r="AN307" s="227">
        <f>CHOOSE(m_identity,ENWL!AN307, NPgN!AN307, NPgY!AN307, WMID!AN307, EMID!AN307, SWALES!AN307, SWEST!AN307, LPN!AN307,SPN!AN307,EPN!AN307,SPD!AN307,SPMW!AN307,SSEH!AN307,SSES!AN307)</f>
        <v>0</v>
      </c>
      <c r="AO307" s="227">
        <f>CHOOSE(m_identity,ENWL!AO307, NPgN!AO307, NPgY!AO307, WMID!AO307, EMID!AO307, SWALES!AO307, SWEST!AO307, LPN!AO307,SPN!AO307,EPN!AO307,SPD!AO307,SPMW!AO307,SSEH!AO307,SSES!AO307)</f>
        <v>0</v>
      </c>
      <c r="AP307" s="227">
        <f>CHOOSE(m_identity,ENWL!AP307, NPgN!AP307, NPgY!AP307, WMID!AP307, EMID!AP307, SWALES!AP307, SWEST!AP307, LPN!AP307,SPN!AP307,EPN!AP307,SPD!AP307,SPMW!AP307,SSEH!AP307,SSES!AP307)</f>
        <v>0</v>
      </c>
      <c r="AQ307" s="227">
        <f>CHOOSE(m_identity,ENWL!AQ307, NPgN!AQ307, NPgY!AQ307, WMID!AQ307, EMID!AQ307, SWALES!AQ307, SWEST!AQ307, LPN!AQ307,SPN!AQ307,EPN!AQ307,SPD!AQ307,SPMW!AQ307,SSEH!AQ307,SSES!AQ307)</f>
        <v>0</v>
      </c>
    </row>
    <row r="308" spans="2:43" s="158" customFormat="1" ht="15" customHeight="1">
      <c r="E308" s="19" t="s">
        <v>758</v>
      </c>
      <c r="F308" s="19"/>
      <c r="G308" s="195" t="s">
        <v>844</v>
      </c>
      <c r="H308" s="19"/>
      <c r="I308" s="19"/>
      <c r="J308" s="88"/>
      <c r="K308" s="88"/>
      <c r="L308" s="88"/>
      <c r="M308" s="88"/>
      <c r="N308" s="88"/>
      <c r="O308" s="88"/>
      <c r="P308" s="88"/>
      <c r="Q308" s="88"/>
      <c r="R308" s="88"/>
      <c r="S308" s="88"/>
      <c r="T308" s="88"/>
      <c r="U308" s="88"/>
      <c r="V308" s="88"/>
      <c r="W308" s="88"/>
      <c r="X308" s="88"/>
      <c r="Y308" s="88"/>
      <c r="Z308" s="88"/>
      <c r="AA308" s="19"/>
      <c r="AB308" s="19"/>
      <c r="AC308" s="19"/>
      <c r="AD308" s="19"/>
      <c r="AE308" s="227">
        <f>CHOOSE(m_identity,ENWL!AE308, NPgN!AE308, NPgY!AE308, WMID!AE308, EMID!AE308, SWALES!AE308, SWEST!AE308, LPN!AE308,SPN!AE308,EPN!AE308,SPD!AE308,SPMW!AE308,SSEH!AE308,SSES!AE308)</f>
        <v>0</v>
      </c>
      <c r="AF308" s="227">
        <f>CHOOSE(m_identity,ENWL!AF308, NPgN!AF308, NPgY!AF308, WMID!AF308, EMID!AF308, SWALES!AF308, SWEST!AF308, LPN!AF308,SPN!AF308,EPN!AF308,SPD!AF308,SPMW!AF308,SSEH!AF308,SSES!AF308)</f>
        <v>0</v>
      </c>
      <c r="AG308" s="227">
        <f>CHOOSE(m_identity,ENWL!AG308, NPgN!AG308, NPgY!AG308, WMID!AG308, EMID!AG308, SWALES!AG308, SWEST!AG308, LPN!AG308,SPN!AG308,EPN!AG308,SPD!AG308,SPMW!AG308,SSEH!AG308,SSES!AG308)</f>
        <v>0</v>
      </c>
      <c r="AH308" s="227">
        <f>CHOOSE(m_identity,ENWL!AH308, NPgN!AH308, NPgY!AH308, WMID!AH308, EMID!AH308, SWALES!AH308, SWEST!AH308, LPN!AH308,SPN!AH308,EPN!AH308,SPD!AH308,SPMW!AH308,SSEH!AH308,SSES!AH308)</f>
        <v>0</v>
      </c>
      <c r="AI308" s="227">
        <f>CHOOSE(m_identity,ENWL!AI308, NPgN!AI308, NPgY!AI308, WMID!AI308, EMID!AI308, SWALES!AI308, SWEST!AI308, LPN!AI308,SPN!AI308,EPN!AI308,SPD!AI308,SPMW!AI308,SSEH!AI308,SSES!AI308)</f>
        <v>0</v>
      </c>
      <c r="AJ308" s="227">
        <f>CHOOSE(m_identity,ENWL!AJ308, NPgN!AJ308, NPgY!AJ308, WMID!AJ308, EMID!AJ308, SWALES!AJ308, SWEST!AJ308, LPN!AJ308,SPN!AJ308,EPN!AJ308,SPD!AJ308,SPMW!AJ308,SSEH!AJ308,SSES!AJ308)</f>
        <v>0</v>
      </c>
      <c r="AK308" s="227">
        <f>CHOOSE(m_identity,ENWL!AK308, NPgN!AK308, NPgY!AK308, WMID!AK308, EMID!AK308, SWALES!AK308, SWEST!AK308, LPN!AK308,SPN!AK308,EPN!AK308,SPD!AK308,SPMW!AK308,SSEH!AK308,SSES!AK308)</f>
        <v>0</v>
      </c>
      <c r="AL308" s="227">
        <f>CHOOSE(m_identity,ENWL!AL308, NPgN!AL308, NPgY!AL308, WMID!AL308, EMID!AL308, SWALES!AL308, SWEST!AL308, LPN!AL308,SPN!AL308,EPN!AL308,SPD!AL308,SPMW!AL308,SSEH!AL308,SSES!AL308)</f>
        <v>0</v>
      </c>
      <c r="AM308" s="227">
        <f>CHOOSE(m_identity,ENWL!AM308, NPgN!AM308, NPgY!AM308, WMID!AM308, EMID!AM308, SWALES!AM308, SWEST!AM308, LPN!AM308,SPN!AM308,EPN!AM308,SPD!AM308,SPMW!AM308,SSEH!AM308,SSES!AM308)</f>
        <v>0</v>
      </c>
      <c r="AN308" s="227">
        <f>CHOOSE(m_identity,ENWL!AN308, NPgN!AN308, NPgY!AN308, WMID!AN308, EMID!AN308, SWALES!AN308, SWEST!AN308, LPN!AN308,SPN!AN308,EPN!AN308,SPD!AN308,SPMW!AN308,SSEH!AN308,SSES!AN308)</f>
        <v>0</v>
      </c>
      <c r="AO308" s="227">
        <f>CHOOSE(m_identity,ENWL!AO308, NPgN!AO308, NPgY!AO308, WMID!AO308, EMID!AO308, SWALES!AO308, SWEST!AO308, LPN!AO308,SPN!AO308,EPN!AO308,SPD!AO308,SPMW!AO308,SSEH!AO308,SSES!AO308)</f>
        <v>0</v>
      </c>
      <c r="AP308" s="227">
        <f>CHOOSE(m_identity,ENWL!AP308, NPgN!AP308, NPgY!AP308, WMID!AP308, EMID!AP308, SWALES!AP308, SWEST!AP308, LPN!AP308,SPN!AP308,EPN!AP308,SPD!AP308,SPMW!AP308,SSEH!AP308,SSES!AP308)</f>
        <v>0</v>
      </c>
      <c r="AQ308" s="227">
        <f>CHOOSE(m_identity,ENWL!AQ308, NPgN!AQ308, NPgY!AQ308, WMID!AQ308, EMID!AQ308, SWALES!AQ308, SWEST!AQ308, LPN!AQ308,SPN!AQ308,EPN!AQ308,SPD!AQ308,SPMW!AQ308,SSEH!AQ308,SSES!AQ308)</f>
        <v>0</v>
      </c>
    </row>
    <row r="309" spans="2:43" s="158" customFormat="1" ht="15" customHeight="1">
      <c r="E309" s="19" t="s">
        <v>759</v>
      </c>
      <c r="F309" s="19"/>
      <c r="G309" s="195" t="s">
        <v>844</v>
      </c>
      <c r="H309" s="19"/>
      <c r="I309" s="19"/>
      <c r="J309" s="88"/>
      <c r="K309" s="88"/>
      <c r="L309" s="88"/>
      <c r="M309" s="88"/>
      <c r="N309" s="88"/>
      <c r="O309" s="88"/>
      <c r="P309" s="88"/>
      <c r="Q309" s="88"/>
      <c r="R309" s="88"/>
      <c r="S309" s="88"/>
      <c r="T309" s="88"/>
      <c r="U309" s="88"/>
      <c r="V309" s="88"/>
      <c r="W309" s="88"/>
      <c r="X309" s="88"/>
      <c r="Y309" s="88"/>
      <c r="Z309" s="88"/>
      <c r="AA309" s="19"/>
      <c r="AB309" s="19"/>
      <c r="AC309" s="19"/>
      <c r="AD309" s="19"/>
      <c r="AE309" s="167">
        <f t="shared" ref="AE309:AI309" si="126">SUM(AE307,AE308)</f>
        <v>0</v>
      </c>
      <c r="AF309" s="167">
        <f t="shared" si="126"/>
        <v>0</v>
      </c>
      <c r="AG309" s="167">
        <f t="shared" si="126"/>
        <v>0</v>
      </c>
      <c r="AH309" s="167">
        <f t="shared" si="126"/>
        <v>0</v>
      </c>
      <c r="AI309" s="167">
        <f t="shared" si="126"/>
        <v>0</v>
      </c>
      <c r="AJ309" s="167">
        <f>SUM(AJ307,AJ308)</f>
        <v>0</v>
      </c>
      <c r="AK309" s="167">
        <f t="shared" ref="AK309" si="127">SUM(AK307,AK308)</f>
        <v>0</v>
      </c>
      <c r="AL309" s="167">
        <f t="shared" ref="AL309" si="128">SUM(AL307,AL308)</f>
        <v>0</v>
      </c>
      <c r="AM309" s="167">
        <f t="shared" ref="AM309" si="129">SUM(AM307,AM308)</f>
        <v>0</v>
      </c>
      <c r="AN309" s="167">
        <f t="shared" ref="AN309" si="130">SUM(AN307,AN308)</f>
        <v>0</v>
      </c>
      <c r="AO309" s="167">
        <f t="shared" ref="AO309" si="131">SUM(AO307,AO308)</f>
        <v>0</v>
      </c>
      <c r="AP309" s="167">
        <f t="shared" ref="AP309" si="132">SUM(AP307,AP308)</f>
        <v>0</v>
      </c>
      <c r="AQ309" s="167">
        <f t="shared" ref="AQ309" si="133">SUM(AQ307,AQ308)</f>
        <v>0</v>
      </c>
    </row>
    <row r="310" spans="2:43" s="158" customFormat="1" ht="15" customHeight="1">
      <c r="E310" s="19"/>
      <c r="F310" s="19"/>
      <c r="G310" s="195"/>
      <c r="H310" s="19"/>
      <c r="I310" s="19"/>
      <c r="J310" s="88"/>
      <c r="K310" s="88"/>
      <c r="L310" s="88"/>
      <c r="M310" s="88"/>
      <c r="N310" s="88"/>
      <c r="O310" s="88"/>
      <c r="P310" s="88"/>
      <c r="Q310" s="88"/>
      <c r="R310" s="88"/>
      <c r="S310" s="88"/>
      <c r="T310" s="88"/>
      <c r="U310" s="88"/>
      <c r="V310" s="88"/>
      <c r="W310" s="88"/>
      <c r="X310" s="88"/>
      <c r="Y310" s="88"/>
      <c r="Z310" s="88"/>
      <c r="AA310" s="19"/>
      <c r="AB310" s="19"/>
      <c r="AC310" s="19"/>
      <c r="AD310" s="19"/>
      <c r="AE310" s="157"/>
      <c r="AF310" s="157"/>
      <c r="AG310" s="157"/>
      <c r="AH310" s="157"/>
      <c r="AI310" s="157"/>
      <c r="AJ310" s="157"/>
      <c r="AK310" s="157"/>
      <c r="AL310" s="157"/>
      <c r="AM310" s="157"/>
      <c r="AN310" s="157"/>
      <c r="AO310" s="157"/>
      <c r="AP310" s="157"/>
      <c r="AQ310" s="157"/>
    </row>
    <row r="311" spans="2:43" s="158" customFormat="1" ht="15" customHeight="1">
      <c r="E311" s="19" t="str">
        <f>"Overall net income of "&amp;E257</f>
        <v>Overall net income of Directly Remunerated Services</v>
      </c>
      <c r="F311" s="19"/>
      <c r="G311" s="195" t="s">
        <v>844</v>
      </c>
      <c r="H311" s="19"/>
      <c r="I311" s="19"/>
      <c r="J311" s="88"/>
      <c r="K311" s="88"/>
      <c r="L311" s="88"/>
      <c r="M311" s="88"/>
      <c r="N311" s="88"/>
      <c r="O311" s="88"/>
      <c r="P311" s="88"/>
      <c r="Q311" s="88"/>
      <c r="R311" s="88"/>
      <c r="S311" s="88"/>
      <c r="T311" s="88"/>
      <c r="U311" s="88"/>
      <c r="V311" s="88"/>
      <c r="W311" s="88"/>
      <c r="X311" s="88"/>
      <c r="Y311" s="88"/>
      <c r="Z311" s="88"/>
      <c r="AA311" s="19"/>
      <c r="AB311" s="19"/>
      <c r="AC311" s="19"/>
      <c r="AD311" s="19"/>
      <c r="AE311" s="167">
        <f t="shared" ref="AE311:AI311" si="134">(AE261+AE265+AE269+AE273+AE277+AE281+AE285+AE289+AE293+AE297+AE301+AE305+AE309)</f>
        <v>2.7901105763206497</v>
      </c>
      <c r="AF311" s="167">
        <f t="shared" si="134"/>
        <v>5.2276164790643413</v>
      </c>
      <c r="AG311" s="167">
        <f t="shared" si="134"/>
        <v>5.2256534988176693</v>
      </c>
      <c r="AH311" s="167">
        <f>(AH261+AH265+AH269+AH273+AH277+AH281+AH285+AH289+AH293+AH297+AH301+AH305+AH309)</f>
        <v>7.7078850250454725</v>
      </c>
      <c r="AI311" s="167">
        <f t="shared" si="134"/>
        <v>7.1431368862673974</v>
      </c>
      <c r="AJ311" s="167">
        <f>(AJ261+AJ265+AJ269+AJ273+AJ277+AJ281+AJ285+AJ289+AJ293+AJ297+AJ301+AJ305+AJ309)</f>
        <v>6.2777070121585181</v>
      </c>
      <c r="AK311" s="167">
        <f t="shared" ref="AK311:AQ311" si="135">(AK261+AK265+AK269+AK273+AK277+AK281+AK285+AK289+AK293+AK297+AK301+AK305+AK309)</f>
        <v>5.4998776564961647</v>
      </c>
      <c r="AL311" s="167">
        <f t="shared" si="135"/>
        <v>4.5187519694192337</v>
      </c>
      <c r="AM311" s="167">
        <f t="shared" si="135"/>
        <v>3.6541326982796019</v>
      </c>
      <c r="AN311" s="167">
        <f t="shared" si="135"/>
        <v>2.9168245187739217</v>
      </c>
      <c r="AO311" s="167">
        <f t="shared" si="135"/>
        <v>2.3844989542891049</v>
      </c>
      <c r="AP311" s="167">
        <f t="shared" si="135"/>
        <v>2.2608632488224418</v>
      </c>
      <c r="AQ311" s="167">
        <f t="shared" si="135"/>
        <v>2.2668838721306548</v>
      </c>
    </row>
    <row r="312" spans="2:43" ht="15" customHeight="1">
      <c r="E312" s="158"/>
    </row>
    <row r="313" spans="2:43" ht="15" customHeight="1">
      <c r="B313" s="15" t="s">
        <v>155</v>
      </c>
      <c r="C313" s="15"/>
      <c r="D313" s="15"/>
      <c r="E313" s="15"/>
      <c r="F313" s="15"/>
      <c r="G313" s="15"/>
      <c r="H313" s="15"/>
      <c r="I313" s="15"/>
      <c r="J313" s="15"/>
      <c r="K313" s="15"/>
      <c r="L313" s="15"/>
      <c r="M313" s="15"/>
      <c r="N313" s="15"/>
      <c r="O313" s="15"/>
      <c r="P313" s="15"/>
      <c r="Q313" s="15"/>
      <c r="R313" s="15"/>
      <c r="S313" s="15"/>
      <c r="T313" s="15"/>
      <c r="U313" s="15"/>
      <c r="V313" s="15"/>
      <c r="W313" s="15"/>
      <c r="X313" s="15"/>
      <c r="Y313" s="15"/>
      <c r="Z313" s="15"/>
      <c r="AA313" s="15"/>
      <c r="AB313" s="15"/>
      <c r="AC313" s="15"/>
      <c r="AD313" s="15"/>
      <c r="AE313" s="15"/>
      <c r="AF313" s="15"/>
      <c r="AG313" s="15"/>
      <c r="AH313" s="15"/>
      <c r="AI313" s="15"/>
      <c r="AJ313" s="15"/>
      <c r="AK313" s="15"/>
      <c r="AL313" s="15"/>
      <c r="AM313" s="15"/>
      <c r="AN313" s="15"/>
      <c r="AO313" s="15"/>
      <c r="AP313" s="15"/>
      <c r="AQ313" s="15"/>
    </row>
    <row r="315" spans="2:43" s="158" customFormat="1" ht="15" customHeight="1">
      <c r="C315" s="17" t="s">
        <v>130</v>
      </c>
      <c r="D315" s="17"/>
      <c r="E315" s="17"/>
      <c r="F315" s="17"/>
      <c r="G315" s="17"/>
      <c r="H315" s="17"/>
      <c r="I315" s="17"/>
      <c r="J315" s="17"/>
      <c r="K315" s="17"/>
      <c r="L315" s="17"/>
      <c r="M315" s="17"/>
      <c r="N315" s="17"/>
      <c r="O315" s="17"/>
      <c r="P315" s="17"/>
      <c r="Q315" s="17"/>
      <c r="R315" s="17"/>
      <c r="S315" s="17"/>
      <c r="T315" s="17"/>
      <c r="U315" s="17"/>
      <c r="V315" s="17"/>
      <c r="W315" s="17"/>
      <c r="X315" s="17"/>
      <c r="Y315" s="17"/>
      <c r="Z315" s="17"/>
      <c r="AA315" s="17"/>
      <c r="AB315" s="17"/>
      <c r="AC315" s="17"/>
      <c r="AD315" s="17"/>
      <c r="AE315" s="17"/>
      <c r="AF315" s="17"/>
      <c r="AG315" s="17"/>
      <c r="AH315" s="17"/>
      <c r="AI315" s="17"/>
      <c r="AJ315" s="17"/>
      <c r="AK315" s="17"/>
      <c r="AL315" s="17"/>
      <c r="AM315" s="17"/>
      <c r="AN315" s="17"/>
      <c r="AO315" s="17"/>
      <c r="AP315" s="17"/>
      <c r="AQ315" s="17"/>
    </row>
    <row r="316" spans="2:43" s="158" customFormat="1" ht="15" customHeight="1"/>
    <row r="317" spans="2:43" s="158" customFormat="1" ht="15" customHeight="1">
      <c r="E317" s="21" t="s">
        <v>5</v>
      </c>
      <c r="G317" s="158" t="s">
        <v>51</v>
      </c>
      <c r="I317" s="236">
        <f>CHOOSE(m_identity,ENWL!I317, NPgN!I317, NPgY!I317, WMID!I317, EMID!I317, SWALES!I317, SWEST!I317, LPN!I317,SPN!I317,EPN!I317,SPD!I317,SPMW!I317,SSEH!I317,SSES!I317)</f>
        <v>13</v>
      </c>
    </row>
    <row r="318" spans="2:43" s="149" customFormat="1" ht="15" customHeight="1">
      <c r="E318" s="25" t="s">
        <v>669</v>
      </c>
      <c r="G318" s="158" t="s">
        <v>670</v>
      </c>
      <c r="I318" s="236">
        <f>CHOOSE(m_identity,ENWL!I318, NPgN!I318, NPgY!I318, WMID!I318, EMID!I318, SWALES!I318, SWEST!I318, LPN!I318,SPN!I318,EPN!I318,SPD!I318,SPMW!I318,SSEH!I318,SSES!I318)</f>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s="158" customFormat="1" ht="15" customHeight="1">
      <c r="G319" s="195"/>
    </row>
    <row r="320" spans="2:43" s="158" customFormat="1" ht="15" customHeight="1">
      <c r="E320" s="158" t="s">
        <v>674</v>
      </c>
      <c r="G320" s="195" t="s">
        <v>844</v>
      </c>
      <c r="I320" s="236">
        <f>CHOOSE(m_identity,ENWL!I320, NPgN!I320, NPgY!I320, WMID!I320, EMID!I320, SWALES!I320, SWEST!I320, LPN!I320,SPN!I320,EPN!I320,SPD!I320,SPMW!I320,SSEH!I320,SSES!I320)</f>
        <v>20.123452965068136</v>
      </c>
    </row>
    <row r="321" spans="2:43" s="158" customFormat="1" ht="15" customHeight="1">
      <c r="G321" s="195"/>
    </row>
    <row r="322" spans="2:43" s="158" customFormat="1" ht="15" customHeight="1">
      <c r="C322" s="17" t="s">
        <v>418</v>
      </c>
      <c r="D322" s="17"/>
      <c r="E322" s="17"/>
      <c r="F322" s="17"/>
      <c r="G322" s="17"/>
      <c r="H322" s="17"/>
      <c r="I322" s="169"/>
      <c r="J322" s="17"/>
      <c r="K322" s="17"/>
      <c r="L322" s="17"/>
      <c r="M322" s="17"/>
      <c r="N322" s="17"/>
      <c r="O322" s="17"/>
      <c r="P322" s="17"/>
      <c r="Q322" s="17"/>
      <c r="R322" s="17"/>
      <c r="S322" s="17"/>
      <c r="T322" s="17"/>
      <c r="U322" s="17"/>
      <c r="V322" s="17"/>
      <c r="W322" s="17"/>
      <c r="X322" s="17"/>
      <c r="Y322" s="17"/>
      <c r="Z322" s="17"/>
      <c r="AA322" s="17"/>
      <c r="AB322" s="17"/>
      <c r="AC322" s="17"/>
      <c r="AD322" s="17"/>
      <c r="AE322" s="17"/>
      <c r="AF322" s="17"/>
      <c r="AG322" s="17"/>
      <c r="AH322" s="17"/>
      <c r="AI322" s="17"/>
      <c r="AJ322" s="17"/>
      <c r="AK322" s="17"/>
      <c r="AL322" s="17"/>
      <c r="AM322" s="17"/>
      <c r="AN322" s="17"/>
      <c r="AO322" s="17"/>
      <c r="AP322" s="17"/>
      <c r="AQ322" s="17"/>
    </row>
    <row r="323" spans="2:43" s="158" customFormat="1" ht="15" customHeight="1"/>
    <row r="324" spans="2:43" s="158" customFormat="1" ht="15" customHeight="1">
      <c r="E324" s="1" t="s">
        <v>660</v>
      </c>
    </row>
    <row r="325" spans="2:43" s="158" customFormat="1" ht="15" customHeight="1">
      <c r="E325" s="13" t="s">
        <v>15</v>
      </c>
      <c r="F325" s="151"/>
      <c r="G325" s="151" t="s">
        <v>51</v>
      </c>
      <c r="J325" s="22" t="s">
        <v>56</v>
      </c>
      <c r="K325" s="236">
        <f>CHOOSE(m_identity,ENWL!K325, NPgN!K325, NPgY!K325, WMID!K325, EMID!K325, SWALES!K325, SWEST!K325, LPN!K325,SPN!K325,EPN!K325,SPD!K325,SPMW!K325,SSEH!K325,SSES!K325)</f>
        <v>33.299999999999997</v>
      </c>
      <c r="L325" s="236">
        <f>CHOOSE(m_identity,ENWL!L325, NPgN!L325, NPgY!L325, WMID!L325, EMID!L325, SWALES!L325, SWEST!L325, LPN!L325,SPN!L325,EPN!L325,SPD!L325,SPMW!L325,SSEH!L325,SSES!L325)</f>
        <v>33.299999999999997</v>
      </c>
      <c r="M325" s="236">
        <f>CHOOSE(m_identity,ENWL!M325, NPgN!M325, NPgY!M325, WMID!M325, EMID!M325, SWALES!M325, SWEST!M325, LPN!M325,SPN!M325,EPN!M325,SPD!M325,SPMW!M325,SSEH!M325,SSES!M325)</f>
        <v>33.299999999999997</v>
      </c>
      <c r="N325" s="236">
        <f>CHOOSE(m_identity,ENWL!N325, NPgN!N325, NPgY!N325, WMID!N325, EMID!N325, SWALES!N325, SWEST!N325, LPN!N325,SPN!N325,EPN!N325,SPD!N325,SPMW!N325,SSEH!N325,SSES!N325)</f>
        <v>33.299999999999997</v>
      </c>
      <c r="O325" s="236">
        <f>CHOOSE(m_identity,ENWL!O325, NPgN!O325, NPgY!O325, WMID!O325, EMID!O325, SWALES!O325, SWEST!O325, LPN!O325,SPN!O325,EPN!O325,SPD!O325,SPMW!O325,SSEH!O325,SSES!O325)</f>
        <v>33.299999999999997</v>
      </c>
      <c r="P325" s="236">
        <f>CHOOSE(m_identity,ENWL!P325, NPgN!P325, NPgY!P325, WMID!P325, EMID!P325, SWALES!P325, SWEST!P325, LPN!P325,SPN!P325,EPN!P325,SPD!P325,SPMW!P325,SSEH!P325,SSES!P325)</f>
        <v>33.299999999999997</v>
      </c>
      <c r="Q325" s="236">
        <f>CHOOSE(m_identity,ENWL!Q325, NPgN!Q325, NPgY!Q325, WMID!Q325, EMID!Q325, SWALES!Q325, SWEST!Q325, LPN!Q325,SPN!Q325,EPN!Q325,SPD!Q325,SPMW!Q325,SSEH!Q325,SSES!Q325)</f>
        <v>33.299999999999997</v>
      </c>
      <c r="R325" s="236">
        <f>CHOOSE(m_identity,ENWL!R325, NPgN!R325, NPgY!R325, WMID!R325, EMID!R325, SWALES!R325, SWEST!R325, LPN!R325,SPN!R325,EPN!R325,SPD!R325,SPMW!R325,SSEH!R325,SSES!R325)</f>
        <v>33.299999999999997</v>
      </c>
      <c r="S325" s="236">
        <f>CHOOSE(m_identity,ENWL!S325, NPgN!S325, NPgY!S325, WMID!S325, EMID!S325, SWALES!S325, SWEST!S325, LPN!S325,SPN!S325,EPN!S325,SPD!S325,SPMW!S325,SSEH!S325,SSES!S325)</f>
        <v>33.299999999999997</v>
      </c>
      <c r="T325" s="236">
        <f>CHOOSE(m_identity,ENWL!T325, NPgN!T325, NPgY!T325, WMID!T325, EMID!T325, SWALES!T325, SWEST!T325, LPN!T325,SPN!T325,EPN!T325,SPD!T325,SPMW!T325,SSEH!T325,SSES!T325)</f>
        <v>33.299999999999997</v>
      </c>
      <c r="U325" s="236">
        <f>CHOOSE(m_identity,ENWL!U325, NPgN!U325, NPgY!U325, WMID!U325, EMID!U325, SWALES!U325, SWEST!U325, LPN!U325,SPN!U325,EPN!U325,SPD!U325,SPMW!U325,SSEH!U325,SSES!U325)</f>
        <v>33.299999999999997</v>
      </c>
      <c r="V325" s="236">
        <f>CHOOSE(m_identity,ENWL!V325, NPgN!V325, NPgY!V325, WMID!V325, EMID!V325, SWALES!V325, SWEST!V325, LPN!V325,SPN!V325,EPN!V325,SPD!V325,SPMW!V325,SSEH!V325,SSES!V325)</f>
        <v>33.299999999999997</v>
      </c>
      <c r="W325" s="236">
        <f>CHOOSE(m_identity,ENWL!W325, NPgN!W325, NPgY!W325, WMID!W325, EMID!W325, SWALES!W325, SWEST!W325, LPN!W325,SPN!W325,EPN!W325,SPD!W325,SPMW!W325,SSEH!W325,SSES!W325)</f>
        <v>33.299999999999997</v>
      </c>
      <c r="X325" s="236">
        <f>CHOOSE(m_identity,ENWL!X325, NPgN!X325, NPgY!X325, WMID!X325, EMID!X325, SWALES!X325, SWEST!X325, LPN!X325,SPN!X325,EPN!X325,SPD!X325,SPMW!X325,SSEH!X325,SSES!X325)</f>
        <v>33.299999999999997</v>
      </c>
      <c r="Y325" s="236">
        <f>CHOOSE(m_identity,ENWL!Y325, NPgN!Y325, NPgY!Y325, WMID!Y325, EMID!Y325, SWALES!Y325, SWEST!Y325, LPN!Y325,SPN!Y325,EPN!Y325,SPD!Y325,SPMW!Y325,SSEH!Y325,SSES!Y325)</f>
        <v>33.299999999999997</v>
      </c>
      <c r="Z325" s="236">
        <f>CHOOSE(m_identity,ENWL!Z325, NPgN!Z325, NPgY!Z325, WMID!Z325, EMID!Z325, SWALES!Z325, SWEST!Z325, LPN!Z325,SPN!Z325,EPN!Z325,SPD!Z325,SPMW!Z325,SSEH!Z325,SSES!Z325)</f>
        <v>33.299999999999997</v>
      </c>
      <c r="AA325" s="236">
        <f>CHOOSE(m_identity,ENWL!AA325, NPgN!AA325, NPgY!AA325, WMID!AA325, EMID!AA325, SWALES!AA325, SWEST!AA325, LPN!AA325,SPN!AA325,EPN!AA325,SPD!AA325,SPMW!AA325,SSEH!AA325,SSES!AA325)</f>
        <v>33.299999999999997</v>
      </c>
      <c r="AB325" s="236">
        <f>CHOOSE(m_identity,ENWL!AB325, NPgN!AB325, NPgY!AB325, WMID!AB325, EMID!AB325, SWALES!AB325, SWEST!AB325, LPN!AB325,SPN!AB325,EPN!AB325,SPD!AB325,SPMW!AB325,SSEH!AB325,SSES!AB325)</f>
        <v>33.299999999999997</v>
      </c>
      <c r="AC325" s="236">
        <f>CHOOSE(m_identity,ENWL!AC325, NPgN!AC325, NPgY!AC325, WMID!AC325, EMID!AC325, SWALES!AC325, SWEST!AC325, LPN!AC325,SPN!AC325,EPN!AC325,SPD!AC325,SPMW!AC325,SSEH!AC325,SSES!AC325)</f>
        <v>33.299999999999997</v>
      </c>
      <c r="AD325" s="236">
        <f>CHOOSE(m_identity,ENWL!AD325, NPgN!AD325, NPgY!AD325, WMID!AD325, EMID!AD325, SWALES!AD325, SWEST!AD325, LPN!AD325,SPN!AD325,EPN!AD325,SPD!AD325,SPMW!AD325,SSEH!AD325,SSES!AD325)</f>
        <v>33.299999999999997</v>
      </c>
      <c r="AE325" s="236">
        <f>CHOOSE(m_identity,ENWL!AE325, NPgN!AE325, NPgY!AE325, WMID!AE325, EMID!AE325, SWALES!AE325, SWEST!AE325, LPN!AE325,SPN!AE325,EPN!AE325,SPD!AE325,SPMW!AE325,SSEH!AE325,SSES!AE325)</f>
        <v>33.299999999999997</v>
      </c>
      <c r="AF325" s="236">
        <f>CHOOSE(m_identity,ENWL!AF325, NPgN!AF325, NPgY!AF325, WMID!AF325, EMID!AF325, SWALES!AF325, SWEST!AF325, LPN!AF325,SPN!AF325,EPN!AF325,SPD!AF325,SPMW!AF325,SSEH!AF325,SSES!AF325)</f>
        <v>33.299999999999997</v>
      </c>
      <c r="AG325" s="236">
        <f>CHOOSE(m_identity,ENWL!AG325, NPgN!AG325, NPgY!AG325, WMID!AG325, EMID!AG325, SWALES!AG325, SWEST!AG325, LPN!AG325,SPN!AG325,EPN!AG325,SPD!AG325,SPMW!AG325,SSEH!AG325,SSES!AG325)</f>
        <v>33.299999999999997</v>
      </c>
      <c r="AH325" s="236">
        <f>CHOOSE(m_identity,ENWL!AH325, NPgN!AH325, NPgY!AH325, WMID!AH325, EMID!AH325, SWALES!AH325, SWEST!AH325, LPN!AH325,SPN!AH325,EPN!AH325,SPD!AH325,SPMW!AH325,SSEH!AH325,SSES!AH325)</f>
        <v>33.299999999999997</v>
      </c>
      <c r="AI325" s="236">
        <f>CHOOSE(m_identity,ENWL!AI325, NPgN!AI325, NPgY!AI325, WMID!AI325, EMID!AI325, SWALES!AI325, SWEST!AI325, LPN!AI325,SPN!AI325,EPN!AI325,SPD!AI325,SPMW!AI325,SSEH!AI325,SSES!AI325)</f>
        <v>33.299999999999997</v>
      </c>
      <c r="AJ325" s="236">
        <f>CHOOSE(m_identity,ENWL!AJ325, NPgN!AJ325, NPgY!AJ325, WMID!AJ325, EMID!AJ325, SWALES!AJ325, SWEST!AJ325, LPN!AJ325,SPN!AJ325,EPN!AJ325,SPD!AJ325,SPMW!AJ325,SSEH!AJ325,SSES!AJ325)</f>
        <v>23.125</v>
      </c>
      <c r="AK325" s="236">
        <f>CHOOSE(m_identity,ENWL!AK325, NPgN!AK325, NPgY!AK325, WMID!AK325, EMID!AK325, SWALES!AK325, SWEST!AK325, LPN!AK325,SPN!AK325,EPN!AK325,SPD!AK325,SPMW!AK325,SSEH!AK325,SSES!AK325)</f>
        <v>26.25</v>
      </c>
      <c r="AL325" s="236">
        <f>CHOOSE(m_identity,ENWL!AL325, NPgN!AL325, NPgY!AL325, WMID!AL325, EMID!AL325, SWALES!AL325, SWEST!AL325, LPN!AL325,SPN!AL325,EPN!AL325,SPD!AL325,SPMW!AL325,SSEH!AL325,SSES!AL325)</f>
        <v>29.375</v>
      </c>
      <c r="AM325" s="236">
        <f>CHOOSE(m_identity,ENWL!AM325, NPgN!AM325, NPgY!AM325, WMID!AM325, EMID!AM325, SWALES!AM325, SWEST!AM325, LPN!AM325,SPN!AM325,EPN!AM325,SPD!AM325,SPMW!AM325,SSEH!AM325,SSES!AM325)</f>
        <v>32.5</v>
      </c>
      <c r="AN325" s="236">
        <f>CHOOSE(m_identity,ENWL!AN325, NPgN!AN325, NPgY!AN325, WMID!AN325, EMID!AN325, SWALES!AN325, SWEST!AN325, LPN!AN325,SPN!AN325,EPN!AN325,SPD!AN325,SPMW!AN325,SSEH!AN325,SSES!AN325)</f>
        <v>35.625</v>
      </c>
      <c r="AO325" s="236">
        <f>CHOOSE(m_identity,ENWL!AO325, NPgN!AO325, NPgY!AO325, WMID!AO325, EMID!AO325, SWALES!AO325, SWEST!AO325, LPN!AO325,SPN!AO325,EPN!AO325,SPD!AO325,SPMW!AO325,SSEH!AO325,SSES!AO325)</f>
        <v>38.75</v>
      </c>
      <c r="AP325" s="236">
        <f>CHOOSE(m_identity,ENWL!AP325, NPgN!AP325, NPgY!AP325, WMID!AP325, EMID!AP325, SWALES!AP325, SWEST!AP325, LPN!AP325,SPN!AP325,EPN!AP325,SPD!AP325,SPMW!AP325,SSEH!AP325,SSES!AP325)</f>
        <v>41.875</v>
      </c>
      <c r="AQ325" s="236">
        <f>CHOOSE(m_identity,ENWL!AQ325, NPgN!AQ325, NPgY!AQ325, WMID!AQ325, EMID!AQ325, SWALES!AQ325, SWEST!AQ325, LPN!AQ325,SPN!AQ325,EPN!AQ325,SPD!AQ325,SPMW!AQ325,SSEH!AQ325,SSES!AQ325)</f>
        <v>45</v>
      </c>
    </row>
    <row r="326" spans="2:43" s="158" customFormat="1" ht="15" customHeight="1">
      <c r="E326" s="147" t="s">
        <v>657</v>
      </c>
      <c r="G326" s="147" t="s">
        <v>51</v>
      </c>
      <c r="J326" s="22" t="s">
        <v>56</v>
      </c>
      <c r="K326" s="327">
        <f>CHOOSE(m_identity,ENWL!K326, NPgN!K326, NPgY!K326, WMID!K326, EMID!K326, SWALES!K326, SWEST!K326, LPN!K326,SPN!K326,EPN!K326,SPD!K326,SPMW!K326,SSEH!K326,SSES!K326)</f>
        <v>20</v>
      </c>
      <c r="L326" s="236">
        <f>CHOOSE(m_identity,ENWL!L326, NPgN!L326, NPgY!L326, WMID!L326, EMID!L326, SWALES!L326, SWEST!L326, LPN!L326,SPN!L326,EPN!L326,SPD!L326,SPMW!L326,SSEH!L326,SSES!L326)</f>
        <v>20</v>
      </c>
      <c r="M326" s="236">
        <f>CHOOSE(m_identity,ENWL!M326, NPgN!M326, NPgY!M326, WMID!M326, EMID!M326, SWALES!M326, SWEST!M326, LPN!M326,SPN!M326,EPN!M326,SPD!M326,SPMW!M326,SSEH!M326,SSES!M326)</f>
        <v>20</v>
      </c>
      <c r="N326" s="236">
        <f>CHOOSE(m_identity,ENWL!N326, NPgN!N326, NPgY!N326, WMID!N326, EMID!N326, SWALES!N326, SWEST!N326, LPN!N326,SPN!N326,EPN!N326,SPD!N326,SPMW!N326,SSEH!N326,SSES!N326)</f>
        <v>20</v>
      </c>
      <c r="O326" s="236">
        <f>CHOOSE(m_identity,ENWL!O326, NPgN!O326, NPgY!O326, WMID!O326, EMID!O326, SWALES!O326, SWEST!O326, LPN!O326,SPN!O326,EPN!O326,SPD!O326,SPMW!O326,SSEH!O326,SSES!O326)</f>
        <v>20</v>
      </c>
      <c r="P326" s="236">
        <f>CHOOSE(m_identity,ENWL!P326, NPgN!P326, NPgY!P326, WMID!P326, EMID!P326, SWALES!P326, SWEST!P326, LPN!P326,SPN!P326,EPN!P326,SPD!P326,SPMW!P326,SSEH!P326,SSES!P326)</f>
        <v>20</v>
      </c>
      <c r="Q326" s="236">
        <f>CHOOSE(m_identity,ENWL!Q326, NPgN!Q326, NPgY!Q326, WMID!Q326, EMID!Q326, SWALES!Q326, SWEST!Q326, LPN!Q326,SPN!Q326,EPN!Q326,SPD!Q326,SPMW!Q326,SSEH!Q326,SSES!Q326)</f>
        <v>20</v>
      </c>
      <c r="R326" s="236">
        <f>CHOOSE(m_identity,ENWL!R326, NPgN!R326, NPgY!R326, WMID!R326, EMID!R326, SWALES!R326, SWEST!R326, LPN!R326,SPN!R326,EPN!R326,SPD!R326,SPMW!R326,SSEH!R326,SSES!R326)</f>
        <v>20</v>
      </c>
      <c r="S326" s="236">
        <f>CHOOSE(m_identity,ENWL!S326, NPgN!S326, NPgY!S326, WMID!S326, EMID!S326, SWALES!S326, SWEST!S326, LPN!S326,SPN!S326,EPN!S326,SPD!S326,SPMW!S326,SSEH!S326,SSES!S326)</f>
        <v>20</v>
      </c>
      <c r="T326" s="236">
        <f>CHOOSE(m_identity,ENWL!T326, NPgN!T326, NPgY!T326, WMID!T326, EMID!T326, SWALES!T326, SWEST!T326, LPN!T326,SPN!T326,EPN!T326,SPD!T326,SPMW!T326,SSEH!T326,SSES!T326)</f>
        <v>20</v>
      </c>
      <c r="U326" s="236">
        <f>CHOOSE(m_identity,ENWL!U326, NPgN!U326, NPgY!U326, WMID!U326, EMID!U326, SWALES!U326, SWEST!U326, LPN!U326,SPN!U326,EPN!U326,SPD!U326,SPMW!U326,SSEH!U326,SSES!U326)</f>
        <v>20</v>
      </c>
      <c r="V326" s="236">
        <f>CHOOSE(m_identity,ENWL!V326, NPgN!V326, NPgY!V326, WMID!V326, EMID!V326, SWALES!V326, SWEST!V326, LPN!V326,SPN!V326,EPN!V326,SPD!V326,SPMW!V326,SSEH!V326,SSES!V326)</f>
        <v>20</v>
      </c>
      <c r="W326" s="236">
        <f>CHOOSE(m_identity,ENWL!W326, NPgN!W326, NPgY!W326, WMID!W326, EMID!W326, SWALES!W326, SWEST!W326, LPN!W326,SPN!W326,EPN!W326,SPD!W326,SPMW!W326,SSEH!W326,SSES!W326)</f>
        <v>20</v>
      </c>
      <c r="X326" s="236">
        <f>CHOOSE(m_identity,ENWL!X326, NPgN!X326, NPgY!X326, WMID!X326, EMID!X326, SWALES!X326, SWEST!X326, LPN!X326,SPN!X326,EPN!X326,SPD!X326,SPMW!X326,SSEH!X326,SSES!X326)</f>
        <v>20</v>
      </c>
      <c r="Y326" s="236">
        <f>CHOOSE(m_identity,ENWL!Y326, NPgN!Y326, NPgY!Y326, WMID!Y326, EMID!Y326, SWALES!Y326, SWEST!Y326, LPN!Y326,SPN!Y326,EPN!Y326,SPD!Y326,SPMW!Y326,SSEH!Y326,SSES!Y326)</f>
        <v>20</v>
      </c>
      <c r="Z326" s="236">
        <f>CHOOSE(m_identity,ENWL!Z326, NPgN!Z326, NPgY!Z326, WMID!Z326, EMID!Z326, SWALES!Z326, SWEST!Z326, LPN!Z326,SPN!Z326,EPN!Z326,SPD!Z326,SPMW!Z326,SSEH!Z326,SSES!Z326)</f>
        <v>20</v>
      </c>
      <c r="AA326" s="236">
        <f>CHOOSE(m_identity,ENWL!AA326, NPgN!AA326, NPgY!AA326, WMID!AA326, EMID!AA326, SWALES!AA326, SWEST!AA326, LPN!AA326,SPN!AA326,EPN!AA326,SPD!AA326,SPMW!AA326,SSEH!AA326,SSES!AA326)</f>
        <v>20</v>
      </c>
      <c r="AB326" s="236">
        <f>CHOOSE(m_identity,ENWL!AB326, NPgN!AB326, NPgY!AB326, WMID!AB326, EMID!AB326, SWALES!AB326, SWEST!AB326, LPN!AB326,SPN!AB326,EPN!AB326,SPD!AB326,SPMW!AB326,SSEH!AB326,SSES!AB326)</f>
        <v>20</v>
      </c>
      <c r="AC326" s="236">
        <f>CHOOSE(m_identity,ENWL!AC326, NPgN!AC326, NPgY!AC326, WMID!AC326, EMID!AC326, SWALES!AC326, SWEST!AC326, LPN!AC326,SPN!AC326,EPN!AC326,SPD!AC326,SPMW!AC326,SSEH!AC326,SSES!AC326)</f>
        <v>20</v>
      </c>
      <c r="AD326" s="236">
        <f>CHOOSE(m_identity,ENWL!AD326, NPgN!AD326, NPgY!AD326, WMID!AD326, EMID!AD326, SWALES!AD326, SWEST!AD326, LPN!AD326,SPN!AD326,EPN!AD326,SPD!AD326,SPMW!AD326,SSEH!AD326,SSES!AD326)</f>
        <v>20</v>
      </c>
      <c r="AE326" s="236">
        <f>CHOOSE(m_identity,ENWL!AE326, NPgN!AE326, NPgY!AE326, WMID!AE326, EMID!AE326, SWALES!AE326, SWEST!AE326, LPN!AE326,SPN!AE326,EPN!AE326,SPD!AE326,SPMW!AE326,SSEH!AE326,SSES!AE326)</f>
        <v>20</v>
      </c>
      <c r="AF326" s="236">
        <f>CHOOSE(m_identity,ENWL!AF326, NPgN!AF326, NPgY!AF326, WMID!AF326, EMID!AF326, SWALES!AF326, SWEST!AF326, LPN!AF326,SPN!AF326,EPN!AF326,SPD!AF326,SPMW!AF326,SSEH!AF326,SSES!AF326)</f>
        <v>20</v>
      </c>
      <c r="AG326" s="236">
        <f>CHOOSE(m_identity,ENWL!AG326, NPgN!AG326, NPgY!AG326, WMID!AG326, EMID!AG326, SWALES!AG326, SWEST!AG326, LPN!AG326,SPN!AG326,EPN!AG326,SPD!AG326,SPMW!AG326,SSEH!AG326,SSES!AG326)</f>
        <v>20</v>
      </c>
      <c r="AH326" s="236">
        <f>CHOOSE(m_identity,ENWL!AH326, NPgN!AH326, NPgY!AH326, WMID!AH326, EMID!AH326, SWALES!AH326, SWEST!AH326, LPN!AH326,SPN!AH326,EPN!AH326,SPD!AH326,SPMW!AH326,SSEH!AH326,SSES!AH326)</f>
        <v>20</v>
      </c>
      <c r="AI326" s="327">
        <f>CHOOSE(m_identity,ENWL!AI326, NPgN!AI326, NPgY!AI326, WMID!AI326, EMID!AI326, SWALES!AI326, SWEST!AI326, LPN!AI326,SPN!AI326,EPN!AI326,SPD!AI326,SPMW!AI326,SSEH!AI326,SSES!AI326)</f>
        <v>20</v>
      </c>
      <c r="AJ326" s="236">
        <f>CHOOSE(m_identity,ENWL!AJ326, NPgN!AJ326, NPgY!AJ326, WMID!AJ326, EMID!AJ326, SWALES!AJ326, SWEST!AJ326, LPN!AJ326,SPN!AJ326,EPN!AJ326,SPD!AJ326,SPMW!AJ326,SSEH!AJ326,SSES!AJ326)</f>
        <v>23.125</v>
      </c>
      <c r="AK326" s="236">
        <f>CHOOSE(m_identity,ENWL!AK326, NPgN!AK326, NPgY!AK326, WMID!AK326, EMID!AK326, SWALES!AK326, SWEST!AK326, LPN!AK326,SPN!AK326,EPN!AK326,SPD!AK326,SPMW!AK326,SSEH!AK326,SSES!AK326)</f>
        <v>26.25</v>
      </c>
      <c r="AL326" s="236">
        <f>CHOOSE(m_identity,ENWL!AL326, NPgN!AL326, NPgY!AL326, WMID!AL326, EMID!AL326, SWALES!AL326, SWEST!AL326, LPN!AL326,SPN!AL326,EPN!AL326,SPD!AL326,SPMW!AL326,SSEH!AL326,SSES!AL326)</f>
        <v>29.375</v>
      </c>
      <c r="AM326" s="236">
        <f>CHOOSE(m_identity,ENWL!AM326, NPgN!AM326, NPgY!AM326, WMID!AM326, EMID!AM326, SWALES!AM326, SWEST!AM326, LPN!AM326,SPN!AM326,EPN!AM326,SPD!AM326,SPMW!AM326,SSEH!AM326,SSES!AM326)</f>
        <v>32.5</v>
      </c>
      <c r="AN326" s="236">
        <f>CHOOSE(m_identity,ENWL!AN326, NPgN!AN326, NPgY!AN326, WMID!AN326, EMID!AN326, SWALES!AN326, SWEST!AN326, LPN!AN326,SPN!AN326,EPN!AN326,SPD!AN326,SPMW!AN326,SSEH!AN326,SSES!AN326)</f>
        <v>35.625</v>
      </c>
      <c r="AO326" s="236">
        <f>CHOOSE(m_identity,ENWL!AO326, NPgN!AO326, NPgY!AO326, WMID!AO326, EMID!AO326, SWALES!AO326, SWEST!AO326, LPN!AO326,SPN!AO326,EPN!AO326,SPD!AO326,SPMW!AO326,SSEH!AO326,SSES!AO326)</f>
        <v>38.75</v>
      </c>
      <c r="AP326" s="236">
        <f>CHOOSE(m_identity,ENWL!AP326, NPgN!AP326, NPgY!AP326, WMID!AP326, EMID!AP326, SWALES!AP326, SWEST!AP326, LPN!AP326,SPN!AP326,EPN!AP326,SPD!AP326,SPMW!AP326,SSEH!AP326,SSES!AP326)</f>
        <v>41.875</v>
      </c>
      <c r="AQ326" s="236">
        <f>CHOOSE(m_identity,ENWL!AQ326, NPgN!AQ326, NPgY!AQ326, WMID!AQ326, EMID!AQ326, SWALES!AQ326, SWEST!AQ326, LPN!AQ326,SPN!AQ326,EPN!AQ326,SPD!AQ326,SPMW!AQ326,SSEH!AQ326,SSES!AQ326)</f>
        <v>45</v>
      </c>
    </row>
    <row r="327" spans="2:43" s="158" customFormat="1" ht="15" customHeight="1">
      <c r="E327" s="21" t="s">
        <v>658</v>
      </c>
      <c r="G327" s="158" t="s">
        <v>51</v>
      </c>
      <c r="I327" s="236">
        <f>CHOOSE(m_identity,ENWL!I327, NPgN!I327, NPgY!I327, WMID!I327, EMID!I327, SWALES!I327, SWEST!I327, LPN!I327,SPN!I327,EPN!I327,SPD!I327,SPMW!I327,SSEH!I327,SSES!I327)</f>
        <v>15</v>
      </c>
    </row>
    <row r="328" spans="2:43" s="156" customFormat="1" ht="15" customHeight="1">
      <c r="E328" s="13" t="s">
        <v>783</v>
      </c>
      <c r="G328" s="156" t="s">
        <v>241</v>
      </c>
      <c r="I328" s="328">
        <f>CHOOSE(m_identity,ENWL!I328, NPgN!I328, NPgY!I328, WMID!I328, EMID!I328, SWALES!I328, SWEST!I328, LPN!I328,SPN!I328,EPN!I328,SPD!I328,SPMW!I328,SSEH!I328,SSES!I328)</f>
        <v>33328</v>
      </c>
      <c r="AJ328" s="158"/>
      <c r="AK328" s="158"/>
      <c r="AL328" s="158"/>
      <c r="AM328" s="158"/>
      <c r="AN328" s="158"/>
      <c r="AO328" s="158"/>
      <c r="AP328" s="158"/>
      <c r="AQ328" s="158"/>
    </row>
    <row r="329" spans="2:43" s="158" customFormat="1" ht="15" customHeight="1">
      <c r="E329" s="147" t="s">
        <v>137</v>
      </c>
      <c r="F329" s="147"/>
      <c r="G329" s="158" t="s">
        <v>844</v>
      </c>
      <c r="H329" s="147"/>
      <c r="I329" s="147"/>
      <c r="J329" s="22" t="s">
        <v>56</v>
      </c>
      <c r="K329" s="236">
        <f>CHOOSE(m_identity,ENWL!K329, NPgN!K329, NPgY!K329, WMID!K329, EMID!K329, SWALES!K329, SWEST!K329, LPN!K329,SPN!K329,EPN!K329,SPD!K329,SPMW!K329,SSEH!K329,SSES!K329)</f>
        <v>21.107503804376339</v>
      </c>
      <c r="L329" s="236">
        <f>CHOOSE(m_identity,ENWL!L329, NPgN!L329, NPgY!L329, WMID!L329, EMID!L329, SWALES!L329, SWEST!L329, LPN!L329,SPN!L329,EPN!L329,SPD!L329,SPMW!L329,SSEH!L329,SSES!L329)</f>
        <v>79.191656609119988</v>
      </c>
      <c r="M329" s="236">
        <f>CHOOSE(m_identity,ENWL!M329, NPgN!M329, NPgY!M329, WMID!M329, EMID!M329, SWALES!M329, SWEST!M329, LPN!M329,SPN!M329,EPN!M329,SPD!M329,SPMW!M329,SSEH!M329,SSES!M329)</f>
        <v>79.191656609119988</v>
      </c>
      <c r="N329" s="236">
        <f>CHOOSE(m_identity,ENWL!N329, NPgN!N329, NPgY!N329, WMID!N329, EMID!N329, SWALES!N329, SWEST!N329, LPN!N329,SPN!N329,EPN!N329,SPD!N329,SPMW!N329,SSEH!N329,SSES!N329)</f>
        <v>88.435818859211835</v>
      </c>
      <c r="O329" s="236">
        <f>CHOOSE(m_identity,ENWL!O329, NPgN!O329, NPgY!O329, WMID!O329, EMID!O329, SWALES!O329, SWEST!O329, LPN!O329,SPN!O329,EPN!O329,SPD!O329,SPMW!O329,SSEH!O329,SSES!O329)</f>
        <v>64.092858267303342</v>
      </c>
      <c r="P329" s="236">
        <f>CHOOSE(m_identity,ENWL!P329, NPgN!P329, NPgY!P329, WMID!P329, EMID!P329, SWALES!P329, SWEST!P329, LPN!P329,SPN!P329,EPN!P329,SPD!P329,SPMW!P329,SSEH!P329,SSES!P329)</f>
        <v>49.148129296321557</v>
      </c>
      <c r="Q329" s="236">
        <f>CHOOSE(m_identity,ENWL!Q329, NPgN!Q329, NPgY!Q329, WMID!Q329, EMID!Q329, SWALES!Q329, SWEST!Q329, LPN!Q329,SPN!Q329,EPN!Q329,SPD!Q329,SPMW!Q329,SSEH!Q329,SSES!Q329)</f>
        <v>62.860303300624423</v>
      </c>
      <c r="R329" s="236">
        <f>CHOOSE(m_identity,ENWL!R329, NPgN!R329, NPgY!R329, WMID!R329, EMID!R329, SWALES!R329, SWEST!R329, LPN!R329,SPN!R329,EPN!R329,SPD!R329,SPMW!R329,SSEH!R329,SSES!R329)</f>
        <v>44.371978800440779</v>
      </c>
      <c r="S329" s="236">
        <f>CHOOSE(m_identity,ENWL!S329, NPgN!S329, NPgY!S329, WMID!S329, EMID!S329, SWALES!S329, SWEST!S329, LPN!S329,SPN!S329,EPN!S329,SPD!S329,SPMW!S329,SSEH!S329,SSES!S329)</f>
        <v>63.649615795633814</v>
      </c>
      <c r="T329" s="236">
        <f>CHOOSE(m_identity,ENWL!T329, NPgN!T329, NPgY!T329, WMID!T329, EMID!T329, SWALES!T329, SWEST!T329, LPN!T329,SPN!T329,EPN!T329,SPD!T329,SPMW!T329,SSEH!T329,SSES!T329)</f>
        <v>59.863375413285262</v>
      </c>
      <c r="U329" s="236">
        <f>CHOOSE(m_identity,ENWL!U329, NPgN!U329, NPgY!U329, WMID!U329, EMID!U329, SWALES!U329, SWEST!U329, LPN!U329,SPN!U329,EPN!U329,SPD!U329,SPMW!U329,SSEH!U329,SSES!U329)</f>
        <v>75.409125401303626</v>
      </c>
      <c r="V329" s="236">
        <f>CHOOSE(m_identity,ENWL!V329, NPgN!V329, NPgY!V329, WMID!V329, EMID!V329, SWALES!V329, SWEST!V329, LPN!V329,SPN!V329,EPN!V329,SPD!V329,SPMW!V329,SSEH!V329,SSES!V329)</f>
        <v>103.78739782668701</v>
      </c>
      <c r="W329" s="236">
        <f>CHOOSE(m_identity,ENWL!W329, NPgN!W329, NPgY!W329, WMID!W329, EMID!W329, SWALES!W329, SWEST!W329, LPN!W329,SPN!W329,EPN!W329,SPD!W329,SPMW!W329,SSEH!W329,SSES!W329)</f>
        <v>96.620140606251795</v>
      </c>
      <c r="X329" s="236">
        <f>CHOOSE(m_identity,ENWL!X329, NPgN!X329, NPgY!X329, WMID!X329, EMID!X329, SWALES!X329, SWEST!X329, LPN!X329,SPN!X329,EPN!X329,SPD!X329,SPMW!X329,SSEH!X329,SSES!X329)</f>
        <v>99.090190437046175</v>
      </c>
      <c r="Y329" s="236">
        <f>CHOOSE(m_identity,ENWL!Y329, NPgN!Y329, NPgY!Y329, WMID!Y329, EMID!Y329, SWALES!Y329, SWEST!Y329, LPN!Y329,SPN!Y329,EPN!Y329,SPD!Y329,SPMW!Y329,SSEH!Y329,SSES!Y329)</f>
        <v>106.75865775226399</v>
      </c>
      <c r="Z329" s="236">
        <f>CHOOSE(m_identity,ENWL!Z329, NPgN!Z329, NPgY!Z329, WMID!Z329, EMID!Z329, SWALES!Z329, SWEST!Z329, LPN!Z329,SPN!Z329,EPN!Z329,SPD!Z329,SPMW!Z329,SSEH!Z329,SSES!Z329)</f>
        <v>125.68988489878477</v>
      </c>
      <c r="AA329" s="236">
        <f>CHOOSE(m_identity,ENWL!AA329, NPgN!AA329, NPgY!AA329, WMID!AA329, EMID!AA329, SWALES!AA329, SWEST!AA329, LPN!AA329,SPN!AA329,EPN!AA329,SPD!AA329,SPMW!AA329,SSEH!AA329,SSES!AA329)</f>
        <v>99.791717315630706</v>
      </c>
      <c r="AB329" s="236">
        <f>CHOOSE(m_identity,ENWL!AB329, NPgN!AB329, NPgY!AB329, WMID!AB329, EMID!AB329, SWALES!AB329, SWEST!AB329, LPN!AB329,SPN!AB329,EPN!AB329,SPD!AB329,SPMW!AB329,SSEH!AB329,SSES!AB329)</f>
        <v>139.35065489182935</v>
      </c>
      <c r="AC329" s="236">
        <f>CHOOSE(m_identity,ENWL!AC329, NPgN!AC329, NPgY!AC329, WMID!AC329, EMID!AC329, SWALES!AC329, SWEST!AC329, LPN!AC329,SPN!AC329,EPN!AC329,SPD!AC329,SPMW!AC329,SSEH!AC329,SSES!AC329)</f>
        <v>165.06591526344377</v>
      </c>
      <c r="AD329" s="236">
        <f>CHOOSE(m_identity,ENWL!AD329, NPgN!AD329, NPgY!AD329, WMID!AD329, EMID!AD329, SWALES!AD329, SWEST!AD329, LPN!AD329,SPN!AD329,EPN!AD329,SPD!AD329,SPMW!AD329,SSEH!AD329,SSES!AD329)</f>
        <v>196.1644111927435</v>
      </c>
      <c r="AE329" s="236">
        <f>CHOOSE(m_identity,ENWL!AE329, NPgN!AE329, NPgY!AE329, WMID!AE329, EMID!AE329, SWALES!AE329, SWEST!AE329, LPN!AE329,SPN!AE329,EPN!AE329,SPD!AE329,SPMW!AE329,SSEH!AE329,SSES!AE329)</f>
        <v>181.68144275863403</v>
      </c>
      <c r="AF329" s="236">
        <f>CHOOSE(m_identity,ENWL!AF329, NPgN!AF329, NPgY!AF329, WMID!AF329, EMID!AF329, SWALES!AF329, SWEST!AF329, LPN!AF329,SPN!AF329,EPN!AF329,SPD!AF329,SPMW!AF329,SSEH!AF329,SSES!AF329)</f>
        <v>157.62844612449771</v>
      </c>
      <c r="AG329" s="236">
        <f>CHOOSE(m_identity,ENWL!AG329, NPgN!AG329, NPgY!AG329, WMID!AG329, EMID!AG329, SWALES!AG329, SWEST!AG329, LPN!AG329,SPN!AG329,EPN!AG329,SPD!AG329,SPMW!AG329,SSEH!AG329,SSES!AG329)</f>
        <v>154.3742917688794</v>
      </c>
      <c r="AH329" s="236">
        <f>CHOOSE(m_identity,ENWL!AH329, NPgN!AH329, NPgY!AH329, WMID!AH329, EMID!AH329, SWALES!AH329, SWEST!AH329, LPN!AH329,SPN!AH329,EPN!AH329,SPD!AH329,SPMW!AH329,SSEH!AH329,SSES!AH329)</f>
        <v>169.1468192161847</v>
      </c>
      <c r="AI329" s="236">
        <f>CHOOSE(m_identity,ENWL!AI329, NPgN!AI329, NPgY!AI329, WMID!AI329, EMID!AI329, SWALES!AI329, SWEST!AI329, LPN!AI329,SPN!AI329,EPN!AI329,SPD!AI329,SPMW!AI329,SSEH!AI329,SSES!AI329)</f>
        <v>181.50568328158491</v>
      </c>
      <c r="AJ329" s="151"/>
    </row>
    <row r="330" spans="2:43" s="158" customFormat="1" ht="15" customHeight="1">
      <c r="E330" s="147" t="str">
        <f>E33</f>
        <v xml:space="preserve">Other legacy adjustments' price control RAV additions adjustment                                                                                                                  </v>
      </c>
      <c r="F330" s="147"/>
      <c r="G330" s="158" t="s">
        <v>844</v>
      </c>
      <c r="H330" s="147"/>
      <c r="I330" s="147"/>
      <c r="J330" s="22"/>
      <c r="K330" s="236">
        <f>CHOOSE(m_identity,ENWL!K330, NPgN!K330, NPgY!K330, WMID!K330, EMID!K330, SWALES!K330, SWEST!K330, LPN!K330,SPN!K330,EPN!K330,SPD!K330,SPMW!K330,SSEH!K330,SSES!K330)</f>
        <v>0</v>
      </c>
      <c r="L330" s="236">
        <f>CHOOSE(m_identity,ENWL!L330, NPgN!L330, NPgY!L330, WMID!L330, EMID!L330, SWALES!L330, SWEST!L330, LPN!L330,SPN!L330,EPN!L330,SPD!L330,SPMW!L330,SSEH!L330,SSES!L330)</f>
        <v>0</v>
      </c>
      <c r="M330" s="236">
        <f>CHOOSE(m_identity,ENWL!M330, NPgN!M330, NPgY!M330, WMID!M330, EMID!M330, SWALES!M330, SWEST!M330, LPN!M330,SPN!M330,EPN!M330,SPD!M330,SPMW!M330,SSEH!M330,SSES!M330)</f>
        <v>0</v>
      </c>
      <c r="N330" s="236">
        <f>CHOOSE(m_identity,ENWL!N330, NPgN!N330, NPgY!N330, WMID!N330, EMID!N330, SWALES!N330, SWEST!N330, LPN!N330,SPN!N330,EPN!N330,SPD!N330,SPMW!N330,SSEH!N330,SSES!N330)</f>
        <v>0</v>
      </c>
      <c r="O330" s="236">
        <f>CHOOSE(m_identity,ENWL!O330, NPgN!O330, NPgY!O330, WMID!O330, EMID!O330, SWALES!O330, SWEST!O330, LPN!O330,SPN!O330,EPN!O330,SPD!O330,SPMW!O330,SSEH!O330,SSES!O330)</f>
        <v>0</v>
      </c>
      <c r="P330" s="236">
        <f>CHOOSE(m_identity,ENWL!P330, NPgN!P330, NPgY!P330, WMID!P330, EMID!P330, SWALES!P330, SWEST!P330, LPN!P330,SPN!P330,EPN!P330,SPD!P330,SPMW!P330,SSEH!P330,SSES!P330)</f>
        <v>0</v>
      </c>
      <c r="Q330" s="236">
        <f>CHOOSE(m_identity,ENWL!Q330, NPgN!Q330, NPgY!Q330, WMID!Q330, EMID!Q330, SWALES!Q330, SWEST!Q330, LPN!Q330,SPN!Q330,EPN!Q330,SPD!Q330,SPMW!Q330,SSEH!Q330,SSES!Q330)</f>
        <v>0</v>
      </c>
      <c r="R330" s="236">
        <f>CHOOSE(m_identity,ENWL!R330, NPgN!R330, NPgY!R330, WMID!R330, EMID!R330, SWALES!R330, SWEST!R330, LPN!R330,SPN!R330,EPN!R330,SPD!R330,SPMW!R330,SSEH!R330,SSES!R330)</f>
        <v>0</v>
      </c>
      <c r="S330" s="236">
        <f>CHOOSE(m_identity,ENWL!S330, NPgN!S330, NPgY!S330, WMID!S330, EMID!S330, SWALES!S330, SWEST!S330, LPN!S330,SPN!S330,EPN!S330,SPD!S330,SPMW!S330,SSEH!S330,SSES!S330)</f>
        <v>0</v>
      </c>
      <c r="T330" s="236">
        <f>CHOOSE(m_identity,ENWL!T330, NPgN!T330, NPgY!T330, WMID!T330, EMID!T330, SWALES!T330, SWEST!T330, LPN!T330,SPN!T330,EPN!T330,SPD!T330,SPMW!T330,SSEH!T330,SSES!T330)</f>
        <v>0</v>
      </c>
      <c r="U330" s="236">
        <f>CHOOSE(m_identity,ENWL!U330, NPgN!U330, NPgY!U330, WMID!U330, EMID!U330, SWALES!U330, SWEST!U330, LPN!U330,SPN!U330,EPN!U330,SPD!U330,SPMW!U330,SSEH!U330,SSES!U330)</f>
        <v>0</v>
      </c>
      <c r="V330" s="236">
        <f>CHOOSE(m_identity,ENWL!V330, NPgN!V330, NPgY!V330, WMID!V330, EMID!V330, SWALES!V330, SWEST!V330, LPN!V330,SPN!V330,EPN!V330,SPD!V330,SPMW!V330,SSEH!V330,SSES!V330)</f>
        <v>0</v>
      </c>
      <c r="W330" s="236">
        <f>CHOOSE(m_identity,ENWL!W330, NPgN!W330, NPgY!W330, WMID!W330, EMID!W330, SWALES!W330, SWEST!W330, LPN!W330,SPN!W330,EPN!W330,SPD!W330,SPMW!W330,SSEH!W330,SSES!W330)</f>
        <v>0</v>
      </c>
      <c r="X330" s="236">
        <f>CHOOSE(m_identity,ENWL!X330, NPgN!X330, NPgY!X330, WMID!X330, EMID!X330, SWALES!X330, SWEST!X330, LPN!X330,SPN!X330,EPN!X330,SPD!X330,SPMW!X330,SSEH!X330,SSES!X330)</f>
        <v>0</v>
      </c>
      <c r="Y330" s="236">
        <f>CHOOSE(m_identity,ENWL!Y330, NPgN!Y330, NPgY!Y330, WMID!Y330, EMID!Y330, SWALES!Y330, SWEST!Y330, LPN!Y330,SPN!Y330,EPN!Y330,SPD!Y330,SPMW!Y330,SSEH!Y330,SSES!Y330)</f>
        <v>0</v>
      </c>
      <c r="Z330" s="236">
        <f>CHOOSE(m_identity,ENWL!Z330, NPgN!Z330, NPgY!Z330, WMID!Z330, EMID!Z330, SWALES!Z330, SWEST!Z330, LPN!Z330,SPN!Z330,EPN!Z330,SPD!Z330,SPMW!Z330,SSEH!Z330,SSES!Z330)</f>
        <v>0</v>
      </c>
      <c r="AA330" s="236">
        <f>CHOOSE(m_identity,ENWL!AA330, NPgN!AA330, NPgY!AA330, WMID!AA330, EMID!AA330, SWALES!AA330, SWEST!AA330, LPN!AA330,SPN!AA330,EPN!AA330,SPD!AA330,SPMW!AA330,SSEH!AA330,SSES!AA330)</f>
        <v>0</v>
      </c>
      <c r="AB330" s="236">
        <f>CHOOSE(m_identity,ENWL!AB330, NPgN!AB330, NPgY!AB330, WMID!AB330, EMID!AB330, SWALES!AB330, SWEST!AB330, LPN!AB330,SPN!AB330,EPN!AB330,SPD!AB330,SPMW!AB330,SSEH!AB330,SSES!AB330)</f>
        <v>0</v>
      </c>
      <c r="AC330" s="236">
        <f>CHOOSE(m_identity,ENWL!AC330, NPgN!AC330, NPgY!AC330, WMID!AC330, EMID!AC330, SWALES!AC330, SWEST!AC330, LPN!AC330,SPN!AC330,EPN!AC330,SPD!AC330,SPMW!AC330,SSEH!AC330,SSES!AC330)</f>
        <v>0</v>
      </c>
      <c r="AD330" s="236">
        <f>CHOOSE(m_identity,ENWL!AD330, NPgN!AD330, NPgY!AD330, WMID!AD330, EMID!AD330, SWALES!AD330, SWEST!AD330, LPN!AD330,SPN!AD330,EPN!AD330,SPD!AD330,SPMW!AD330,SSEH!AD330,SSES!AD330)</f>
        <v>0</v>
      </c>
      <c r="AE330" s="236">
        <f>CHOOSE(m_identity,ENWL!AE330, NPgN!AE330, NPgY!AE330, WMID!AE330, EMID!AE330, SWALES!AE330, SWEST!AE330, LPN!AE330,SPN!AE330,EPN!AE330,SPD!AE330,SPMW!AE330,SSEH!AE330,SSES!AE330)</f>
        <v>0</v>
      </c>
      <c r="AF330" s="236">
        <f>CHOOSE(m_identity,ENWL!AF330, NPgN!AF330, NPgY!AF330, WMID!AF330, EMID!AF330, SWALES!AF330, SWEST!AF330, LPN!AF330,SPN!AF330,EPN!AF330,SPD!AF330,SPMW!AF330,SSEH!AF330,SSES!AF330)</f>
        <v>0</v>
      </c>
      <c r="AG330" s="236">
        <f>CHOOSE(m_identity,ENWL!AG330, NPgN!AG330, NPgY!AG330, WMID!AG330, EMID!AG330, SWALES!AG330, SWEST!AG330, LPN!AG330,SPN!AG330,EPN!AG330,SPD!AG330,SPMW!AG330,SSEH!AG330,SSES!AG330)</f>
        <v>0</v>
      </c>
      <c r="AH330" s="221">
        <f>AH33</f>
        <v>0</v>
      </c>
      <c r="AI330" s="221">
        <f>AI33</f>
        <v>0</v>
      </c>
      <c r="AJ330" s="151"/>
      <c r="AK330" s="151"/>
      <c r="AL330" s="151"/>
      <c r="AM330" s="151"/>
      <c r="AN330" s="151"/>
      <c r="AO330" s="151"/>
      <c r="AP330" s="151"/>
      <c r="AQ330" s="151"/>
    </row>
    <row r="331" spans="2:43" s="158" customFormat="1" ht="15" customHeight="1">
      <c r="E331" s="147" t="str">
        <f>E35</f>
        <v>RAV Rolling Incentive legacy adjustments' price control RAV additions adjustment</v>
      </c>
      <c r="F331" s="147"/>
      <c r="G331" s="158" t="s">
        <v>844</v>
      </c>
      <c r="H331" s="147"/>
      <c r="I331" s="147"/>
      <c r="J331" s="22"/>
      <c r="K331" s="236">
        <f>CHOOSE(m_identity,ENWL!K331, NPgN!K331, NPgY!K331, WMID!K331, EMID!K331, SWALES!K331, SWEST!K331, LPN!K331,SPN!K331,EPN!K331,SPD!K331,SPMW!K331,SSEH!K331,SSES!K331)</f>
        <v>0</v>
      </c>
      <c r="L331" s="236">
        <f>CHOOSE(m_identity,ENWL!L331, NPgN!L331, NPgY!L331, WMID!L331, EMID!L331, SWALES!L331, SWEST!L331, LPN!L331,SPN!L331,EPN!L331,SPD!L331,SPMW!L331,SSEH!L331,SSES!L331)</f>
        <v>0</v>
      </c>
      <c r="M331" s="236">
        <f>CHOOSE(m_identity,ENWL!M331, NPgN!M331, NPgY!M331, WMID!M331, EMID!M331, SWALES!M331, SWEST!M331, LPN!M331,SPN!M331,EPN!M331,SPD!M331,SPMW!M331,SSEH!M331,SSES!M331)</f>
        <v>0</v>
      </c>
      <c r="N331" s="236">
        <f>CHOOSE(m_identity,ENWL!N331, NPgN!N331, NPgY!N331, WMID!N331, EMID!N331, SWALES!N331, SWEST!N331, LPN!N331,SPN!N331,EPN!N331,SPD!N331,SPMW!N331,SSEH!N331,SSES!N331)</f>
        <v>0</v>
      </c>
      <c r="O331" s="236">
        <f>CHOOSE(m_identity,ENWL!O331, NPgN!O331, NPgY!O331, WMID!O331, EMID!O331, SWALES!O331, SWEST!O331, LPN!O331,SPN!O331,EPN!O331,SPD!O331,SPMW!O331,SSEH!O331,SSES!O331)</f>
        <v>0</v>
      </c>
      <c r="P331" s="236">
        <f>CHOOSE(m_identity,ENWL!P331, NPgN!P331, NPgY!P331, WMID!P331, EMID!P331, SWALES!P331, SWEST!P331, LPN!P331,SPN!P331,EPN!P331,SPD!P331,SPMW!P331,SSEH!P331,SSES!P331)</f>
        <v>0</v>
      </c>
      <c r="Q331" s="236">
        <f>CHOOSE(m_identity,ENWL!Q331, NPgN!Q331, NPgY!Q331, WMID!Q331, EMID!Q331, SWALES!Q331, SWEST!Q331, LPN!Q331,SPN!Q331,EPN!Q331,SPD!Q331,SPMW!Q331,SSEH!Q331,SSES!Q331)</f>
        <v>0</v>
      </c>
      <c r="R331" s="236">
        <f>CHOOSE(m_identity,ENWL!R331, NPgN!R331, NPgY!R331, WMID!R331, EMID!R331, SWALES!R331, SWEST!R331, LPN!R331,SPN!R331,EPN!R331,SPD!R331,SPMW!R331,SSEH!R331,SSES!R331)</f>
        <v>0</v>
      </c>
      <c r="S331" s="236">
        <f>CHOOSE(m_identity,ENWL!S331, NPgN!S331, NPgY!S331, WMID!S331, EMID!S331, SWALES!S331, SWEST!S331, LPN!S331,SPN!S331,EPN!S331,SPD!S331,SPMW!S331,SSEH!S331,SSES!S331)</f>
        <v>0</v>
      </c>
      <c r="T331" s="236">
        <f>CHOOSE(m_identity,ENWL!T331, NPgN!T331, NPgY!T331, WMID!T331, EMID!T331, SWALES!T331, SWEST!T331, LPN!T331,SPN!T331,EPN!T331,SPD!T331,SPMW!T331,SSEH!T331,SSES!T331)</f>
        <v>0</v>
      </c>
      <c r="U331" s="236">
        <f>CHOOSE(m_identity,ENWL!U331, NPgN!U331, NPgY!U331, WMID!U331, EMID!U331, SWALES!U331, SWEST!U331, LPN!U331,SPN!U331,EPN!U331,SPD!U331,SPMW!U331,SSEH!U331,SSES!U331)</f>
        <v>0</v>
      </c>
      <c r="V331" s="236">
        <f>CHOOSE(m_identity,ENWL!V331, NPgN!V331, NPgY!V331, WMID!V331, EMID!V331, SWALES!V331, SWEST!V331, LPN!V331,SPN!V331,EPN!V331,SPD!V331,SPMW!V331,SSEH!V331,SSES!V331)</f>
        <v>0</v>
      </c>
      <c r="W331" s="236">
        <f>CHOOSE(m_identity,ENWL!W331, NPgN!W331, NPgY!W331, WMID!W331, EMID!W331, SWALES!W331, SWEST!W331, LPN!W331,SPN!W331,EPN!W331,SPD!W331,SPMW!W331,SSEH!W331,SSES!W331)</f>
        <v>0</v>
      </c>
      <c r="X331" s="236">
        <f>CHOOSE(m_identity,ENWL!X331, NPgN!X331, NPgY!X331, WMID!X331, EMID!X331, SWALES!X331, SWEST!X331, LPN!X331,SPN!X331,EPN!X331,SPD!X331,SPMW!X331,SSEH!X331,SSES!X331)</f>
        <v>0</v>
      </c>
      <c r="Y331" s="236">
        <f>CHOOSE(m_identity,ENWL!Y331, NPgN!Y331, NPgY!Y331, WMID!Y331, EMID!Y331, SWALES!Y331, SWEST!Y331, LPN!Y331,SPN!Y331,EPN!Y331,SPD!Y331,SPMW!Y331,SSEH!Y331,SSES!Y331)</f>
        <v>0</v>
      </c>
      <c r="Z331" s="236">
        <f>CHOOSE(m_identity,ENWL!Z331, NPgN!Z331, NPgY!Z331, WMID!Z331, EMID!Z331, SWALES!Z331, SWEST!Z331, LPN!Z331,SPN!Z331,EPN!Z331,SPD!Z331,SPMW!Z331,SSEH!Z331,SSES!Z331)</f>
        <v>0</v>
      </c>
      <c r="AA331" s="236">
        <f>CHOOSE(m_identity,ENWL!AA331, NPgN!AA331, NPgY!AA331, WMID!AA331, EMID!AA331, SWALES!AA331, SWEST!AA331, LPN!AA331,SPN!AA331,EPN!AA331,SPD!AA331,SPMW!AA331,SSEH!AA331,SSES!AA331)</f>
        <v>0</v>
      </c>
      <c r="AB331" s="236">
        <f>CHOOSE(m_identity,ENWL!AB331, NPgN!AB331, NPgY!AB331, WMID!AB331, EMID!AB331, SWALES!AB331, SWEST!AB331, LPN!AB331,SPN!AB331,EPN!AB331,SPD!AB331,SPMW!AB331,SSEH!AB331,SSES!AB331)</f>
        <v>0</v>
      </c>
      <c r="AC331" s="236">
        <f>CHOOSE(m_identity,ENWL!AC331, NPgN!AC331, NPgY!AC331, WMID!AC331, EMID!AC331, SWALES!AC331, SWEST!AC331, LPN!AC331,SPN!AC331,EPN!AC331,SPD!AC331,SPMW!AC331,SSEH!AC331,SSES!AC331)</f>
        <v>0</v>
      </c>
      <c r="AD331" s="236">
        <f>CHOOSE(m_identity,ENWL!AD331, NPgN!AD331, NPgY!AD331, WMID!AD331, EMID!AD331, SWALES!AD331, SWEST!AD331, LPN!AD331,SPN!AD331,EPN!AD331,SPD!AD331,SPMW!AD331,SSEH!AD331,SSES!AD331)</f>
        <v>0</v>
      </c>
      <c r="AE331" s="236">
        <f>CHOOSE(m_identity,ENWL!AE331, NPgN!AE331, NPgY!AE331, WMID!AE331, EMID!AE331, SWALES!AE331, SWEST!AE331, LPN!AE331,SPN!AE331,EPN!AE331,SPD!AE331,SPMW!AE331,SSEH!AE331,SSES!AE331)</f>
        <v>0</v>
      </c>
      <c r="AF331" s="236">
        <f>CHOOSE(m_identity,ENWL!AF331, NPgN!AF331, NPgY!AF331, WMID!AF331, EMID!AF331, SWALES!AF331, SWEST!AF331, LPN!AF331,SPN!AF331,EPN!AF331,SPD!AF331,SPMW!AF331,SSEH!AF331,SSES!AF331)</f>
        <v>0</v>
      </c>
      <c r="AG331" s="236">
        <f>CHOOSE(m_identity,ENWL!AG331, NPgN!AG331, NPgY!AG331, WMID!AG331, EMID!AG331, SWALES!AG331, SWEST!AG331, LPN!AG331,SPN!AG331,EPN!AG331,SPD!AG331,SPMW!AG331,SSEH!AG331,SSES!AG331)</f>
        <v>0</v>
      </c>
      <c r="AH331" s="221">
        <f>AH35</f>
        <v>0</v>
      </c>
      <c r="AI331" s="221">
        <f>AI35</f>
        <v>0</v>
      </c>
      <c r="AJ331" s="151"/>
      <c r="AK331" s="151"/>
      <c r="AL331" s="151"/>
      <c r="AM331" s="151"/>
      <c r="AN331" s="151"/>
      <c r="AO331" s="151"/>
      <c r="AP331" s="151"/>
      <c r="AQ331" s="151"/>
    </row>
    <row r="332" spans="2:43" s="158" customFormat="1" ht="15" customHeight="1">
      <c r="E332" s="147" t="s">
        <v>552</v>
      </c>
      <c r="F332" s="147"/>
      <c r="G332" s="158" t="s">
        <v>844</v>
      </c>
      <c r="H332" s="147"/>
      <c r="I332" s="147"/>
      <c r="J332" s="22"/>
      <c r="AI332" s="151"/>
      <c r="AJ332" s="236">
        <f>CHOOSE(m_identity,ENWL!AJ332, NPgN!AJ332, NPgY!AJ332, WMID!AJ332, EMID!AJ332, SWALES!AJ332, SWEST!AJ332, LPN!AJ332,SPN!AJ332,EPN!AJ332,SPD!AJ332,SPMW!AJ332,SSEH!AJ332,SSES!AJ332)</f>
        <v>0</v>
      </c>
      <c r="AK332" s="236">
        <f>CHOOSE(m_identity,ENWL!AK332, NPgN!AK332, NPgY!AK332, WMID!AK332, EMID!AK332, SWALES!AK332, SWEST!AK332, LPN!AK332,SPN!AK332,EPN!AK332,SPD!AK332,SPMW!AK332,SSEH!AK332,SSES!AK332)</f>
        <v>0</v>
      </c>
      <c r="AL332" s="236">
        <f>CHOOSE(m_identity,ENWL!AL332, NPgN!AL332, NPgY!AL332, WMID!AL332, EMID!AL332, SWALES!AL332, SWEST!AL332, LPN!AL332,SPN!AL332,EPN!AL332,SPD!AL332,SPMW!AL332,SSEH!AL332,SSES!AL332)</f>
        <v>0</v>
      </c>
      <c r="AM332" s="236">
        <f>CHOOSE(m_identity,ENWL!AM332, NPgN!AM332, NPgY!AM332, WMID!AM332, EMID!AM332, SWALES!AM332, SWEST!AM332, LPN!AM332,SPN!AM332,EPN!AM332,SPD!AM332,SPMW!AM332,SSEH!AM332,SSES!AM332)</f>
        <v>0</v>
      </c>
      <c r="AN332" s="236">
        <f>CHOOSE(m_identity,ENWL!AN332, NPgN!AN332, NPgY!AN332, WMID!AN332, EMID!AN332, SWALES!AN332, SWEST!AN332, LPN!AN332,SPN!AN332,EPN!AN332,SPD!AN332,SPMW!AN332,SSEH!AN332,SSES!AN332)</f>
        <v>0</v>
      </c>
      <c r="AO332" s="236">
        <f>CHOOSE(m_identity,ENWL!AO332, NPgN!AO332, NPgY!AO332, WMID!AO332, EMID!AO332, SWALES!AO332, SWEST!AO332, LPN!AO332,SPN!AO332,EPN!AO332,SPD!AO332,SPMW!AO332,SSEH!AO332,SSES!AO332)</f>
        <v>0</v>
      </c>
      <c r="AP332" s="236">
        <f>CHOOSE(m_identity,ENWL!AP332, NPgN!AP332, NPgY!AP332, WMID!AP332, EMID!AP332, SWALES!AP332, SWEST!AP332, LPN!AP332,SPN!AP332,EPN!AP332,SPD!AP332,SPMW!AP332,SSEH!AP332,SSES!AP332)</f>
        <v>0</v>
      </c>
      <c r="AQ332" s="236">
        <f>CHOOSE(m_identity,ENWL!AQ332, NPgN!AQ332, NPgY!AQ332, WMID!AQ332, EMID!AQ332, SWALES!AQ332, SWEST!AQ332, LPN!AQ332,SPN!AQ332,EPN!AQ332,SPD!AQ332,SPMW!AQ332,SSEH!AQ332,SSES!AQ332)</f>
        <v>0</v>
      </c>
    </row>
    <row r="333" spans="2:43" s="158" customFormat="1" ht="15" customHeight="1">
      <c r="E333" s="147" t="s">
        <v>553</v>
      </c>
      <c r="F333" s="147"/>
      <c r="G333" s="158" t="s">
        <v>844</v>
      </c>
      <c r="H333" s="147"/>
      <c r="I333" s="147"/>
      <c r="J333" s="22"/>
      <c r="AI333" s="151"/>
      <c r="AJ333" s="236">
        <f>CHOOSE(m_identity,ENWL!AJ333, NPgN!AJ333, NPgY!AJ333, WMID!AJ333, EMID!AJ333, SWALES!AJ333, SWEST!AJ333, LPN!AJ333,SPN!AJ333,EPN!AJ333,SPD!AJ333,SPMW!AJ333,SSEH!AJ333,SSES!AJ333)</f>
        <v>0</v>
      </c>
      <c r="AK333" s="236">
        <f>CHOOSE(m_identity,ENWL!AK333, NPgN!AK333, NPgY!AK333, WMID!AK333, EMID!AK333, SWALES!AK333, SWEST!AK333, LPN!AK333,SPN!AK333,EPN!AK333,SPD!AK333,SPMW!AK333,SSEH!AK333,SSES!AK333)</f>
        <v>0</v>
      </c>
      <c r="AL333" s="236">
        <f>CHOOSE(m_identity,ENWL!AL333, NPgN!AL333, NPgY!AL333, WMID!AL333, EMID!AL333, SWALES!AL333, SWEST!AL333, LPN!AL333,SPN!AL333,EPN!AL333,SPD!AL333,SPMW!AL333,SSEH!AL333,SSES!AL333)</f>
        <v>0</v>
      </c>
      <c r="AM333" s="236">
        <f>CHOOSE(m_identity,ENWL!AM333, NPgN!AM333, NPgY!AM333, WMID!AM333, EMID!AM333, SWALES!AM333, SWEST!AM333, LPN!AM333,SPN!AM333,EPN!AM333,SPD!AM333,SPMW!AM333,SSEH!AM333,SSES!AM333)</f>
        <v>0</v>
      </c>
      <c r="AN333" s="236">
        <f>CHOOSE(m_identity,ENWL!AN333, NPgN!AN333, NPgY!AN333, WMID!AN333, EMID!AN333, SWALES!AN333, SWEST!AN333, LPN!AN333,SPN!AN333,EPN!AN333,SPD!AN333,SPMW!AN333,SSEH!AN333,SSES!AN333)</f>
        <v>0</v>
      </c>
      <c r="AO333" s="236">
        <f>CHOOSE(m_identity,ENWL!AO333, NPgN!AO333, NPgY!AO333, WMID!AO333, EMID!AO333, SWALES!AO333, SWEST!AO333, LPN!AO333,SPN!AO333,EPN!AO333,SPD!AO333,SPMW!AO333,SSEH!AO333,SSES!AO333)</f>
        <v>0</v>
      </c>
      <c r="AP333" s="236">
        <f>CHOOSE(m_identity,ENWL!AP333, NPgN!AP333, NPgY!AP333, WMID!AP333, EMID!AP333, SWALES!AP333, SWEST!AP333, LPN!AP333,SPN!AP333,EPN!AP333,SPD!AP333,SPMW!AP333,SSEH!AP333,SSES!AP333)</f>
        <v>0</v>
      </c>
      <c r="AQ333" s="236">
        <f>CHOOSE(m_identity,ENWL!AQ333, NPgN!AQ333, NPgY!AQ333, WMID!AQ333, EMID!AQ333, SWALES!AQ333, SWEST!AQ333, LPN!AQ333,SPN!AQ333,EPN!AQ333,SPD!AQ333,SPMW!AQ333,SSEH!AQ333,SSES!AQ333)</f>
        <v>0</v>
      </c>
    </row>
    <row r="334" spans="2:43" s="158" customFormat="1" ht="15" customHeight="1">
      <c r="E334" s="147" t="s">
        <v>432</v>
      </c>
      <c r="F334" s="147"/>
      <c r="G334" s="158" t="s">
        <v>844</v>
      </c>
      <c r="H334" s="147"/>
      <c r="I334" s="147"/>
      <c r="J334" s="22" t="s">
        <v>56</v>
      </c>
      <c r="K334" s="236">
        <f>CHOOSE(m_identity,ENWL!K334, NPgN!K334, NPgY!K334, WMID!K334, EMID!K334, SWALES!K334, SWEST!K334, LPN!K334,SPN!K334,EPN!K334,SPD!K334,SPMW!K334,SSEH!K334,SSES!K334)</f>
        <v>0</v>
      </c>
      <c r="L334" s="236">
        <f>CHOOSE(m_identity,ENWL!L334, NPgN!L334, NPgY!L334, WMID!L334, EMID!L334, SWALES!L334, SWEST!L334, LPN!L334,SPN!L334,EPN!L334,SPD!L334,SPMW!L334,SSEH!L334,SSES!L334)</f>
        <v>0</v>
      </c>
      <c r="M334" s="236">
        <f>CHOOSE(m_identity,ENWL!M334, NPgN!M334, NPgY!M334, WMID!M334, EMID!M334, SWALES!M334, SWEST!M334, LPN!M334,SPN!M334,EPN!M334,SPD!M334,SPMW!M334,SSEH!M334,SSES!M334)</f>
        <v>0</v>
      </c>
      <c r="N334" s="236">
        <f>CHOOSE(m_identity,ENWL!N334, NPgN!N334, NPgY!N334, WMID!N334, EMID!N334, SWALES!N334, SWEST!N334, LPN!N334,SPN!N334,EPN!N334,SPD!N334,SPMW!N334,SSEH!N334,SSES!N334)</f>
        <v>0</v>
      </c>
      <c r="O334" s="236">
        <f>CHOOSE(m_identity,ENWL!O334, NPgN!O334, NPgY!O334, WMID!O334, EMID!O334, SWALES!O334, SWEST!O334, LPN!O334,SPN!O334,EPN!O334,SPD!O334,SPMW!O334,SSEH!O334,SSES!O334)</f>
        <v>0</v>
      </c>
      <c r="P334" s="236">
        <f>CHOOSE(m_identity,ENWL!P334, NPgN!P334, NPgY!P334, WMID!P334, EMID!P334, SWALES!P334, SWEST!P334, LPN!P334,SPN!P334,EPN!P334,SPD!P334,SPMW!P334,SSEH!P334,SSES!P334)</f>
        <v>0</v>
      </c>
      <c r="Q334" s="236">
        <f>CHOOSE(m_identity,ENWL!Q334, NPgN!Q334, NPgY!Q334, WMID!Q334, EMID!Q334, SWALES!Q334, SWEST!Q334, LPN!Q334,SPN!Q334,EPN!Q334,SPD!Q334,SPMW!Q334,SSEH!Q334,SSES!Q334)</f>
        <v>0</v>
      </c>
      <c r="R334" s="236">
        <f>CHOOSE(m_identity,ENWL!R334, NPgN!R334, NPgY!R334, WMID!R334, EMID!R334, SWALES!R334, SWEST!R334, LPN!R334,SPN!R334,EPN!R334,SPD!R334,SPMW!R334,SSEH!R334,SSES!R334)</f>
        <v>0</v>
      </c>
      <c r="S334" s="236">
        <f>CHOOSE(m_identity,ENWL!S334, NPgN!S334, NPgY!S334, WMID!S334, EMID!S334, SWALES!S334, SWEST!S334, LPN!S334,SPN!S334,EPN!S334,SPD!S334,SPMW!S334,SSEH!S334,SSES!S334)</f>
        <v>0</v>
      </c>
      <c r="T334" s="236">
        <f>CHOOSE(m_identity,ENWL!T334, NPgN!T334, NPgY!T334, WMID!T334, EMID!T334, SWALES!T334, SWEST!T334, LPN!T334,SPN!T334,EPN!T334,SPD!T334,SPMW!T334,SSEH!T334,SSES!T334)</f>
        <v>0</v>
      </c>
      <c r="U334" s="236">
        <f>CHOOSE(m_identity,ENWL!U334, NPgN!U334, NPgY!U334, WMID!U334, EMID!U334, SWALES!U334, SWEST!U334, LPN!U334,SPN!U334,EPN!U334,SPD!U334,SPMW!U334,SSEH!U334,SSES!U334)</f>
        <v>0</v>
      </c>
      <c r="V334" s="236">
        <f>CHOOSE(m_identity,ENWL!V334, NPgN!V334, NPgY!V334, WMID!V334, EMID!V334, SWALES!V334, SWEST!V334, LPN!V334,SPN!V334,EPN!V334,SPD!V334,SPMW!V334,SSEH!V334,SSES!V334)</f>
        <v>0</v>
      </c>
      <c r="W334" s="236">
        <f>CHOOSE(m_identity,ENWL!W334, NPgN!W334, NPgY!W334, WMID!W334, EMID!W334, SWALES!W334, SWEST!W334, LPN!W334,SPN!W334,EPN!W334,SPD!W334,SPMW!W334,SSEH!W334,SSES!W334)</f>
        <v>0</v>
      </c>
      <c r="X334" s="236">
        <f>CHOOSE(m_identity,ENWL!X334, NPgN!X334, NPgY!X334, WMID!X334, EMID!X334, SWALES!X334, SWEST!X334, LPN!X334,SPN!X334,EPN!X334,SPD!X334,SPMW!X334,SSEH!X334,SSES!X334)</f>
        <v>0</v>
      </c>
      <c r="Y334" s="236">
        <f>CHOOSE(m_identity,ENWL!Y334, NPgN!Y334, NPgY!Y334, WMID!Y334, EMID!Y334, SWALES!Y334, SWEST!Y334, LPN!Y334,SPN!Y334,EPN!Y334,SPD!Y334,SPMW!Y334,SSEH!Y334,SSES!Y334)</f>
        <v>0</v>
      </c>
      <c r="Z334" s="236">
        <f>CHOOSE(m_identity,ENWL!Z334, NPgN!Z334, NPgY!Z334, WMID!Z334, EMID!Z334, SWALES!Z334, SWEST!Z334, LPN!Z334,SPN!Z334,EPN!Z334,SPD!Z334,SPMW!Z334,SSEH!Z334,SSES!Z334)</f>
        <v>0</v>
      </c>
      <c r="AA334" s="236">
        <f>CHOOSE(m_identity,ENWL!AA334, NPgN!AA334, NPgY!AA334, WMID!AA334, EMID!AA334, SWALES!AA334, SWEST!AA334, LPN!AA334,SPN!AA334,EPN!AA334,SPD!AA334,SPMW!AA334,SSEH!AA334,SSES!AA334)</f>
        <v>0</v>
      </c>
      <c r="AB334" s="236">
        <f>CHOOSE(m_identity,ENWL!AB334, NPgN!AB334, NPgY!AB334, WMID!AB334, EMID!AB334, SWALES!AB334, SWEST!AB334, LPN!AB334,SPN!AB334,EPN!AB334,SPD!AB334,SPMW!AB334,SSEH!AB334,SSES!AB334)</f>
        <v>0</v>
      </c>
      <c r="AC334" s="236">
        <f>CHOOSE(m_identity,ENWL!AC334, NPgN!AC334, NPgY!AC334, WMID!AC334, EMID!AC334, SWALES!AC334, SWEST!AC334, LPN!AC334,SPN!AC334,EPN!AC334,SPD!AC334,SPMW!AC334,SSEH!AC334,SSES!AC334)</f>
        <v>0</v>
      </c>
      <c r="AD334" s="236">
        <f>CHOOSE(m_identity,ENWL!AD334, NPgN!AD334, NPgY!AD334, WMID!AD334, EMID!AD334, SWALES!AD334, SWEST!AD334, LPN!AD334,SPN!AD334,EPN!AD334,SPD!AD334,SPMW!AD334,SSEH!AD334,SSES!AD334)</f>
        <v>0</v>
      </c>
      <c r="AE334" s="236">
        <f>CHOOSE(m_identity,ENWL!AE334, NPgN!AE334, NPgY!AE334, WMID!AE334, EMID!AE334, SWALES!AE334, SWEST!AE334, LPN!AE334,SPN!AE334,EPN!AE334,SPD!AE334,SPMW!AE334,SSEH!AE334,SSES!AE334)</f>
        <v>0</v>
      </c>
      <c r="AF334" s="236">
        <f>CHOOSE(m_identity,ENWL!AF334, NPgN!AF334, NPgY!AF334, WMID!AF334, EMID!AF334, SWALES!AF334, SWEST!AF334, LPN!AF334,SPN!AF334,EPN!AF334,SPD!AF334,SPMW!AF334,SSEH!AF334,SSES!AF334)</f>
        <v>0</v>
      </c>
      <c r="AG334" s="236">
        <f>CHOOSE(m_identity,ENWL!AG334, NPgN!AG334, NPgY!AG334, WMID!AG334, EMID!AG334, SWALES!AG334, SWEST!AG334, LPN!AG334,SPN!AG334,EPN!AG334,SPD!AG334,SPMW!AG334,SSEH!AG334,SSES!AG334)</f>
        <v>0</v>
      </c>
      <c r="AH334" s="236">
        <f>CHOOSE(m_identity,ENWL!AH334, NPgN!AH334, NPgY!AH334, WMID!AH334, EMID!AH334, SWALES!AH334, SWEST!AH334, LPN!AH334,SPN!AH334,EPN!AH334,SPD!AH334,SPMW!AH334,SSEH!AH334,SSES!AH334)</f>
        <v>0</v>
      </c>
      <c r="AI334" s="236">
        <f>CHOOSE(m_identity,ENWL!AI334, NPgN!AI334, NPgY!AI334, WMID!AI334, EMID!AI334, SWALES!AI334, SWEST!AI334, LPN!AI334,SPN!AI334,EPN!AI334,SPD!AI334,SPMW!AI334,SSEH!AI334,SSES!AI334)</f>
        <v>0</v>
      </c>
      <c r="AJ334" s="151"/>
    </row>
    <row r="335" spans="2:43" s="158" customFormat="1" ht="15" customHeight="1"/>
    <row r="336" spans="2:43" s="12" customFormat="1" ht="15" customHeight="1">
      <c r="B336" s="15" t="s">
        <v>8</v>
      </c>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c r="AA336" s="15"/>
      <c r="AB336" s="15"/>
      <c r="AC336" s="15"/>
      <c r="AD336" s="15"/>
      <c r="AE336" s="15"/>
      <c r="AF336" s="15"/>
      <c r="AG336" s="15"/>
      <c r="AH336" s="15"/>
      <c r="AI336" s="15"/>
      <c r="AJ336" s="15"/>
      <c r="AK336" s="15"/>
      <c r="AL336" s="15"/>
      <c r="AM336" s="15"/>
      <c r="AN336" s="15"/>
      <c r="AO336" s="15"/>
      <c r="AP336" s="15"/>
      <c r="AQ336" s="15"/>
    </row>
    <row r="337" spans="2:44" s="44" customFormat="1" ht="15" customHeight="1">
      <c r="E337" s="3"/>
      <c r="F337" s="3"/>
      <c r="G337" s="3"/>
      <c r="H337" s="3"/>
      <c r="I337" s="3"/>
      <c r="J337" s="33"/>
      <c r="K337" s="33"/>
      <c r="L337" s="33"/>
      <c r="M337" s="33"/>
      <c r="N337" s="33"/>
      <c r="O337" s="33"/>
      <c r="P337" s="33"/>
      <c r="Q337" s="33"/>
      <c r="R337" s="33"/>
      <c r="S337" s="33"/>
      <c r="T337" s="33"/>
      <c r="U337" s="33"/>
      <c r="V337" s="33"/>
      <c r="W337" s="33"/>
      <c r="X337" s="33"/>
      <c r="Y337" s="33"/>
      <c r="Z337" s="33"/>
      <c r="AL337" s="102"/>
      <c r="AM337" s="85"/>
      <c r="AN337" s="103"/>
      <c r="AO337" s="103"/>
      <c r="AP337" s="103"/>
      <c r="AQ337" s="103"/>
    </row>
    <row r="338" spans="2:44" s="158" customFormat="1" ht="15" customHeight="1">
      <c r="C338" s="160" t="s">
        <v>211</v>
      </c>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c r="AA338" s="160"/>
      <c r="AB338" s="160"/>
      <c r="AC338" s="160"/>
      <c r="AD338" s="160"/>
      <c r="AE338" s="160"/>
      <c r="AF338" s="160"/>
      <c r="AG338" s="160"/>
      <c r="AH338" s="160"/>
      <c r="AI338" s="160"/>
      <c r="AJ338" s="160"/>
      <c r="AK338" s="160"/>
      <c r="AL338" s="160"/>
      <c r="AM338" s="160"/>
      <c r="AN338" s="160"/>
      <c r="AO338" s="160"/>
      <c r="AP338" s="160"/>
      <c r="AQ338" s="160"/>
    </row>
    <row r="339" spans="2:44" s="158" customFormat="1" ht="15" customHeight="1"/>
    <row r="340" spans="2:44" s="158" customFormat="1" ht="15" customHeight="1">
      <c r="E340" s="158" t="str">
        <f>E36</f>
        <v>Tax liability revenue allowance adjustments - gearing / debt interest costs</v>
      </c>
      <c r="G340" s="195" t="s">
        <v>27</v>
      </c>
      <c r="AJ340" s="221">
        <f t="shared" ref="AJ340:AQ341" si="136">AJ36</f>
        <v>0</v>
      </c>
      <c r="AK340" s="221">
        <f t="shared" si="136"/>
        <v>0</v>
      </c>
      <c r="AL340" s="221">
        <f t="shared" si="136"/>
        <v>0</v>
      </c>
      <c r="AM340" s="221">
        <f t="shared" si="136"/>
        <v>0</v>
      </c>
      <c r="AN340" s="221">
        <f t="shared" si="136"/>
        <v>0</v>
      </c>
      <c r="AO340" s="221">
        <f t="shared" si="136"/>
        <v>0</v>
      </c>
      <c r="AP340" s="221">
        <f t="shared" si="136"/>
        <v>0</v>
      </c>
      <c r="AQ340" s="221">
        <f t="shared" si="136"/>
        <v>0</v>
      </c>
    </row>
    <row r="341" spans="2:44" s="158" customFormat="1" ht="15" customHeight="1">
      <c r="E341" s="158" t="str">
        <f>E37</f>
        <v xml:space="preserve">Tax liability revenue allowance adjustments in respect of tax trigger events                                                       </v>
      </c>
      <c r="G341" s="158" t="s">
        <v>844</v>
      </c>
      <c r="AJ341" s="221">
        <f t="shared" si="136"/>
        <v>0</v>
      </c>
      <c r="AK341" s="221">
        <f t="shared" si="136"/>
        <v>0</v>
      </c>
      <c r="AL341" s="221">
        <f t="shared" si="136"/>
        <v>0</v>
      </c>
      <c r="AM341" s="221">
        <f t="shared" si="136"/>
        <v>0</v>
      </c>
      <c r="AN341" s="221">
        <f t="shared" si="136"/>
        <v>0</v>
      </c>
      <c r="AO341" s="221">
        <f t="shared" si="136"/>
        <v>0</v>
      </c>
      <c r="AP341" s="221">
        <f t="shared" si="136"/>
        <v>0</v>
      </c>
      <c r="AQ341" s="221">
        <f t="shared" si="136"/>
        <v>0</v>
      </c>
    </row>
    <row r="342" spans="2:44" s="158" customFormat="1" ht="15" customHeight="1"/>
    <row r="343" spans="2:44" s="12" customFormat="1" ht="15" customHeight="1">
      <c r="E343" s="3" t="s">
        <v>85</v>
      </c>
      <c r="G343" s="3" t="s">
        <v>49</v>
      </c>
      <c r="I343" s="11"/>
      <c r="J343" s="22" t="s">
        <v>56</v>
      </c>
      <c r="M343" s="151"/>
      <c r="N343" s="151"/>
      <c r="X343" s="151"/>
      <c r="Y343" s="151"/>
      <c r="Z343" s="151"/>
      <c r="AA343" s="151"/>
      <c r="AB343" s="151"/>
      <c r="AC343" s="151"/>
      <c r="AD343" s="151"/>
      <c r="AE343" s="151"/>
      <c r="AF343" s="151"/>
      <c r="AG343" s="151"/>
      <c r="AH343" s="151"/>
      <c r="AI343" s="158"/>
      <c r="AJ343" s="329">
        <f>CHOOSE(m_identity,ENWL!AJ343, NPgN!AJ343, NPgY!AJ343, WMID!AJ343, EMID!AJ343, SWALES!AJ343, SWEST!AJ343, LPN!AJ343,SPN!AJ343,EPN!AJ343,SPD!AJ343,SPMW!AJ343,SSEH!AJ343,SSES!AJ343)</f>
        <v>0.2</v>
      </c>
      <c r="AK343" s="329">
        <f>CHOOSE(m_identity,ENWL!AK343, NPgN!AK343, NPgY!AK343, WMID!AK343, EMID!AK343, SWALES!AK343, SWEST!AK343, LPN!AK343,SPN!AK343,EPN!AK343,SPD!AK343,SPMW!AK343,SSEH!AK343,SSES!AK343)</f>
        <v>0.2</v>
      </c>
      <c r="AL343" s="329">
        <f>CHOOSE(m_identity,ENWL!AL343, NPgN!AL343, NPgY!AL343, WMID!AL343, EMID!AL343, SWALES!AL343, SWEST!AL343, LPN!AL343,SPN!AL343,EPN!AL343,SPD!AL343,SPMW!AL343,SSEH!AL343,SSES!AL343)</f>
        <v>0.2</v>
      </c>
      <c r="AM343" s="329">
        <f>CHOOSE(m_identity,ENWL!AM343, NPgN!AM343, NPgY!AM343, WMID!AM343, EMID!AM343, SWALES!AM343, SWEST!AM343, LPN!AM343,SPN!AM343,EPN!AM343,SPD!AM343,SPMW!AM343,SSEH!AM343,SSES!AM343)</f>
        <v>0.2</v>
      </c>
      <c r="AN343" s="329">
        <f>CHOOSE(m_identity,ENWL!AN343, NPgN!AN343, NPgY!AN343, WMID!AN343, EMID!AN343, SWALES!AN343, SWEST!AN343, LPN!AN343,SPN!AN343,EPN!AN343,SPD!AN343,SPMW!AN343,SSEH!AN343,SSES!AN343)</f>
        <v>0.2</v>
      </c>
      <c r="AO343" s="329">
        <f>CHOOSE(m_identity,ENWL!AO343, NPgN!AO343, NPgY!AO343, WMID!AO343, EMID!AO343, SWALES!AO343, SWEST!AO343, LPN!AO343,SPN!AO343,EPN!AO343,SPD!AO343,SPMW!AO343,SSEH!AO343,SSES!AO343)</f>
        <v>0.2</v>
      </c>
      <c r="AP343" s="329">
        <f>CHOOSE(m_identity,ENWL!AP343, NPgN!AP343, NPgY!AP343, WMID!AP343, EMID!AP343, SWALES!AP343, SWEST!AP343, LPN!AP343,SPN!AP343,EPN!AP343,SPD!AP343,SPMW!AP343,SSEH!AP343,SSES!AP343)</f>
        <v>0.2</v>
      </c>
      <c r="AQ343" s="329">
        <f>CHOOSE(m_identity,ENWL!AQ343, NPgN!AQ343, NPgY!AQ343, WMID!AQ343, EMID!AQ343, SWALES!AQ343, SWEST!AQ343, LPN!AQ343,SPN!AQ343,EPN!AQ343,SPD!AQ343,SPMW!AQ343,SSEH!AQ343,SSES!AQ343)</f>
        <v>0.2</v>
      </c>
    </row>
    <row r="344" spans="2:44" ht="15" customHeight="1">
      <c r="X344" s="158"/>
      <c r="Y344" s="158"/>
      <c r="Z344" s="158"/>
      <c r="AA344" s="158"/>
      <c r="AB344" s="158"/>
      <c r="AC344" s="158"/>
      <c r="AD344" s="158"/>
      <c r="AE344" s="158"/>
      <c r="AF344" s="158"/>
      <c r="AG344" s="158"/>
      <c r="AH344" s="158"/>
      <c r="AI344" s="158"/>
      <c r="AJ344" s="330"/>
      <c r="AK344" s="330"/>
      <c r="AL344" s="330"/>
      <c r="AM344" s="330"/>
      <c r="AN344" s="330"/>
      <c r="AO344" s="330"/>
      <c r="AP344" s="330"/>
      <c r="AQ344" s="330"/>
    </row>
    <row r="345" spans="2:44" s="44" customFormat="1" ht="15" customHeight="1">
      <c r="E345" s="157" t="s">
        <v>483</v>
      </c>
      <c r="F345" s="3"/>
      <c r="G345" s="3" t="s">
        <v>49</v>
      </c>
      <c r="H345" s="3"/>
      <c r="I345" s="3"/>
      <c r="J345" s="45" t="s">
        <v>56</v>
      </c>
      <c r="K345" s="3"/>
      <c r="L345" s="3"/>
      <c r="M345" s="157"/>
      <c r="N345" s="157"/>
      <c r="O345" s="3"/>
      <c r="P345" s="3"/>
      <c r="Q345" s="3"/>
      <c r="R345" s="3"/>
      <c r="S345" s="3"/>
      <c r="T345" s="3"/>
      <c r="U345" s="3"/>
      <c r="V345" s="3"/>
      <c r="W345" s="3"/>
      <c r="X345" s="157"/>
      <c r="Y345" s="157"/>
      <c r="Z345" s="157"/>
      <c r="AA345" s="157"/>
      <c r="AB345" s="157"/>
      <c r="AC345" s="157"/>
      <c r="AD345" s="157"/>
      <c r="AE345" s="157"/>
      <c r="AF345" s="157"/>
      <c r="AG345" s="157"/>
      <c r="AH345" s="157"/>
      <c r="AI345" s="158"/>
      <c r="AJ345" s="329">
        <f>CHOOSE(m_identity,ENWL!AJ345, NPgN!AJ345, NPgY!AJ345, WMID!AJ345, EMID!AJ345, SWALES!AJ345, SWEST!AJ345, LPN!AJ345,SPN!AJ345,EPN!AJ345,SPD!AJ345,SPMW!AJ345,SSEH!AJ345,SSES!AJ345)</f>
        <v>0.18000000000000002</v>
      </c>
      <c r="AK345" s="329">
        <f>CHOOSE(m_identity,ENWL!AK345, NPgN!AK345, NPgY!AK345, WMID!AK345, EMID!AK345, SWALES!AK345, SWEST!AK345, LPN!AK345,SPN!AK345,EPN!AK345,SPD!AK345,SPMW!AK345,SSEH!AK345,SSES!AK345)</f>
        <v>0.18000000000000002</v>
      </c>
      <c r="AL345" s="329">
        <f>CHOOSE(m_identity,ENWL!AL345, NPgN!AL345, NPgY!AL345, WMID!AL345, EMID!AL345, SWALES!AL345, SWEST!AL345, LPN!AL345,SPN!AL345,EPN!AL345,SPD!AL345,SPMW!AL345,SSEH!AL345,SSES!AL345)</f>
        <v>0.18000000000000002</v>
      </c>
      <c r="AM345" s="329">
        <f>CHOOSE(m_identity,ENWL!AM345, NPgN!AM345, NPgY!AM345, WMID!AM345, EMID!AM345, SWALES!AM345, SWEST!AM345, LPN!AM345,SPN!AM345,EPN!AM345,SPD!AM345,SPMW!AM345,SSEH!AM345,SSES!AM345)</f>
        <v>0.18000000000000002</v>
      </c>
      <c r="AN345" s="329">
        <f>CHOOSE(m_identity,ENWL!AN345, NPgN!AN345, NPgY!AN345, WMID!AN345, EMID!AN345, SWALES!AN345, SWEST!AN345, LPN!AN345,SPN!AN345,EPN!AN345,SPD!AN345,SPMW!AN345,SSEH!AN345,SSES!AN345)</f>
        <v>0.18000000000000002</v>
      </c>
      <c r="AO345" s="329">
        <f>CHOOSE(m_identity,ENWL!AO345, NPgN!AO345, NPgY!AO345, WMID!AO345, EMID!AO345, SWALES!AO345, SWEST!AO345, LPN!AO345,SPN!AO345,EPN!AO345,SPD!AO345,SPMW!AO345,SSEH!AO345,SSES!AO345)</f>
        <v>0.18000000000000002</v>
      </c>
      <c r="AP345" s="329">
        <f>CHOOSE(m_identity,ENWL!AP345, NPgN!AP345, NPgY!AP345, WMID!AP345, EMID!AP345, SWALES!AP345, SWEST!AP345, LPN!AP345,SPN!AP345,EPN!AP345,SPD!AP345,SPMW!AP345,SSEH!AP345,SSES!AP345)</f>
        <v>0.18000000000000002</v>
      </c>
      <c r="AQ345" s="329">
        <f>CHOOSE(m_identity,ENWL!AQ345, NPgN!AQ345, NPgY!AQ345, WMID!AQ345, EMID!AQ345, SWALES!AQ345, SWEST!AQ345, LPN!AQ345,SPN!AQ345,EPN!AQ345,SPD!AQ345,SPMW!AQ345,SSEH!AQ345,SSES!AQ345)</f>
        <v>0.18000000000000002</v>
      </c>
    </row>
    <row r="346" spans="2:44" s="44" customFormat="1" ht="15" customHeight="1">
      <c r="E346" s="157" t="s">
        <v>477</v>
      </c>
      <c r="F346" s="3"/>
      <c r="G346" s="3" t="s">
        <v>49</v>
      </c>
      <c r="H346" s="3"/>
      <c r="I346" s="3"/>
      <c r="J346" s="45" t="s">
        <v>56</v>
      </c>
      <c r="M346" s="156"/>
      <c r="N346" s="156"/>
      <c r="X346" s="156"/>
      <c r="Y346" s="156"/>
      <c r="Z346" s="156"/>
      <c r="AA346" s="156"/>
      <c r="AB346" s="156"/>
      <c r="AC346" s="156"/>
      <c r="AD346" s="156"/>
      <c r="AE346" s="156"/>
      <c r="AF346" s="156"/>
      <c r="AG346" s="156"/>
      <c r="AH346" s="156"/>
      <c r="AI346" s="158"/>
      <c r="AJ346" s="329">
        <f>CHOOSE(m_identity,ENWL!AJ346, NPgN!AJ346, NPgY!AJ346, WMID!AJ346, EMID!AJ346, SWALES!AJ346, SWEST!AJ346, LPN!AJ346,SPN!AJ346,EPN!AJ346,SPD!AJ346,SPMW!AJ346,SSEH!AJ346,SSES!AJ346)</f>
        <v>0.08</v>
      </c>
      <c r="AK346" s="329">
        <f>CHOOSE(m_identity,ENWL!AK346, NPgN!AK346, NPgY!AK346, WMID!AK346, EMID!AK346, SWALES!AK346, SWEST!AK346, LPN!AK346,SPN!AK346,EPN!AK346,SPD!AK346,SPMW!AK346,SSEH!AK346,SSES!AK346)</f>
        <v>0.08</v>
      </c>
      <c r="AL346" s="329">
        <f>CHOOSE(m_identity,ENWL!AL346, NPgN!AL346, NPgY!AL346, WMID!AL346, EMID!AL346, SWALES!AL346, SWEST!AL346, LPN!AL346,SPN!AL346,EPN!AL346,SPD!AL346,SPMW!AL346,SSEH!AL346,SSES!AL346)</f>
        <v>0.08</v>
      </c>
      <c r="AM346" s="329">
        <f>CHOOSE(m_identity,ENWL!AM346, NPgN!AM346, NPgY!AM346, WMID!AM346, EMID!AM346, SWALES!AM346, SWEST!AM346, LPN!AM346,SPN!AM346,EPN!AM346,SPD!AM346,SPMW!AM346,SSEH!AM346,SSES!AM346)</f>
        <v>0.08</v>
      </c>
      <c r="AN346" s="329">
        <f>CHOOSE(m_identity,ENWL!AN346, NPgN!AN346, NPgY!AN346, WMID!AN346, EMID!AN346, SWALES!AN346, SWEST!AN346, LPN!AN346,SPN!AN346,EPN!AN346,SPD!AN346,SPMW!AN346,SSEH!AN346,SSES!AN346)</f>
        <v>0.08</v>
      </c>
      <c r="AO346" s="329">
        <f>CHOOSE(m_identity,ENWL!AO346, NPgN!AO346, NPgY!AO346, WMID!AO346, EMID!AO346, SWALES!AO346, SWEST!AO346, LPN!AO346,SPN!AO346,EPN!AO346,SPD!AO346,SPMW!AO346,SSEH!AO346,SSES!AO346)</f>
        <v>0.08</v>
      </c>
      <c r="AP346" s="329">
        <f>CHOOSE(m_identity,ENWL!AP346, NPgN!AP346, NPgY!AP346, WMID!AP346, EMID!AP346, SWALES!AP346, SWEST!AP346, LPN!AP346,SPN!AP346,EPN!AP346,SPD!AP346,SPMW!AP346,SSEH!AP346,SSES!AP346)</f>
        <v>0.08</v>
      </c>
      <c r="AQ346" s="329">
        <f>CHOOSE(m_identity,ENWL!AQ346, NPgN!AQ346, NPgY!AQ346, WMID!AQ346, EMID!AQ346, SWALES!AQ346, SWEST!AQ346, LPN!AQ346,SPN!AQ346,EPN!AQ346,SPD!AQ346,SPMW!AQ346,SSEH!AQ346,SSES!AQ346)</f>
        <v>0.08</v>
      </c>
    </row>
    <row r="347" spans="2:44" s="44" customFormat="1" ht="15" customHeight="1">
      <c r="E347" s="3" t="s">
        <v>209</v>
      </c>
      <c r="F347" s="3"/>
      <c r="G347" s="3" t="s">
        <v>49</v>
      </c>
      <c r="H347" s="3"/>
      <c r="I347" s="157"/>
      <c r="J347" s="45"/>
      <c r="K347" s="3"/>
      <c r="L347" s="3"/>
      <c r="M347" s="157"/>
      <c r="N347" s="157"/>
      <c r="O347" s="3"/>
      <c r="P347" s="3"/>
      <c r="Q347" s="3"/>
      <c r="R347" s="3"/>
      <c r="S347" s="3"/>
      <c r="T347" s="3"/>
      <c r="U347" s="3"/>
      <c r="V347" s="3"/>
      <c r="W347" s="3"/>
      <c r="X347" s="158"/>
      <c r="Y347" s="158"/>
      <c r="Z347" s="158"/>
      <c r="AA347" s="158"/>
      <c r="AB347" s="158"/>
      <c r="AC347" s="158"/>
      <c r="AD347" s="240"/>
      <c r="AE347" s="240"/>
      <c r="AF347" s="240"/>
      <c r="AG347" s="240"/>
      <c r="AH347" s="240"/>
      <c r="AI347" s="240"/>
      <c r="AJ347" s="329">
        <f>CHOOSE(m_identity,ENWL!AJ347, NPgN!AJ347, NPgY!AJ347, WMID!AJ347, EMID!AJ347, SWALES!AJ347, SWEST!AJ347, LPN!AJ347,SPN!AJ347,EPN!AJ347,SPD!AJ347,SPMW!AJ347,SSEH!AJ347,SSES!AJ347)</f>
        <v>2.2200000000000001E-2</v>
      </c>
      <c r="AK347" s="329">
        <f>CHOOSE(m_identity,ENWL!AK347, NPgN!AK347, NPgY!AK347, WMID!AK347, EMID!AK347, SWALES!AK347, SWEST!AK347, LPN!AK347,SPN!AK347,EPN!AK347,SPD!AK347,SPMW!AK347,SSEH!AK347,SSES!AK347)</f>
        <v>2.2200000000000001E-2</v>
      </c>
      <c r="AL347" s="329">
        <f>CHOOSE(m_identity,ENWL!AL347, NPgN!AL347, NPgY!AL347, WMID!AL347, EMID!AL347, SWALES!AL347, SWEST!AL347, LPN!AL347,SPN!AL347,EPN!AL347,SPD!AL347,SPMW!AL347,SSEH!AL347,SSES!AL347)</f>
        <v>2.2200000000000001E-2</v>
      </c>
      <c r="AM347" s="329">
        <f>CHOOSE(m_identity,ENWL!AM347, NPgN!AM347, NPgY!AM347, WMID!AM347, EMID!AM347, SWALES!AM347, SWEST!AM347, LPN!AM347,SPN!AM347,EPN!AM347,SPD!AM347,SPMW!AM347,SSEH!AM347,SSES!AM347)</f>
        <v>2.2200000000000001E-2</v>
      </c>
      <c r="AN347" s="329">
        <f>CHOOSE(m_identity,ENWL!AN347, NPgN!AN347, NPgY!AN347, WMID!AN347, EMID!AN347, SWALES!AN347, SWEST!AN347, LPN!AN347,SPN!AN347,EPN!AN347,SPD!AN347,SPMW!AN347,SSEH!AN347,SSES!AN347)</f>
        <v>2.2200000000000001E-2</v>
      </c>
      <c r="AO347" s="329">
        <f>CHOOSE(m_identity,ENWL!AO347, NPgN!AO347, NPgY!AO347, WMID!AO347, EMID!AO347, SWALES!AO347, SWEST!AO347, LPN!AO347,SPN!AO347,EPN!AO347,SPD!AO347,SPMW!AO347,SSEH!AO347,SSES!AO347)</f>
        <v>2.2200000000000001E-2</v>
      </c>
      <c r="AP347" s="329">
        <f>CHOOSE(m_identity,ENWL!AP347, NPgN!AP347, NPgY!AP347, WMID!AP347, EMID!AP347, SWALES!AP347, SWEST!AP347, LPN!AP347,SPN!AP347,EPN!AP347,SPD!AP347,SPMW!AP347,SSEH!AP347,SSES!AP347)</f>
        <v>2.2200000000000001E-2</v>
      </c>
      <c r="AQ347" s="329">
        <f>CHOOSE(m_identity,ENWL!AQ347, NPgN!AQ347, NPgY!AQ347, WMID!AQ347, EMID!AQ347, SWALES!AQ347, SWEST!AQ347, LPN!AQ347,SPN!AQ347,EPN!AQ347,SPD!AQ347,SPMW!AQ347,SSEH!AQ347,SSES!AQ347)</f>
        <v>2.2200000000000001E-2</v>
      </c>
    </row>
    <row r="348" spans="2:44" ht="15" customHeight="1">
      <c r="AJ348" s="149"/>
      <c r="AK348" s="149"/>
      <c r="AL348" s="149"/>
      <c r="AM348" s="149"/>
      <c r="AN348" s="149"/>
      <c r="AO348" s="149"/>
      <c r="AP348" s="149"/>
      <c r="AQ348" s="149"/>
    </row>
    <row r="349" spans="2:44" ht="15" customHeight="1">
      <c r="B349" s="158"/>
      <c r="C349" s="160" t="s">
        <v>210</v>
      </c>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c r="AA349" s="160"/>
      <c r="AB349" s="160"/>
      <c r="AC349" s="160"/>
      <c r="AD349" s="160"/>
      <c r="AE349" s="160"/>
      <c r="AF349" s="160"/>
      <c r="AG349" s="160"/>
      <c r="AH349" s="160"/>
      <c r="AI349" s="160"/>
      <c r="AJ349" s="331"/>
      <c r="AK349" s="331"/>
      <c r="AL349" s="331"/>
      <c r="AM349" s="331"/>
      <c r="AN349" s="331"/>
      <c r="AO349" s="331"/>
      <c r="AP349" s="331"/>
      <c r="AQ349" s="331"/>
    </row>
    <row r="350" spans="2:44" ht="15" customHeight="1">
      <c r="AJ350" s="149"/>
      <c r="AK350" s="149"/>
      <c r="AL350" s="149"/>
      <c r="AM350" s="149"/>
      <c r="AN350" s="149"/>
      <c r="AO350" s="149"/>
      <c r="AP350" s="149"/>
      <c r="AQ350" s="149"/>
    </row>
    <row r="351" spans="2:44" s="16" customFormat="1" ht="15" customHeight="1">
      <c r="E351" s="195" t="s">
        <v>484</v>
      </c>
      <c r="G351" s="16" t="s">
        <v>27</v>
      </c>
      <c r="J351" s="3"/>
      <c r="K351" s="3"/>
      <c r="L351" s="3"/>
      <c r="M351" s="157"/>
      <c r="N351" s="157"/>
      <c r="O351" s="3"/>
      <c r="P351" s="3"/>
      <c r="Q351" s="3"/>
      <c r="R351" s="3"/>
      <c r="S351" s="3"/>
      <c r="T351" s="3"/>
      <c r="U351" s="3"/>
      <c r="V351" s="3"/>
      <c r="W351" s="3"/>
      <c r="X351" s="3"/>
      <c r="Y351" s="3"/>
      <c r="Z351" s="3"/>
      <c r="AA351" s="3"/>
      <c r="AB351" s="3"/>
      <c r="AC351" s="3"/>
      <c r="AD351" s="3"/>
      <c r="AE351" s="3"/>
      <c r="AF351" s="158"/>
      <c r="AG351" s="158"/>
      <c r="AH351" s="236">
        <f>CHOOSE(m_identity,ENWL!AH351, NPgN!AH351, NPgY!AH351, WMID!AH351, EMID!AH351, SWALES!AH351, SWEST!AH351, LPN!AH351,SPN!AH351,EPN!AH351,SPD!AH351,SPMW!AH351,SSEH!AH351,SSES!AH351)</f>
        <v>43.066494785938943</v>
      </c>
      <c r="AI351" s="3"/>
      <c r="AJ351" s="149"/>
      <c r="AK351" s="157"/>
      <c r="AL351" s="157"/>
      <c r="AM351" s="157"/>
      <c r="AN351" s="157"/>
      <c r="AO351" s="157"/>
      <c r="AP351" s="157"/>
      <c r="AQ351" s="157"/>
      <c r="AR351" s="3"/>
    </row>
    <row r="352" spans="2: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8"/>
      <c r="AG352" s="158"/>
      <c r="AH352" s="236">
        <f>CHOOSE(m_identity,ENWL!AH352, NPgN!AH352, NPgY!AH352, WMID!AH352, EMID!AH352, SWALES!AH352, SWEST!AH352, LPN!AH352,SPN!AH352,EPN!AH352,SPD!AH352,SPMW!AH352,SSEH!AH352,SSES!AH352)</f>
        <v>3.3046550860641268</v>
      </c>
      <c r="AI352" s="236">
        <f>CHOOSE(m_identity,ENWL!AI352, NPgN!AI352, NPgY!AI352, WMID!AI352, EMID!AI352, SWALES!AI352, SWEST!AI352, LPN!AI352,SPN!AI352,EPN!AI352,SPD!AI352,SPMW!AI352,SSEH!AI352,SSES!AI352)</f>
        <v>1.4050098663277844</v>
      </c>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8"/>
      <c r="AG353" s="158"/>
      <c r="AH353" s="221">
        <f>AH38</f>
        <v>0</v>
      </c>
      <c r="AI353" s="221">
        <f>AI38</f>
        <v>0</v>
      </c>
      <c r="AJ353" s="149"/>
      <c r="AK353" s="157"/>
      <c r="AL353" s="157"/>
      <c r="AM353" s="157"/>
      <c r="AN353" s="157"/>
      <c r="AO353" s="157"/>
      <c r="AP353" s="157"/>
      <c r="AQ353" s="157"/>
      <c r="AR353" s="157"/>
    </row>
    <row r="354" spans="5:44" s="16" customFormat="1" ht="15" customHeight="1">
      <c r="J354" s="3"/>
      <c r="K354" s="3"/>
      <c r="L354" s="3"/>
      <c r="M354" s="157"/>
      <c r="N354" s="157"/>
      <c r="O354" s="3"/>
      <c r="P354" s="3"/>
      <c r="Q354" s="3"/>
      <c r="R354" s="3"/>
      <c r="S354" s="3"/>
      <c r="T354" s="3"/>
      <c r="U354" s="3"/>
      <c r="V354" s="3"/>
      <c r="W354" s="3"/>
      <c r="X354" s="3"/>
      <c r="Y354" s="3"/>
      <c r="Z354" s="3"/>
      <c r="AA354" s="3"/>
      <c r="AB354" s="3"/>
      <c r="AC354" s="3"/>
      <c r="AD354" s="3"/>
      <c r="AE354" s="3"/>
      <c r="AF354" s="158"/>
      <c r="AG354" s="158"/>
      <c r="AH354" s="157"/>
      <c r="AI354" s="3"/>
      <c r="AJ354" s="149"/>
      <c r="AK354" s="157"/>
      <c r="AL354" s="157"/>
      <c r="AM354" s="157"/>
      <c r="AN354" s="157"/>
      <c r="AO354" s="157"/>
      <c r="AP354" s="157"/>
      <c r="AQ354" s="157"/>
      <c r="AR354" s="3"/>
    </row>
    <row r="355" spans="5:44" s="16" customFormat="1" ht="15" customHeight="1">
      <c r="E355" s="195" t="s">
        <v>482</v>
      </c>
      <c r="G355" s="16" t="s">
        <v>27</v>
      </c>
      <c r="J355" s="3"/>
      <c r="K355" s="3"/>
      <c r="L355" s="3"/>
      <c r="M355" s="157"/>
      <c r="N355" s="157"/>
      <c r="O355" s="3"/>
      <c r="P355" s="3"/>
      <c r="Q355" s="3"/>
      <c r="R355" s="3"/>
      <c r="S355" s="3"/>
      <c r="T355" s="3"/>
      <c r="U355" s="3"/>
      <c r="V355" s="3"/>
      <c r="W355" s="3"/>
      <c r="X355" s="3"/>
      <c r="Y355" s="3"/>
      <c r="Z355" s="3"/>
      <c r="AA355" s="3"/>
      <c r="AB355" s="3"/>
      <c r="AC355" s="3"/>
      <c r="AD355" s="3"/>
      <c r="AE355" s="3"/>
      <c r="AF355" s="158"/>
      <c r="AG355" s="158"/>
      <c r="AH355" s="236">
        <f>CHOOSE(m_identity,ENWL!AH355, NPgN!AH355, NPgY!AH355, WMID!AH355, EMID!AH355, SWALES!AH355, SWEST!AH355, LPN!AH355,SPN!AH355,EPN!AH355,SPD!AH355,SPMW!AH355,SSEH!AH355,SSES!AH355)</f>
        <v>456.74167954164147</v>
      </c>
      <c r="AI355" s="3"/>
      <c r="AJ355" s="149"/>
      <c r="AK355" s="157"/>
      <c r="AL355" s="157"/>
      <c r="AM355" s="157"/>
      <c r="AN355" s="157"/>
      <c r="AO355" s="157"/>
      <c r="AP355" s="157"/>
      <c r="AQ355" s="157"/>
      <c r="AR355" s="3"/>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8"/>
      <c r="AG356" s="158"/>
      <c r="AH356" s="236">
        <f>CHOOSE(m_identity,ENWL!AH356, NPgN!AH356, NPgY!AH356, WMID!AH356, EMID!AH356, SWALES!AH356, SWEST!AH356, LPN!AH356,SPN!AH356,EPN!AH356,SPD!AH356,SPMW!AH356,SSEH!AH356,SSES!AH356)</f>
        <v>16.219596937394044</v>
      </c>
      <c r="AI356" s="236">
        <f>CHOOSE(m_identity,ENWL!AI356, NPgN!AI356, NPgY!AI356, WMID!AI356, EMID!AI356, SWALES!AI356, SWEST!AI356, LPN!AI356,SPN!AI356,EPN!AI356,SPD!AI356,SPMW!AI356,SSEH!AI356,SSES!AI356)</f>
        <v>32.654187571254802</v>
      </c>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8"/>
      <c r="AG357" s="158"/>
      <c r="AH357" s="221">
        <f>AH39</f>
        <v>0</v>
      </c>
      <c r="AI357" s="221">
        <f>AI39</f>
        <v>0</v>
      </c>
      <c r="AJ357" s="149"/>
      <c r="AK357" s="157"/>
      <c r="AL357" s="157"/>
      <c r="AM357" s="157"/>
      <c r="AN357" s="157"/>
      <c r="AO357" s="157"/>
      <c r="AP357" s="157"/>
      <c r="AQ357" s="157"/>
      <c r="AR357" s="157"/>
    </row>
    <row r="358" spans="5:44" s="155" customFormat="1" ht="15" customHeight="1">
      <c r="E358" s="16"/>
      <c r="F358" s="16"/>
      <c r="G358" s="16"/>
      <c r="H358" s="3"/>
      <c r="I358" s="3"/>
      <c r="J358" s="33"/>
      <c r="K358" s="33"/>
      <c r="L358" s="33"/>
      <c r="M358" s="33"/>
      <c r="N358" s="33"/>
      <c r="O358" s="33"/>
      <c r="P358" s="33"/>
      <c r="Q358" s="33"/>
      <c r="R358" s="33"/>
      <c r="S358" s="33"/>
      <c r="T358" s="33"/>
      <c r="U358" s="33"/>
      <c r="V358" s="33"/>
      <c r="W358" s="33"/>
      <c r="X358" s="33"/>
      <c r="Y358" s="33"/>
      <c r="Z358" s="33"/>
      <c r="AF358" s="158"/>
      <c r="AG358" s="158"/>
      <c r="AH358" s="157"/>
      <c r="AJ358" s="149"/>
      <c r="AK358" s="157"/>
      <c r="AL358" s="157"/>
      <c r="AM358" s="157"/>
      <c r="AN358" s="157"/>
      <c r="AO358" s="157"/>
      <c r="AP358" s="157"/>
      <c r="AQ358" s="157"/>
    </row>
    <row r="359" spans="5:44" s="16" customFormat="1" ht="15" customHeight="1">
      <c r="E359" s="16" t="s">
        <v>136</v>
      </c>
      <c r="G359" s="16" t="s">
        <v>27</v>
      </c>
      <c r="J359" s="3"/>
      <c r="K359" s="3"/>
      <c r="L359" s="3"/>
      <c r="M359" s="157"/>
      <c r="N359" s="157"/>
      <c r="O359" s="3"/>
      <c r="P359" s="3"/>
      <c r="Q359" s="3"/>
      <c r="R359" s="3"/>
      <c r="S359" s="3"/>
      <c r="T359" s="3"/>
      <c r="U359" s="3"/>
      <c r="V359" s="3"/>
      <c r="W359" s="3"/>
      <c r="X359" s="3"/>
      <c r="Y359" s="3"/>
      <c r="Z359" s="3"/>
      <c r="AA359" s="3"/>
      <c r="AB359" s="3"/>
      <c r="AC359" s="3"/>
      <c r="AD359" s="3"/>
      <c r="AE359" s="3"/>
      <c r="AF359" s="158"/>
      <c r="AG359" s="158"/>
      <c r="AH359" s="236">
        <f>CHOOSE(m_identity,ENWL!AH359, NPgN!AH359, NPgY!AH359, WMID!AH359, EMID!AH359, SWALES!AH359, SWEST!AH359, LPN!AH359,SPN!AH359,EPN!AH359,SPD!AH359,SPMW!AH359,SSEH!AH359,SSES!AH359)</f>
        <v>516.36290267399306</v>
      </c>
      <c r="AI359" s="3"/>
      <c r="AJ359" s="149"/>
      <c r="AK359" s="157"/>
      <c r="AL359" s="157"/>
      <c r="AM359" s="157"/>
      <c r="AN359" s="157"/>
      <c r="AO359" s="157"/>
      <c r="AP359" s="157"/>
      <c r="AQ359" s="157"/>
      <c r="AR359" s="3"/>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8"/>
      <c r="AG360" s="158"/>
      <c r="AH360" s="236">
        <f>CHOOSE(m_identity,ENWL!AH360, NPgN!AH360, NPgY!AH360, WMID!AH360, EMID!AH360, SWALES!AH360, SWEST!AH360, LPN!AH360,SPN!AH360,EPN!AH360,SPD!AH360,SPMW!AH360,SSEH!AH360,SSES!AH360)</f>
        <v>73.563402227870853</v>
      </c>
      <c r="AI360" s="236">
        <f>CHOOSE(m_identity,ENWL!AI360, NPgN!AI360, NPgY!AI360, WMID!AI360, EMID!AI360, SWALES!AI360, SWEST!AI360, LPN!AI360,SPN!AI360,EPN!AI360,SPD!AI360,SPMW!AI360,SSEH!AI360,SSES!AI360)</f>
        <v>70.669575621560284</v>
      </c>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8"/>
      <c r="AG361" s="158"/>
      <c r="AH361" s="221">
        <f>AH40</f>
        <v>0</v>
      </c>
      <c r="AI361" s="221">
        <f>AI40</f>
        <v>0</v>
      </c>
      <c r="AJ361" s="149"/>
      <c r="AK361" s="157"/>
      <c r="AL361" s="157"/>
      <c r="AM361" s="157"/>
      <c r="AN361" s="157"/>
      <c r="AO361" s="157"/>
      <c r="AP361" s="157"/>
      <c r="AQ361" s="157"/>
      <c r="AR361" s="157"/>
    </row>
    <row r="362" spans="5:44" s="16" customFormat="1" ht="15" customHeight="1">
      <c r="J362" s="3"/>
      <c r="K362" s="3"/>
      <c r="L362" s="3"/>
      <c r="M362" s="157"/>
      <c r="N362" s="157"/>
      <c r="O362" s="3"/>
      <c r="P362" s="3"/>
      <c r="Q362" s="3"/>
      <c r="R362" s="3"/>
      <c r="S362" s="3"/>
      <c r="T362" s="3"/>
      <c r="U362" s="3"/>
      <c r="V362" s="3"/>
      <c r="W362" s="3"/>
      <c r="X362" s="3"/>
      <c r="Y362" s="3"/>
      <c r="Z362" s="3"/>
      <c r="AA362" s="3"/>
      <c r="AB362" s="3"/>
      <c r="AC362" s="3"/>
      <c r="AD362" s="3"/>
      <c r="AE362" s="3"/>
      <c r="AF362" s="158"/>
      <c r="AG362" s="158"/>
      <c r="AH362" s="157"/>
      <c r="AI362" s="3"/>
      <c r="AJ362" s="149"/>
      <c r="AK362" s="157"/>
      <c r="AL362" s="157"/>
      <c r="AM362" s="157"/>
      <c r="AN362" s="157"/>
      <c r="AO362" s="157"/>
      <c r="AP362" s="157"/>
      <c r="AQ362" s="157"/>
      <c r="AR362" s="3"/>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8"/>
      <c r="AG363" s="158"/>
      <c r="AH363" s="236">
        <f>CHOOSE(m_identity,ENWL!AH363, NPgN!AH363, NPgY!AH363, WMID!AH363, EMID!AH363, SWALES!AH363, SWEST!AH363, LPN!AH363,SPN!AH363,EPN!AH363,SPD!AH363,SPMW!AH363,SSEH!AH363,SSES!AH363)</f>
        <v>0</v>
      </c>
      <c r="AI363" s="157"/>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8"/>
      <c r="AG364" s="158"/>
      <c r="AH364" s="236">
        <f>CHOOSE(m_identity,ENWL!AH364, NPgN!AH364, NPgY!AH364, WMID!AH364, EMID!AH364, SWALES!AH364, SWEST!AH364, LPN!AH364,SPN!AH364,EPN!AH364,SPD!AH364,SPMW!AH364,SSEH!AH364,SSES!AH364)</f>
        <v>84.144339840984756</v>
      </c>
      <c r="AI364" s="236">
        <f>CHOOSE(m_identity,ENWL!AI364, NPgN!AI364, NPgY!AI364, WMID!AI364, EMID!AI364, SWALES!AI364, SWEST!AI364, LPN!AI364,SPN!AI364,EPN!AI364,SPD!AI364,SPMW!AI364,SSEH!AI364,SSES!AI364)</f>
        <v>82.518045068029807</v>
      </c>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8"/>
      <c r="AG365" s="158"/>
      <c r="AH365" s="221">
        <f>AH41</f>
        <v>0</v>
      </c>
      <c r="AI365" s="221">
        <f>AI41</f>
        <v>0</v>
      </c>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8"/>
      <c r="AG366" s="158"/>
      <c r="AH366" s="157"/>
      <c r="AI366" s="157"/>
      <c r="AJ366" s="149"/>
      <c r="AK366" s="157"/>
      <c r="AL366" s="157"/>
      <c r="AM366" s="157"/>
      <c r="AN366" s="157"/>
      <c r="AO366" s="157"/>
      <c r="AP366" s="157"/>
      <c r="AQ366" s="157"/>
      <c r="AR366" s="157"/>
    </row>
    <row r="367" spans="5:44" s="16" customFormat="1" ht="15" customHeight="1">
      <c r="E367" s="3" t="s">
        <v>115</v>
      </c>
      <c r="G367" s="16" t="s">
        <v>27</v>
      </c>
      <c r="M367" s="195"/>
      <c r="N367" s="195"/>
      <c r="AF367" s="158"/>
      <c r="AG367" s="158"/>
      <c r="AH367" s="236">
        <f>CHOOSE(m_identity,ENWL!AH367, NPgN!AH367, NPgY!AH367, WMID!AH367, EMID!AH367, SWALES!AH367, SWEST!AH367, LPN!AH367,SPN!AH367,EPN!AH367,SPD!AH367,SPMW!AH367,SSEH!AH367,SSES!AH367)</f>
        <v>0</v>
      </c>
      <c r="AJ367" s="149"/>
      <c r="AK367" s="195"/>
      <c r="AL367" s="195"/>
      <c r="AM367" s="195"/>
      <c r="AN367" s="195"/>
      <c r="AO367" s="195"/>
      <c r="AP367" s="195"/>
      <c r="AQ367" s="195"/>
    </row>
    <row r="368" spans="5:44" ht="15" customHeight="1">
      <c r="AG368" s="158"/>
      <c r="AJ368" s="147"/>
      <c r="AK368" s="147"/>
      <c r="AL368" s="149"/>
      <c r="AM368" s="149"/>
      <c r="AN368" s="149"/>
      <c r="AO368" s="149"/>
      <c r="AP368" s="149"/>
      <c r="AQ368" s="149"/>
    </row>
    <row r="369" spans="3:43" s="44" customFormat="1" ht="15" customHeight="1">
      <c r="C369" s="17" t="s">
        <v>131</v>
      </c>
      <c r="D369" s="17"/>
      <c r="E369" s="17"/>
      <c r="F369" s="17"/>
      <c r="G369" s="17"/>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7"/>
      <c r="AI369" s="17"/>
      <c r="AJ369" s="332"/>
      <c r="AK369" s="332"/>
      <c r="AL369" s="332"/>
      <c r="AM369" s="332"/>
      <c r="AN369" s="332"/>
      <c r="AO369" s="332"/>
      <c r="AP369" s="332"/>
      <c r="AQ369" s="332"/>
    </row>
    <row r="370" spans="3:43" s="44" customFormat="1" ht="15" customHeight="1">
      <c r="E370" s="3"/>
      <c r="F370" s="3"/>
      <c r="G370" s="3"/>
      <c r="H370" s="3"/>
      <c r="I370" s="3"/>
      <c r="J370" s="92"/>
      <c r="K370" s="92"/>
      <c r="L370" s="92"/>
      <c r="M370" s="179"/>
      <c r="N370" s="179"/>
      <c r="O370" s="92"/>
      <c r="P370" s="92"/>
      <c r="Q370" s="92"/>
      <c r="R370" s="92"/>
      <c r="S370" s="92"/>
      <c r="T370" s="92"/>
      <c r="U370" s="92"/>
      <c r="V370" s="92"/>
      <c r="W370" s="92"/>
      <c r="X370" s="92"/>
      <c r="Y370" s="92"/>
      <c r="Z370" s="92"/>
      <c r="AA370" s="41"/>
      <c r="AB370" s="41"/>
      <c r="AC370" s="40"/>
      <c r="AD370" s="40"/>
      <c r="AE370" s="40"/>
      <c r="AF370" s="40"/>
      <c r="AG370" s="40"/>
      <c r="AH370" s="40"/>
      <c r="AI370" s="40"/>
      <c r="AJ370" s="157"/>
      <c r="AK370" s="157"/>
      <c r="AL370" s="157"/>
      <c r="AM370" s="157"/>
      <c r="AN370" s="157"/>
      <c r="AO370" s="157"/>
      <c r="AP370" s="157"/>
      <c r="AQ370" s="157"/>
    </row>
    <row r="371" spans="3:43" s="156" customFormat="1" ht="15" customHeight="1">
      <c r="D371" s="456" t="s">
        <v>857</v>
      </c>
      <c r="E371" s="157"/>
      <c r="F371" s="157"/>
      <c r="G371" s="157"/>
      <c r="H371" s="157"/>
      <c r="I371" s="157"/>
      <c r="J371" s="179"/>
      <c r="K371" s="179"/>
      <c r="L371" s="179"/>
      <c r="M371" s="179"/>
      <c r="N371" s="179"/>
      <c r="O371" s="179"/>
      <c r="P371" s="179"/>
      <c r="Q371" s="179"/>
      <c r="R371" s="179"/>
      <c r="S371" s="179"/>
      <c r="T371" s="179"/>
      <c r="U371" s="179"/>
      <c r="V371" s="179"/>
      <c r="W371" s="179"/>
      <c r="X371" s="179"/>
      <c r="Y371" s="179"/>
      <c r="Z371" s="179"/>
      <c r="AA371" s="41"/>
      <c r="AB371" s="41"/>
      <c r="AC371" s="40"/>
      <c r="AD371" s="40"/>
      <c r="AE371" s="40"/>
      <c r="AF371" s="40"/>
      <c r="AG371" s="40"/>
      <c r="AH371" s="40"/>
      <c r="AI371" s="40"/>
      <c r="AJ371" s="157"/>
      <c r="AK371" s="157"/>
      <c r="AL371" s="157"/>
      <c r="AM371" s="157"/>
      <c r="AN371" s="157"/>
      <c r="AO371" s="157"/>
      <c r="AP371" s="157"/>
      <c r="AQ371" s="157"/>
    </row>
    <row r="372" spans="3:43" s="156" customFormat="1" ht="15" customHeight="1">
      <c r="E372" s="157"/>
      <c r="F372" s="157"/>
      <c r="G372" s="157"/>
      <c r="H372" s="157"/>
      <c r="I372" s="157"/>
      <c r="J372" s="179"/>
      <c r="K372" s="179"/>
      <c r="L372" s="179"/>
      <c r="M372" s="179"/>
      <c r="N372" s="179"/>
      <c r="O372" s="179"/>
      <c r="P372" s="179"/>
      <c r="Q372" s="179"/>
      <c r="R372" s="179"/>
      <c r="S372" s="179"/>
      <c r="T372" s="179"/>
      <c r="U372" s="179"/>
      <c r="V372" s="179"/>
      <c r="W372" s="179"/>
      <c r="X372" s="179"/>
      <c r="Y372" s="179"/>
      <c r="Z372" s="179"/>
      <c r="AA372" s="41"/>
      <c r="AB372" s="41"/>
      <c r="AC372" s="40"/>
      <c r="AD372" s="40"/>
      <c r="AE372" s="40"/>
      <c r="AF372" s="40"/>
      <c r="AG372" s="40"/>
      <c r="AH372" s="40"/>
      <c r="AI372" s="40"/>
      <c r="AJ372" s="157"/>
      <c r="AK372" s="157"/>
      <c r="AL372" s="157"/>
      <c r="AM372" s="157"/>
      <c r="AN372" s="157"/>
      <c r="AO372" s="157"/>
      <c r="AP372" s="157"/>
      <c r="AQ372" s="157"/>
    </row>
    <row r="373" spans="3:43" s="44" customFormat="1" ht="12.75">
      <c r="D373" s="36" t="s">
        <v>858</v>
      </c>
      <c r="E373" s="36"/>
      <c r="F373" s="36"/>
      <c r="G373" s="36"/>
      <c r="H373" s="36"/>
      <c r="I373" s="36"/>
      <c r="J373" s="36"/>
      <c r="K373" s="36"/>
      <c r="L373" s="36"/>
      <c r="M373" s="36"/>
      <c r="N373" s="36"/>
      <c r="O373" s="36"/>
      <c r="P373" s="36"/>
      <c r="Q373" s="36"/>
      <c r="R373" s="36"/>
      <c r="S373" s="36"/>
      <c r="T373" s="36"/>
      <c r="U373" s="36"/>
      <c r="V373" s="36"/>
      <c r="W373" s="36"/>
      <c r="X373" s="36"/>
      <c r="Y373" s="36"/>
      <c r="Z373" s="36"/>
      <c r="AA373" s="36"/>
      <c r="AB373" s="36"/>
      <c r="AC373" s="36"/>
      <c r="AD373" s="36"/>
      <c r="AE373" s="36"/>
      <c r="AF373" s="36"/>
      <c r="AG373" s="36"/>
      <c r="AH373" s="36"/>
      <c r="AI373" s="36"/>
      <c r="AJ373" s="201"/>
      <c r="AK373" s="201"/>
      <c r="AL373" s="201"/>
      <c r="AM373" s="201"/>
      <c r="AN373" s="201"/>
      <c r="AO373" s="201"/>
      <c r="AP373" s="201"/>
      <c r="AQ373" s="201"/>
    </row>
    <row r="374" spans="3:43" s="44" customFormat="1" ht="12.75">
      <c r="M374" s="156"/>
      <c r="N374" s="156"/>
      <c r="AJ374" s="2"/>
      <c r="AK374" s="157"/>
      <c r="AL374" s="157"/>
      <c r="AM374" s="157"/>
      <c r="AN374" s="157"/>
      <c r="AO374" s="157"/>
      <c r="AP374" s="157"/>
      <c r="AQ374" s="157"/>
    </row>
    <row r="375" spans="3:43" s="44" customFormat="1" ht="12.75">
      <c r="E375" s="93" t="s">
        <v>24</v>
      </c>
      <c r="G375" s="44" t="s">
        <v>49</v>
      </c>
      <c r="M375" s="156"/>
      <c r="N375" s="156"/>
      <c r="AJ375" s="329">
        <f>CHOOSE(m_identity,ENWL!AJ375, NPgN!AJ375, NPgY!AJ375, WMID!AJ375, EMID!AJ375, SWALES!AJ375, SWEST!AJ375, LPN!AJ375,SPN!AJ375,EPN!AJ375,SPD!AJ375,SPMW!AJ375,SSEH!AJ375,SSES!AJ375)</f>
        <v>7.8860803135211988E-3</v>
      </c>
      <c r="AK375" s="329">
        <f>CHOOSE(m_identity,ENWL!AK375, NPgN!AK375, NPgY!AK375, WMID!AK375, EMID!AK375, SWALES!AK375, SWEST!AK375, LPN!AK375,SPN!AK375,EPN!AK375,SPD!AK375,SPMW!AK375,SSEH!AK375,SSES!AK375)</f>
        <v>7.8860803135211988E-3</v>
      </c>
      <c r="AL375" s="329">
        <f>CHOOSE(m_identity,ENWL!AL375, NPgN!AL375, NPgY!AL375, WMID!AL375, EMID!AL375, SWALES!AL375, SWEST!AL375, LPN!AL375,SPN!AL375,EPN!AL375,SPD!AL375,SPMW!AL375,SSEH!AL375,SSES!AL375)</f>
        <v>7.8860803135211988E-3</v>
      </c>
      <c r="AM375" s="329">
        <f>CHOOSE(m_identity,ENWL!AM375, NPgN!AM375, NPgY!AM375, WMID!AM375, EMID!AM375, SWALES!AM375, SWEST!AM375, LPN!AM375,SPN!AM375,EPN!AM375,SPD!AM375,SPMW!AM375,SSEH!AM375,SSES!AM375)</f>
        <v>7.8860803135211988E-3</v>
      </c>
      <c r="AN375" s="329">
        <f>CHOOSE(m_identity,ENWL!AN375, NPgN!AN375, NPgY!AN375, WMID!AN375, EMID!AN375, SWALES!AN375, SWEST!AN375, LPN!AN375,SPN!AN375,EPN!AN375,SPD!AN375,SPMW!AN375,SSEH!AN375,SSES!AN375)</f>
        <v>7.8860803135211988E-3</v>
      </c>
      <c r="AO375" s="329">
        <f>CHOOSE(m_identity,ENWL!AO375, NPgN!AO375, NPgY!AO375, WMID!AO375, EMID!AO375, SWALES!AO375, SWEST!AO375, LPN!AO375,SPN!AO375,EPN!AO375,SPD!AO375,SPMW!AO375,SSEH!AO375,SSES!AO375)</f>
        <v>7.8860803135211988E-3</v>
      </c>
      <c r="AP375" s="329">
        <f>CHOOSE(m_identity,ENWL!AP375, NPgN!AP375, NPgY!AP375, WMID!AP375, EMID!AP375, SWALES!AP375, SWEST!AP375, LPN!AP375,SPN!AP375,EPN!AP375,SPD!AP375,SPMW!AP375,SSEH!AP375,SSES!AP375)</f>
        <v>7.8860803135211988E-3</v>
      </c>
      <c r="AQ375" s="329">
        <f>CHOOSE(m_identity,ENWL!AQ375, NPgN!AQ375, NPgY!AQ375, WMID!AQ375, EMID!AQ375, SWALES!AQ375, SWEST!AQ375, LPN!AQ375,SPN!AQ375,EPN!AQ375,SPD!AQ375,SPMW!AQ375,SSEH!AQ375,SSES!AQ375)</f>
        <v>7.8860803135211988E-3</v>
      </c>
    </row>
    <row r="376" spans="3:43" s="44" customFormat="1" ht="12.75">
      <c r="E376" s="156" t="s">
        <v>665</v>
      </c>
      <c r="G376" s="44" t="s">
        <v>49</v>
      </c>
      <c r="M376" s="156"/>
      <c r="N376" s="156"/>
      <c r="AJ376" s="329">
        <f>CHOOSE(m_identity,ENWL!AJ376, NPgN!AJ376, NPgY!AJ376, WMID!AJ376, EMID!AJ376, SWALES!AJ376, SWEST!AJ376, LPN!AJ376,SPN!AJ376,EPN!AJ376,SPD!AJ376,SPMW!AJ376,SSEH!AJ376,SSES!AJ376)</f>
        <v>1.7401222304203223E-2</v>
      </c>
      <c r="AK376" s="329">
        <f>CHOOSE(m_identity,ENWL!AK376, NPgN!AK376, NPgY!AK376, WMID!AK376, EMID!AK376, SWALES!AK376, SWEST!AK376, LPN!AK376,SPN!AK376,EPN!AK376,SPD!AK376,SPMW!AK376,SSEH!AK376,SSES!AK376)</f>
        <v>1.7401222304203223E-2</v>
      </c>
      <c r="AL376" s="329">
        <f>CHOOSE(m_identity,ENWL!AL376, NPgN!AL376, NPgY!AL376, WMID!AL376, EMID!AL376, SWALES!AL376, SWEST!AL376, LPN!AL376,SPN!AL376,EPN!AL376,SPD!AL376,SPMW!AL376,SSEH!AL376,SSES!AL376)</f>
        <v>1.7401222304203223E-2</v>
      </c>
      <c r="AM376" s="329">
        <f>CHOOSE(m_identity,ENWL!AM376, NPgN!AM376, NPgY!AM376, WMID!AM376, EMID!AM376, SWALES!AM376, SWEST!AM376, LPN!AM376,SPN!AM376,EPN!AM376,SPD!AM376,SPMW!AM376,SSEH!AM376,SSES!AM376)</f>
        <v>1.7401222304203223E-2</v>
      </c>
      <c r="AN376" s="329">
        <f>CHOOSE(m_identity,ENWL!AN376, NPgN!AN376, NPgY!AN376, WMID!AN376, EMID!AN376, SWALES!AN376, SWEST!AN376, LPN!AN376,SPN!AN376,EPN!AN376,SPD!AN376,SPMW!AN376,SSEH!AN376,SSES!AN376)</f>
        <v>1.7401222304203223E-2</v>
      </c>
      <c r="AO376" s="329">
        <f>CHOOSE(m_identity,ENWL!AO376, NPgN!AO376, NPgY!AO376, WMID!AO376, EMID!AO376, SWALES!AO376, SWEST!AO376, LPN!AO376,SPN!AO376,EPN!AO376,SPD!AO376,SPMW!AO376,SSEH!AO376,SSES!AO376)</f>
        <v>1.7401222304203223E-2</v>
      </c>
      <c r="AP376" s="329">
        <f>CHOOSE(m_identity,ENWL!AP376, NPgN!AP376, NPgY!AP376, WMID!AP376, EMID!AP376, SWALES!AP376, SWEST!AP376, LPN!AP376,SPN!AP376,EPN!AP376,SPD!AP376,SPMW!AP376,SSEH!AP376,SSES!AP376)</f>
        <v>1.7401222304203223E-2</v>
      </c>
      <c r="AQ376" s="329">
        <f>CHOOSE(m_identity,ENWL!AQ376, NPgN!AQ376, NPgY!AQ376, WMID!AQ376, EMID!AQ376, SWALES!AQ376, SWEST!AQ376, LPN!AQ376,SPN!AQ376,EPN!AQ376,SPD!AQ376,SPMW!AQ376,SSEH!AQ376,SSES!AQ376)</f>
        <v>1.7401222304203223E-2</v>
      </c>
    </row>
    <row r="377" spans="3:43" s="44" customFormat="1" ht="12.75">
      <c r="E377" s="93" t="s">
        <v>25</v>
      </c>
      <c r="G377" s="44" t="s">
        <v>49</v>
      </c>
      <c r="M377" s="156"/>
      <c r="N377" s="156"/>
      <c r="AJ377" s="329">
        <f>CHOOSE(m_identity,ENWL!AJ377, NPgN!AJ377, NPgY!AJ377, WMID!AJ377, EMID!AJ377, SWALES!AJ377, SWEST!AJ377, LPN!AJ377,SPN!AJ377,EPN!AJ377,SPD!AJ377,SPMW!AJ377,SSEH!AJ377,SSES!AJ377)</f>
        <v>0.51947499118856355</v>
      </c>
      <c r="AK377" s="329">
        <f>CHOOSE(m_identity,ENWL!AK377, NPgN!AK377, NPgY!AK377, WMID!AK377, EMID!AK377, SWALES!AK377, SWEST!AK377, LPN!AK377,SPN!AK377,EPN!AK377,SPD!AK377,SPMW!AK377,SSEH!AK377,SSES!AK377)</f>
        <v>0.51947499118856355</v>
      </c>
      <c r="AL377" s="329">
        <f>CHOOSE(m_identity,ENWL!AL377, NPgN!AL377, NPgY!AL377, WMID!AL377, EMID!AL377, SWALES!AL377, SWEST!AL377, LPN!AL377,SPN!AL377,EPN!AL377,SPD!AL377,SPMW!AL377,SSEH!AL377,SSES!AL377)</f>
        <v>0.51947499118856355</v>
      </c>
      <c r="AM377" s="329">
        <f>CHOOSE(m_identity,ENWL!AM377, NPgN!AM377, NPgY!AM377, WMID!AM377, EMID!AM377, SWALES!AM377, SWEST!AM377, LPN!AM377,SPN!AM377,EPN!AM377,SPD!AM377,SPMW!AM377,SSEH!AM377,SSES!AM377)</f>
        <v>0.51947499118856355</v>
      </c>
      <c r="AN377" s="329">
        <f>CHOOSE(m_identity,ENWL!AN377, NPgN!AN377, NPgY!AN377, WMID!AN377, EMID!AN377, SWALES!AN377, SWEST!AN377, LPN!AN377,SPN!AN377,EPN!AN377,SPD!AN377,SPMW!AN377,SSEH!AN377,SSES!AN377)</f>
        <v>0.51947499118856355</v>
      </c>
      <c r="AO377" s="329">
        <f>CHOOSE(m_identity,ENWL!AO377, NPgN!AO377, NPgY!AO377, WMID!AO377, EMID!AO377, SWALES!AO377, SWEST!AO377, LPN!AO377,SPN!AO377,EPN!AO377,SPD!AO377,SPMW!AO377,SSEH!AO377,SSES!AO377)</f>
        <v>0.51947499118856355</v>
      </c>
      <c r="AP377" s="329">
        <f>CHOOSE(m_identity,ENWL!AP377, NPgN!AP377, NPgY!AP377, WMID!AP377, EMID!AP377, SWALES!AP377, SWEST!AP377, LPN!AP377,SPN!AP377,EPN!AP377,SPD!AP377,SPMW!AP377,SSEH!AP377,SSES!AP377)</f>
        <v>0.51947499118856355</v>
      </c>
      <c r="AQ377" s="329">
        <f>CHOOSE(m_identity,ENWL!AQ377, NPgN!AQ377, NPgY!AQ377, WMID!AQ377, EMID!AQ377, SWALES!AQ377, SWEST!AQ377, LPN!AQ377,SPN!AQ377,EPN!AQ377,SPD!AQ377,SPMW!AQ377,SSEH!AQ377,SSES!AQ377)</f>
        <v>0.51947499118856355</v>
      </c>
    </row>
    <row r="378" spans="3:43" s="156" customFormat="1" ht="12.75">
      <c r="E378" s="93" t="s">
        <v>706</v>
      </c>
      <c r="G378" s="156" t="s">
        <v>49</v>
      </c>
      <c r="AJ378" s="329">
        <f>CHOOSE(m_identity,ENWL!AJ378, NPgN!AJ378, NPgY!AJ378, WMID!AJ378, EMID!AJ378, SWALES!AJ378, SWEST!AJ378, LPN!AJ378,SPN!AJ378,EPN!AJ378,SPD!AJ378,SPMW!AJ378,SSEH!AJ378,SSES!AJ378)</f>
        <v>0</v>
      </c>
      <c r="AK378" s="329">
        <f>CHOOSE(m_identity,ENWL!AK378, NPgN!AK378, NPgY!AK378, WMID!AK378, EMID!AK378, SWALES!AK378, SWEST!AK378, LPN!AK378,SPN!AK378,EPN!AK378,SPD!AK378,SPMW!AK378,SSEH!AK378,SSES!AK378)</f>
        <v>0</v>
      </c>
      <c r="AL378" s="329">
        <f>CHOOSE(m_identity,ENWL!AL378, NPgN!AL378, NPgY!AL378, WMID!AL378, EMID!AL378, SWALES!AL378, SWEST!AL378, LPN!AL378,SPN!AL378,EPN!AL378,SPD!AL378,SPMW!AL378,SSEH!AL378,SSES!AL378)</f>
        <v>0</v>
      </c>
      <c r="AM378" s="329">
        <f>CHOOSE(m_identity,ENWL!AM378, NPgN!AM378, NPgY!AM378, WMID!AM378, EMID!AM378, SWALES!AM378, SWEST!AM378, LPN!AM378,SPN!AM378,EPN!AM378,SPD!AM378,SPMW!AM378,SSEH!AM378,SSES!AM378)</f>
        <v>0</v>
      </c>
      <c r="AN378" s="329">
        <f>CHOOSE(m_identity,ENWL!AN378, NPgN!AN378, NPgY!AN378, WMID!AN378, EMID!AN378, SWALES!AN378, SWEST!AN378, LPN!AN378,SPN!AN378,EPN!AN378,SPD!AN378,SPMW!AN378,SSEH!AN378,SSES!AN378)</f>
        <v>0</v>
      </c>
      <c r="AO378" s="329">
        <f>CHOOSE(m_identity,ENWL!AO378, NPgN!AO378, NPgY!AO378, WMID!AO378, EMID!AO378, SWALES!AO378, SWEST!AO378, LPN!AO378,SPN!AO378,EPN!AO378,SPD!AO378,SPMW!AO378,SSEH!AO378,SSES!AO378)</f>
        <v>0</v>
      </c>
      <c r="AP378" s="329">
        <f>CHOOSE(m_identity,ENWL!AP378, NPgN!AP378, NPgY!AP378, WMID!AP378, EMID!AP378, SWALES!AP378, SWEST!AP378, LPN!AP378,SPN!AP378,EPN!AP378,SPD!AP378,SPMW!AP378,SSEH!AP378,SSES!AP378)</f>
        <v>0</v>
      </c>
      <c r="AQ378" s="329">
        <f>CHOOSE(m_identity,ENWL!AQ378, NPgN!AQ378, NPgY!AQ378, WMID!AQ378, EMID!AQ378, SWALES!AQ378, SWEST!AQ378, LPN!AQ378,SPN!AQ378,EPN!AQ378,SPD!AQ378,SPMW!AQ378,SSEH!AQ378,SSES!AQ378)</f>
        <v>0</v>
      </c>
    </row>
    <row r="379" spans="3:43" s="156" customFormat="1" ht="12.75">
      <c r="E379" s="294" t="s">
        <v>992</v>
      </c>
      <c r="G379" s="156" t="s">
        <v>49</v>
      </c>
      <c r="AJ379" s="329">
        <f>CHOOSE(m_identity,ENWL!AJ379, NPgN!AJ379, NPgY!AJ379, WMID!AJ379, EMID!AJ379, SWALES!AJ379, SWEST!AJ379, LPN!AJ379,SPN!AJ379,EPN!AJ379,SPD!AJ379,SPMW!AJ379,SSEH!AJ379,SSES!AJ379)</f>
        <v>0</v>
      </c>
      <c r="AK379" s="329">
        <f>CHOOSE(m_identity,ENWL!AK379, NPgN!AK379, NPgY!AK379, WMID!AK379, EMID!AK379, SWALES!AK379, SWEST!AK379, LPN!AK379,SPN!AK379,EPN!AK379,SPD!AK379,SPMW!AK379,SSEH!AK379,SSES!AK379)</f>
        <v>0</v>
      </c>
      <c r="AL379" s="329">
        <f>CHOOSE(m_identity,ENWL!AL379, NPgN!AL379, NPgY!AL379, WMID!AL379, EMID!AL379, SWALES!AL379, SWEST!AL379, LPN!AL379,SPN!AL379,EPN!AL379,SPD!AL379,SPMW!AL379,SSEH!AL379,SSES!AL379)</f>
        <v>0</v>
      </c>
      <c r="AM379" s="329">
        <f>CHOOSE(m_identity,ENWL!AM379, NPgN!AM379, NPgY!AM379, WMID!AM379, EMID!AM379, SWALES!AM379, SWEST!AM379, LPN!AM379,SPN!AM379,EPN!AM379,SPD!AM379,SPMW!AM379,SSEH!AM379,SSES!AM379)</f>
        <v>0</v>
      </c>
      <c r="AN379" s="329">
        <f>CHOOSE(m_identity,ENWL!AN379, NPgN!AN379, NPgY!AN379, WMID!AN379, EMID!AN379, SWALES!AN379, SWEST!AN379, LPN!AN379,SPN!AN379,EPN!AN379,SPD!AN379,SPMW!AN379,SSEH!AN379,SSES!AN379)</f>
        <v>0</v>
      </c>
      <c r="AO379" s="329">
        <f>CHOOSE(m_identity,ENWL!AO379, NPgN!AO379, NPgY!AO379, WMID!AO379, EMID!AO379, SWALES!AO379, SWEST!AO379, LPN!AO379,SPN!AO379,EPN!AO379,SPD!AO379,SPMW!AO379,SSEH!AO379,SSES!AO379)</f>
        <v>0</v>
      </c>
      <c r="AP379" s="329">
        <f>CHOOSE(m_identity,ENWL!AP379, NPgN!AP379, NPgY!AP379, WMID!AP379, EMID!AP379, SWALES!AP379, SWEST!AP379, LPN!AP379,SPN!AP379,EPN!AP379,SPD!AP379,SPMW!AP379,SSEH!AP379,SSES!AP379)</f>
        <v>0</v>
      </c>
      <c r="AQ379" s="329">
        <f>CHOOSE(m_identity,ENWL!AQ379, NPgN!AQ379, NPgY!AQ379, WMID!AQ379, EMID!AQ379, SWALES!AQ379, SWEST!AQ379, LPN!AQ379,SPN!AQ379,EPN!AQ379,SPD!AQ379,SPMW!AQ379,SSEH!AQ379,SSES!AQ379)</f>
        <v>0</v>
      </c>
    </row>
    <row r="380" spans="3:43" s="156" customFormat="1" ht="12.75">
      <c r="E380" s="93" t="s">
        <v>922</v>
      </c>
      <c r="G380" s="156" t="s">
        <v>49</v>
      </c>
      <c r="AJ380" s="329">
        <f>CHOOSE(m_identity,ENWL!AJ380, NPgN!AJ380, NPgY!AJ380, WMID!AJ380, EMID!AJ380, SWALES!AJ380, SWEST!AJ380, LPN!AJ380,SPN!AJ380,EPN!AJ380,SPD!AJ380,SPMW!AJ380,SSEH!AJ380,SSES!AJ380)</f>
        <v>0</v>
      </c>
      <c r="AK380" s="329">
        <f>CHOOSE(m_identity,ENWL!AK380, NPgN!AK380, NPgY!AK380, WMID!AK380, EMID!AK380, SWALES!AK380, SWEST!AK380, LPN!AK380,SPN!AK380,EPN!AK380,SPD!AK380,SPMW!AK380,SSEH!AK380,SSES!AK380)</f>
        <v>0</v>
      </c>
      <c r="AL380" s="329">
        <f>CHOOSE(m_identity,ENWL!AL380, NPgN!AL380, NPgY!AL380, WMID!AL380, EMID!AL380, SWALES!AL380, SWEST!AL380, LPN!AL380,SPN!AL380,EPN!AL380,SPD!AL380,SPMW!AL380,SSEH!AL380,SSES!AL380)</f>
        <v>0</v>
      </c>
      <c r="AM380" s="329">
        <f>CHOOSE(m_identity,ENWL!AM380, NPgN!AM380, NPgY!AM380, WMID!AM380, EMID!AM380, SWALES!AM380, SWEST!AM380, LPN!AM380,SPN!AM380,EPN!AM380,SPD!AM380,SPMW!AM380,SSEH!AM380,SSES!AM380)</f>
        <v>0</v>
      </c>
      <c r="AN380" s="329">
        <f>CHOOSE(m_identity,ENWL!AN380, NPgN!AN380, NPgY!AN380, WMID!AN380, EMID!AN380, SWALES!AN380, SWEST!AN380, LPN!AN380,SPN!AN380,EPN!AN380,SPD!AN380,SPMW!AN380,SSEH!AN380,SSES!AN380)</f>
        <v>0</v>
      </c>
      <c r="AO380" s="329">
        <f>CHOOSE(m_identity,ENWL!AO380, NPgN!AO380, NPgY!AO380, WMID!AO380, EMID!AO380, SWALES!AO380, SWEST!AO380, LPN!AO380,SPN!AO380,EPN!AO380,SPD!AO380,SPMW!AO380,SSEH!AO380,SSES!AO380)</f>
        <v>0</v>
      </c>
      <c r="AP380" s="329">
        <f>CHOOSE(m_identity,ENWL!AP380, NPgN!AP380, NPgY!AP380, WMID!AP380, EMID!AP380, SWALES!AP380, SWEST!AP380, LPN!AP380,SPN!AP380,EPN!AP380,SPD!AP380,SPMW!AP380,SSEH!AP380,SSES!AP380)</f>
        <v>0</v>
      </c>
      <c r="AQ380" s="329">
        <f>CHOOSE(m_identity,ENWL!AQ380, NPgN!AQ380, NPgY!AQ380, WMID!AQ380, EMID!AQ380, SWALES!AQ380, SWEST!AQ380, LPN!AQ380,SPN!AQ380,EPN!AQ380,SPD!AQ380,SPMW!AQ380,SSEH!AQ380,SSES!AQ380)</f>
        <v>0</v>
      </c>
    </row>
    <row r="381" spans="3:43" s="44" customFormat="1" ht="12.75">
      <c r="E381" s="156" t="s">
        <v>796</v>
      </c>
      <c r="G381" s="44" t="s">
        <v>49</v>
      </c>
      <c r="M381" s="156"/>
      <c r="N381" s="156"/>
      <c r="AJ381" s="329">
        <f>CHOOSE(m_identity,ENWL!AJ381, NPgN!AJ381, NPgY!AJ381, WMID!AJ381, EMID!AJ381, SWALES!AJ381, SWEST!AJ381, LPN!AJ381,SPN!AJ381,EPN!AJ381,SPD!AJ381,SPMW!AJ381,SSEH!AJ381,SSES!AJ381)</f>
        <v>0</v>
      </c>
      <c r="AK381" s="329">
        <f>CHOOSE(m_identity,ENWL!AK381, NPgN!AK381, NPgY!AK381, WMID!AK381, EMID!AK381, SWALES!AK381, SWEST!AK381, LPN!AK381,SPN!AK381,EPN!AK381,SPD!AK381,SPMW!AK381,SSEH!AK381,SSES!AK381)</f>
        <v>0</v>
      </c>
      <c r="AL381" s="329">
        <f>CHOOSE(m_identity,ENWL!AL381, NPgN!AL381, NPgY!AL381, WMID!AL381, EMID!AL381, SWALES!AL381, SWEST!AL381, LPN!AL381,SPN!AL381,EPN!AL381,SPD!AL381,SPMW!AL381,SSEH!AL381,SSES!AL381)</f>
        <v>0</v>
      </c>
      <c r="AM381" s="329">
        <f>CHOOSE(m_identity,ENWL!AM381, NPgN!AM381, NPgY!AM381, WMID!AM381, EMID!AM381, SWALES!AM381, SWEST!AM381, LPN!AM381,SPN!AM381,EPN!AM381,SPD!AM381,SPMW!AM381,SSEH!AM381,SSES!AM381)</f>
        <v>0</v>
      </c>
      <c r="AN381" s="329">
        <f>CHOOSE(m_identity,ENWL!AN381, NPgN!AN381, NPgY!AN381, WMID!AN381, EMID!AN381, SWALES!AN381, SWEST!AN381, LPN!AN381,SPN!AN381,EPN!AN381,SPD!AN381,SPMW!AN381,SSEH!AN381,SSES!AN381)</f>
        <v>0</v>
      </c>
      <c r="AO381" s="329">
        <f>CHOOSE(m_identity,ENWL!AO381, NPgN!AO381, NPgY!AO381, WMID!AO381, EMID!AO381, SWALES!AO381, SWEST!AO381, LPN!AO381,SPN!AO381,EPN!AO381,SPD!AO381,SPMW!AO381,SSEH!AO381,SSES!AO381)</f>
        <v>0</v>
      </c>
      <c r="AP381" s="329">
        <f>CHOOSE(m_identity,ENWL!AP381, NPgN!AP381, NPgY!AP381, WMID!AP381, EMID!AP381, SWALES!AP381, SWEST!AP381, LPN!AP381,SPN!AP381,EPN!AP381,SPD!AP381,SPMW!AP381,SSEH!AP381,SSES!AP381)</f>
        <v>0</v>
      </c>
      <c r="AQ381" s="329">
        <f>CHOOSE(m_identity,ENWL!AQ381, NPgN!AQ381, NPgY!AQ381, WMID!AQ381, EMID!AQ381, SWALES!AQ381, SWEST!AQ381, LPN!AQ381,SPN!AQ381,EPN!AQ381,SPD!AQ381,SPMW!AQ381,SSEH!AQ381,SSES!AQ381)</f>
        <v>0</v>
      </c>
    </row>
    <row r="382" spans="3:43" s="44" customFormat="1" ht="12.75">
      <c r="F382" s="95"/>
      <c r="G382" s="95"/>
      <c r="H382" s="95"/>
      <c r="I382" s="95"/>
      <c r="J382" s="95"/>
      <c r="K382" s="95"/>
      <c r="L382" s="95"/>
      <c r="M382" s="156"/>
      <c r="N382" s="156"/>
      <c r="O382" s="95"/>
      <c r="P382" s="95"/>
      <c r="Q382" s="95"/>
      <c r="R382" s="95"/>
      <c r="S382" s="95"/>
      <c r="T382" s="95"/>
      <c r="U382" s="95"/>
      <c r="V382" s="95"/>
      <c r="W382" s="95"/>
      <c r="X382" s="95"/>
      <c r="Y382" s="95"/>
      <c r="Z382" s="95"/>
      <c r="AA382" s="95"/>
      <c r="AB382" s="95"/>
      <c r="AC382" s="95"/>
      <c r="AD382" s="95"/>
      <c r="AE382" s="95"/>
      <c r="AF382" s="95"/>
      <c r="AJ382" s="239"/>
      <c r="AK382" s="239"/>
      <c r="AL382" s="239"/>
      <c r="AM382" s="239"/>
      <c r="AN382" s="239"/>
      <c r="AO382" s="239"/>
      <c r="AP382" s="239"/>
      <c r="AQ382" s="239"/>
    </row>
    <row r="383" spans="3:43" s="44" customFormat="1" ht="12.75">
      <c r="D383" s="36" t="s">
        <v>859</v>
      </c>
      <c r="E383" s="36"/>
      <c r="F383" s="36"/>
      <c r="G383" s="36"/>
      <c r="H383" s="36"/>
      <c r="I383" s="36"/>
      <c r="J383" s="36"/>
      <c r="K383" s="36"/>
      <c r="L383" s="36"/>
      <c r="M383" s="36"/>
      <c r="N383" s="36"/>
      <c r="O383" s="36"/>
      <c r="P383" s="36"/>
      <c r="Q383" s="36"/>
      <c r="R383" s="36"/>
      <c r="S383" s="36"/>
      <c r="T383" s="36"/>
      <c r="U383" s="36"/>
      <c r="V383" s="36"/>
      <c r="W383" s="36"/>
      <c r="X383" s="36"/>
      <c r="Y383" s="36"/>
      <c r="Z383" s="36"/>
      <c r="AA383" s="36"/>
      <c r="AB383" s="36"/>
      <c r="AC383" s="36"/>
      <c r="AD383" s="36"/>
      <c r="AE383" s="36"/>
      <c r="AF383" s="36"/>
      <c r="AG383" s="36"/>
      <c r="AH383" s="36"/>
      <c r="AI383" s="36"/>
      <c r="AJ383" s="333"/>
      <c r="AK383" s="333"/>
      <c r="AL383" s="333"/>
      <c r="AM383" s="333"/>
      <c r="AN383" s="333"/>
      <c r="AO383" s="333"/>
      <c r="AP383" s="333"/>
      <c r="AQ383" s="333"/>
    </row>
    <row r="384" spans="3:43" s="44" customFormat="1" ht="12.75">
      <c r="J384" s="95"/>
      <c r="K384" s="95"/>
      <c r="L384" s="95"/>
      <c r="M384" s="156"/>
      <c r="N384" s="156"/>
      <c r="O384" s="95"/>
      <c r="P384" s="95"/>
      <c r="Q384" s="95"/>
      <c r="R384" s="95"/>
      <c r="S384" s="95"/>
      <c r="T384" s="95"/>
      <c r="U384" s="95"/>
      <c r="V384" s="95"/>
      <c r="W384" s="95"/>
      <c r="X384" s="95"/>
      <c r="Y384" s="95"/>
      <c r="Z384" s="95"/>
      <c r="AA384" s="95"/>
      <c r="AB384" s="95"/>
      <c r="AC384" s="95"/>
      <c r="AD384" s="95"/>
      <c r="AE384" s="95"/>
      <c r="AF384" s="95"/>
      <c r="AJ384" s="241"/>
      <c r="AK384" s="239"/>
      <c r="AL384" s="239"/>
      <c r="AM384" s="239"/>
      <c r="AN384" s="239"/>
      <c r="AO384" s="239"/>
      <c r="AP384" s="239"/>
      <c r="AQ384" s="239"/>
    </row>
    <row r="385" spans="4:43" s="44" customFormat="1" ht="12.75">
      <c r="E385" s="93" t="s">
        <v>24</v>
      </c>
      <c r="G385" s="44" t="s">
        <v>49</v>
      </c>
      <c r="J385" s="95"/>
      <c r="K385" s="95"/>
      <c r="L385" s="95"/>
      <c r="M385" s="156"/>
      <c r="N385" s="156"/>
      <c r="O385" s="95"/>
      <c r="P385" s="95"/>
      <c r="Q385" s="95"/>
      <c r="R385" s="95"/>
      <c r="S385" s="95"/>
      <c r="T385" s="95"/>
      <c r="U385" s="95"/>
      <c r="V385" s="95"/>
      <c r="W385" s="95"/>
      <c r="X385" s="95"/>
      <c r="Y385" s="95"/>
      <c r="Z385" s="95"/>
      <c r="AA385" s="95"/>
      <c r="AB385" s="95"/>
      <c r="AC385" s="95"/>
      <c r="AD385" s="95"/>
      <c r="AE385" s="95"/>
      <c r="AF385" s="95"/>
      <c r="AJ385" s="329">
        <f>CHOOSE(m_identity,ENWL!AJ385, NPgN!AJ385, NPgY!AJ385, WMID!AJ385, EMID!AJ385, SWALES!AJ385, SWEST!AJ385, LPN!AJ385,SPN!AJ385,EPN!AJ385,SPD!AJ385,SPMW!AJ385,SSEH!AJ385,SSES!AJ385)</f>
        <v>0.94906250651583379</v>
      </c>
      <c r="AK385" s="329">
        <f>CHOOSE(m_identity,ENWL!AK385, NPgN!AK385, NPgY!AK385, WMID!AK385, EMID!AK385, SWALES!AK385, SWEST!AK385, LPN!AK385,SPN!AK385,EPN!AK385,SPD!AK385,SPMW!AK385,SSEH!AK385,SSES!AK385)</f>
        <v>0.94906250651583379</v>
      </c>
      <c r="AL385" s="329">
        <f>CHOOSE(m_identity,ENWL!AL385, NPgN!AL385, NPgY!AL385, WMID!AL385, EMID!AL385, SWALES!AL385, SWEST!AL385, LPN!AL385,SPN!AL385,EPN!AL385,SPD!AL385,SPMW!AL385,SSEH!AL385,SSES!AL385)</f>
        <v>0.94906250651583379</v>
      </c>
      <c r="AM385" s="329">
        <f>CHOOSE(m_identity,ENWL!AM385, NPgN!AM385, NPgY!AM385, WMID!AM385, EMID!AM385, SWALES!AM385, SWEST!AM385, LPN!AM385,SPN!AM385,EPN!AM385,SPD!AM385,SPMW!AM385,SSEH!AM385,SSES!AM385)</f>
        <v>0.94906250651583379</v>
      </c>
      <c r="AN385" s="329">
        <f>CHOOSE(m_identity,ENWL!AN385, NPgN!AN385, NPgY!AN385, WMID!AN385, EMID!AN385, SWALES!AN385, SWEST!AN385, LPN!AN385,SPN!AN385,EPN!AN385,SPD!AN385,SPMW!AN385,SSEH!AN385,SSES!AN385)</f>
        <v>0.94906250651583379</v>
      </c>
      <c r="AO385" s="329">
        <f>CHOOSE(m_identity,ENWL!AO385, NPgN!AO385, NPgY!AO385, WMID!AO385, EMID!AO385, SWALES!AO385, SWEST!AO385, LPN!AO385,SPN!AO385,EPN!AO385,SPD!AO385,SPMW!AO385,SSEH!AO385,SSES!AO385)</f>
        <v>0.94906250651583379</v>
      </c>
      <c r="AP385" s="329">
        <f>CHOOSE(m_identity,ENWL!AP385, NPgN!AP385, NPgY!AP385, WMID!AP385, EMID!AP385, SWALES!AP385, SWEST!AP385, LPN!AP385,SPN!AP385,EPN!AP385,SPD!AP385,SPMW!AP385,SSEH!AP385,SSES!AP385)</f>
        <v>0.94906250651583379</v>
      </c>
      <c r="AQ385" s="329">
        <f>CHOOSE(m_identity,ENWL!AQ385, NPgN!AQ385, NPgY!AQ385, WMID!AQ385, EMID!AQ385, SWALES!AQ385, SWEST!AQ385, LPN!AQ385,SPN!AQ385,EPN!AQ385,SPD!AQ385,SPMW!AQ385,SSEH!AQ385,SSES!AQ385)</f>
        <v>0.94906250651583379</v>
      </c>
    </row>
    <row r="386" spans="4:43" s="44" customFormat="1" ht="12.75">
      <c r="E386" s="156" t="s">
        <v>665</v>
      </c>
      <c r="G386" s="44" t="s">
        <v>49</v>
      </c>
      <c r="J386" s="95"/>
      <c r="K386" s="95"/>
      <c r="L386" s="95"/>
      <c r="M386" s="156"/>
      <c r="N386" s="156"/>
      <c r="O386" s="95"/>
      <c r="P386" s="95"/>
      <c r="Q386" s="95"/>
      <c r="R386" s="95"/>
      <c r="S386" s="95"/>
      <c r="T386" s="95"/>
      <c r="U386" s="95"/>
      <c r="V386" s="95"/>
      <c r="W386" s="95"/>
      <c r="X386" s="95"/>
      <c r="Y386" s="95"/>
      <c r="Z386" s="95"/>
      <c r="AA386" s="95"/>
      <c r="AB386" s="95"/>
      <c r="AC386" s="95"/>
      <c r="AD386" s="95"/>
      <c r="AE386" s="95"/>
      <c r="AF386" s="95"/>
      <c r="AJ386" s="329">
        <f>CHOOSE(m_identity,ENWL!AJ386, NPgN!AJ386, NPgY!AJ386, WMID!AJ386, EMID!AJ386, SWALES!AJ386, SWEST!AJ386, LPN!AJ386,SPN!AJ386,EPN!AJ386,SPD!AJ386,SPMW!AJ386,SSEH!AJ386,SSES!AJ386)</f>
        <v>0.40014037742766301</v>
      </c>
      <c r="AK386" s="329">
        <f>CHOOSE(m_identity,ENWL!AK386, NPgN!AK386, NPgY!AK386, WMID!AK386, EMID!AK386, SWALES!AK386, SWEST!AK386, LPN!AK386,SPN!AK386,EPN!AK386,SPD!AK386,SPMW!AK386,SSEH!AK386,SSES!AK386)</f>
        <v>0.40014037742766301</v>
      </c>
      <c r="AL386" s="329">
        <f>CHOOSE(m_identity,ENWL!AL386, NPgN!AL386, NPgY!AL386, WMID!AL386, EMID!AL386, SWALES!AL386, SWEST!AL386, LPN!AL386,SPN!AL386,EPN!AL386,SPD!AL386,SPMW!AL386,SSEH!AL386,SSES!AL386)</f>
        <v>0.40014037742766301</v>
      </c>
      <c r="AM386" s="329">
        <f>CHOOSE(m_identity,ENWL!AM386, NPgN!AM386, NPgY!AM386, WMID!AM386, EMID!AM386, SWALES!AM386, SWEST!AM386, LPN!AM386,SPN!AM386,EPN!AM386,SPD!AM386,SPMW!AM386,SSEH!AM386,SSES!AM386)</f>
        <v>0.40014037742766301</v>
      </c>
      <c r="AN386" s="329">
        <f>CHOOSE(m_identity,ENWL!AN386, NPgN!AN386, NPgY!AN386, WMID!AN386, EMID!AN386, SWALES!AN386, SWEST!AN386, LPN!AN386,SPN!AN386,EPN!AN386,SPD!AN386,SPMW!AN386,SSEH!AN386,SSES!AN386)</f>
        <v>0.40014037742766301</v>
      </c>
      <c r="AO386" s="329">
        <f>CHOOSE(m_identity,ENWL!AO386, NPgN!AO386, NPgY!AO386, WMID!AO386, EMID!AO386, SWALES!AO386, SWEST!AO386, LPN!AO386,SPN!AO386,EPN!AO386,SPD!AO386,SPMW!AO386,SSEH!AO386,SSES!AO386)</f>
        <v>0.40014037742766301</v>
      </c>
      <c r="AP386" s="329">
        <f>CHOOSE(m_identity,ENWL!AP386, NPgN!AP386, NPgY!AP386, WMID!AP386, EMID!AP386, SWALES!AP386, SWEST!AP386, LPN!AP386,SPN!AP386,EPN!AP386,SPD!AP386,SPMW!AP386,SSEH!AP386,SSES!AP386)</f>
        <v>0.40014037742766301</v>
      </c>
      <c r="AQ386" s="329">
        <f>CHOOSE(m_identity,ENWL!AQ386, NPgN!AQ386, NPgY!AQ386, WMID!AQ386, EMID!AQ386, SWALES!AQ386, SWEST!AQ386, LPN!AQ386,SPN!AQ386,EPN!AQ386,SPD!AQ386,SPMW!AQ386,SSEH!AQ386,SSES!AQ386)</f>
        <v>0.40014037742766301</v>
      </c>
    </row>
    <row r="387" spans="4:43" s="44" customFormat="1" ht="12.75">
      <c r="E387" s="93" t="s">
        <v>25</v>
      </c>
      <c r="G387" s="44" t="s">
        <v>49</v>
      </c>
      <c r="J387" s="95"/>
      <c r="K387" s="95"/>
      <c r="L387" s="95"/>
      <c r="M387" s="156"/>
      <c r="N387" s="156"/>
      <c r="O387" s="95"/>
      <c r="P387" s="95"/>
      <c r="Q387" s="95"/>
      <c r="R387" s="95"/>
      <c r="S387" s="95"/>
      <c r="T387" s="95"/>
      <c r="U387" s="95"/>
      <c r="V387" s="95"/>
      <c r="W387" s="95"/>
      <c r="X387" s="95"/>
      <c r="Y387" s="95"/>
      <c r="Z387" s="95"/>
      <c r="AA387" s="95"/>
      <c r="AB387" s="95"/>
      <c r="AC387" s="95"/>
      <c r="AD387" s="95"/>
      <c r="AE387" s="95"/>
      <c r="AF387" s="95"/>
      <c r="AJ387" s="329">
        <f>CHOOSE(m_identity,ENWL!AJ387, NPgN!AJ387, NPgY!AJ387, WMID!AJ387, EMID!AJ387, SWALES!AJ387, SWEST!AJ387, LPN!AJ387,SPN!AJ387,EPN!AJ387,SPD!AJ387,SPMW!AJ387,SSEH!AJ387,SSES!AJ387)</f>
        <v>0.18941004438415734</v>
      </c>
      <c r="AK387" s="329">
        <f>CHOOSE(m_identity,ENWL!AK387, NPgN!AK387, NPgY!AK387, WMID!AK387, EMID!AK387, SWALES!AK387, SWEST!AK387, LPN!AK387,SPN!AK387,EPN!AK387,SPD!AK387,SPMW!AK387,SSEH!AK387,SSES!AK387)</f>
        <v>0.18941004438415734</v>
      </c>
      <c r="AL387" s="329">
        <f>CHOOSE(m_identity,ENWL!AL387, NPgN!AL387, NPgY!AL387, WMID!AL387, EMID!AL387, SWALES!AL387, SWEST!AL387, LPN!AL387,SPN!AL387,EPN!AL387,SPD!AL387,SPMW!AL387,SSEH!AL387,SSES!AL387)</f>
        <v>0.18941004438415734</v>
      </c>
      <c r="AM387" s="329">
        <f>CHOOSE(m_identity,ENWL!AM387, NPgN!AM387, NPgY!AM387, WMID!AM387, EMID!AM387, SWALES!AM387, SWEST!AM387, LPN!AM387,SPN!AM387,EPN!AM387,SPD!AM387,SPMW!AM387,SSEH!AM387,SSES!AM387)</f>
        <v>0.18941004438415734</v>
      </c>
      <c r="AN387" s="329">
        <f>CHOOSE(m_identity,ENWL!AN387, NPgN!AN387, NPgY!AN387, WMID!AN387, EMID!AN387, SWALES!AN387, SWEST!AN387, LPN!AN387,SPN!AN387,EPN!AN387,SPD!AN387,SPMW!AN387,SSEH!AN387,SSES!AN387)</f>
        <v>0.18941004438415734</v>
      </c>
      <c r="AO387" s="329">
        <f>CHOOSE(m_identity,ENWL!AO387, NPgN!AO387, NPgY!AO387, WMID!AO387, EMID!AO387, SWALES!AO387, SWEST!AO387, LPN!AO387,SPN!AO387,EPN!AO387,SPD!AO387,SPMW!AO387,SSEH!AO387,SSES!AO387)</f>
        <v>0.18941004438415734</v>
      </c>
      <c r="AP387" s="329">
        <f>CHOOSE(m_identity,ENWL!AP387, NPgN!AP387, NPgY!AP387, WMID!AP387, EMID!AP387, SWALES!AP387, SWEST!AP387, LPN!AP387,SPN!AP387,EPN!AP387,SPD!AP387,SPMW!AP387,SSEH!AP387,SSES!AP387)</f>
        <v>0.18941004438415734</v>
      </c>
      <c r="AQ387" s="329">
        <f>CHOOSE(m_identity,ENWL!AQ387, NPgN!AQ387, NPgY!AQ387, WMID!AQ387, EMID!AQ387, SWALES!AQ387, SWEST!AQ387, LPN!AQ387,SPN!AQ387,EPN!AQ387,SPD!AQ387,SPMW!AQ387,SSEH!AQ387,SSES!AQ387)</f>
        <v>0.18941004438415734</v>
      </c>
    </row>
    <row r="388" spans="4:43" s="156" customFormat="1" ht="12.75">
      <c r="E388" s="93" t="s">
        <v>706</v>
      </c>
      <c r="G388" s="156" t="s">
        <v>49</v>
      </c>
      <c r="AJ388" s="329">
        <f>CHOOSE(m_identity,ENWL!AJ388, NPgN!AJ388, NPgY!AJ388, WMID!AJ388, EMID!AJ388, SWALES!AJ388, SWEST!AJ388, LPN!AJ388,SPN!AJ388,EPN!AJ388,SPD!AJ388,SPMW!AJ388,SSEH!AJ388,SSES!AJ388)</f>
        <v>0</v>
      </c>
      <c r="AK388" s="329">
        <f>CHOOSE(m_identity,ENWL!AK388, NPgN!AK388, NPgY!AK388, WMID!AK388, EMID!AK388, SWALES!AK388, SWEST!AK388, LPN!AK388,SPN!AK388,EPN!AK388,SPD!AK388,SPMW!AK388,SSEH!AK388,SSES!AK388)</f>
        <v>0</v>
      </c>
      <c r="AL388" s="329">
        <f>CHOOSE(m_identity,ENWL!AL388, NPgN!AL388, NPgY!AL388, WMID!AL388, EMID!AL388, SWALES!AL388, SWEST!AL388, LPN!AL388,SPN!AL388,EPN!AL388,SPD!AL388,SPMW!AL388,SSEH!AL388,SSES!AL388)</f>
        <v>0</v>
      </c>
      <c r="AM388" s="329">
        <f>CHOOSE(m_identity,ENWL!AM388, NPgN!AM388, NPgY!AM388, WMID!AM388, EMID!AM388, SWALES!AM388, SWEST!AM388, LPN!AM388,SPN!AM388,EPN!AM388,SPD!AM388,SPMW!AM388,SSEH!AM388,SSES!AM388)</f>
        <v>0</v>
      </c>
      <c r="AN388" s="329">
        <f>CHOOSE(m_identity,ENWL!AN388, NPgN!AN388, NPgY!AN388, WMID!AN388, EMID!AN388, SWALES!AN388, SWEST!AN388, LPN!AN388,SPN!AN388,EPN!AN388,SPD!AN388,SPMW!AN388,SSEH!AN388,SSES!AN388)</f>
        <v>0</v>
      </c>
      <c r="AO388" s="329">
        <f>CHOOSE(m_identity,ENWL!AO388, NPgN!AO388, NPgY!AO388, WMID!AO388, EMID!AO388, SWALES!AO388, SWEST!AO388, LPN!AO388,SPN!AO388,EPN!AO388,SPD!AO388,SPMW!AO388,SSEH!AO388,SSES!AO388)</f>
        <v>0</v>
      </c>
      <c r="AP388" s="329">
        <f>CHOOSE(m_identity,ENWL!AP388, NPgN!AP388, NPgY!AP388, WMID!AP388, EMID!AP388, SWALES!AP388, SWEST!AP388, LPN!AP388,SPN!AP388,EPN!AP388,SPD!AP388,SPMW!AP388,SSEH!AP388,SSES!AP388)</f>
        <v>0</v>
      </c>
      <c r="AQ388" s="329">
        <f>CHOOSE(m_identity,ENWL!AQ388, NPgN!AQ388, NPgY!AQ388, WMID!AQ388, EMID!AQ388, SWALES!AQ388, SWEST!AQ388, LPN!AQ388,SPN!AQ388,EPN!AQ388,SPD!AQ388,SPMW!AQ388,SSEH!AQ388,SSES!AQ388)</f>
        <v>0</v>
      </c>
    </row>
    <row r="389" spans="4:43" s="156" customFormat="1" ht="12.75">
      <c r="E389" s="294" t="s">
        <v>992</v>
      </c>
      <c r="G389" s="156" t="s">
        <v>49</v>
      </c>
      <c r="AJ389" s="329">
        <f>CHOOSE(m_identity,ENWL!AJ389, NPgN!AJ389, NPgY!AJ389, WMID!AJ389, EMID!AJ389, SWALES!AJ389, SWEST!AJ389, LPN!AJ389,SPN!AJ389,EPN!AJ389,SPD!AJ389,SPMW!AJ389,SSEH!AJ389,SSES!AJ389)</f>
        <v>0</v>
      </c>
      <c r="AK389" s="329">
        <f>CHOOSE(m_identity,ENWL!AK389, NPgN!AK389, NPgY!AK389, WMID!AK389, EMID!AK389, SWALES!AK389, SWEST!AK389, LPN!AK389,SPN!AK389,EPN!AK389,SPD!AK389,SPMW!AK389,SSEH!AK389,SSES!AK389)</f>
        <v>0</v>
      </c>
      <c r="AL389" s="329">
        <f>CHOOSE(m_identity,ENWL!AL389, NPgN!AL389, NPgY!AL389, WMID!AL389, EMID!AL389, SWALES!AL389, SWEST!AL389, LPN!AL389,SPN!AL389,EPN!AL389,SPD!AL389,SPMW!AL389,SSEH!AL389,SSES!AL389)</f>
        <v>0</v>
      </c>
      <c r="AM389" s="329">
        <f>CHOOSE(m_identity,ENWL!AM389, NPgN!AM389, NPgY!AM389, WMID!AM389, EMID!AM389, SWALES!AM389, SWEST!AM389, LPN!AM389,SPN!AM389,EPN!AM389,SPD!AM389,SPMW!AM389,SSEH!AM389,SSES!AM389)</f>
        <v>0</v>
      </c>
      <c r="AN389" s="329">
        <f>CHOOSE(m_identity,ENWL!AN389, NPgN!AN389, NPgY!AN389, WMID!AN389, EMID!AN389, SWALES!AN389, SWEST!AN389, LPN!AN389,SPN!AN389,EPN!AN389,SPD!AN389,SPMW!AN389,SSEH!AN389,SSES!AN389)</f>
        <v>0</v>
      </c>
      <c r="AO389" s="329">
        <f>CHOOSE(m_identity,ENWL!AO389, NPgN!AO389, NPgY!AO389, WMID!AO389, EMID!AO389, SWALES!AO389, SWEST!AO389, LPN!AO389,SPN!AO389,EPN!AO389,SPD!AO389,SPMW!AO389,SSEH!AO389,SSES!AO389)</f>
        <v>0</v>
      </c>
      <c r="AP389" s="329">
        <f>CHOOSE(m_identity,ENWL!AP389, NPgN!AP389, NPgY!AP389, WMID!AP389, EMID!AP389, SWALES!AP389, SWEST!AP389, LPN!AP389,SPN!AP389,EPN!AP389,SPD!AP389,SPMW!AP389,SSEH!AP389,SSES!AP389)</f>
        <v>0</v>
      </c>
      <c r="AQ389" s="329">
        <f>CHOOSE(m_identity,ENWL!AQ389, NPgN!AQ389, NPgY!AQ389, WMID!AQ389, EMID!AQ389, SWALES!AQ389, SWEST!AQ389, LPN!AQ389,SPN!AQ389,EPN!AQ389,SPD!AQ389,SPMW!AQ389,SSEH!AQ389,SSES!AQ389)</f>
        <v>0</v>
      </c>
    </row>
    <row r="390" spans="4:43" s="156" customFormat="1" ht="12.75">
      <c r="E390" s="93" t="s">
        <v>922</v>
      </c>
      <c r="G390" s="156" t="s">
        <v>49</v>
      </c>
      <c r="AJ390" s="329">
        <f>CHOOSE(m_identity,ENWL!AJ390, NPgN!AJ390, NPgY!AJ390, WMID!AJ390, EMID!AJ390, SWALES!AJ390, SWEST!AJ390, LPN!AJ390,SPN!AJ390,EPN!AJ390,SPD!AJ390,SPMW!AJ390,SSEH!AJ390,SSES!AJ390)</f>
        <v>0</v>
      </c>
      <c r="AK390" s="329">
        <f>CHOOSE(m_identity,ENWL!AK390, NPgN!AK390, NPgY!AK390, WMID!AK390, EMID!AK390, SWALES!AK390, SWEST!AK390, LPN!AK390,SPN!AK390,EPN!AK390,SPD!AK390,SPMW!AK390,SSEH!AK390,SSES!AK390)</f>
        <v>0</v>
      </c>
      <c r="AL390" s="329">
        <f>CHOOSE(m_identity,ENWL!AL390, NPgN!AL390, NPgY!AL390, WMID!AL390, EMID!AL390, SWALES!AL390, SWEST!AL390, LPN!AL390,SPN!AL390,EPN!AL390,SPD!AL390,SPMW!AL390,SSEH!AL390,SSES!AL390)</f>
        <v>0</v>
      </c>
      <c r="AM390" s="329">
        <f>CHOOSE(m_identity,ENWL!AM390, NPgN!AM390, NPgY!AM390, WMID!AM390, EMID!AM390, SWALES!AM390, SWEST!AM390, LPN!AM390,SPN!AM390,EPN!AM390,SPD!AM390,SPMW!AM390,SSEH!AM390,SSES!AM390)</f>
        <v>0</v>
      </c>
      <c r="AN390" s="329">
        <f>CHOOSE(m_identity,ENWL!AN390, NPgN!AN390, NPgY!AN390, WMID!AN390, EMID!AN390, SWALES!AN390, SWEST!AN390, LPN!AN390,SPN!AN390,EPN!AN390,SPD!AN390,SPMW!AN390,SSEH!AN390,SSES!AN390)</f>
        <v>0</v>
      </c>
      <c r="AO390" s="329">
        <f>CHOOSE(m_identity,ENWL!AO390, NPgN!AO390, NPgY!AO390, WMID!AO390, EMID!AO390, SWALES!AO390, SWEST!AO390, LPN!AO390,SPN!AO390,EPN!AO390,SPD!AO390,SPMW!AO390,SSEH!AO390,SSES!AO390)</f>
        <v>0</v>
      </c>
      <c r="AP390" s="329">
        <f>CHOOSE(m_identity,ENWL!AP390, NPgN!AP390, NPgY!AP390, WMID!AP390, EMID!AP390, SWALES!AP390, SWEST!AP390, LPN!AP390,SPN!AP390,EPN!AP390,SPD!AP390,SPMW!AP390,SSEH!AP390,SSES!AP390)</f>
        <v>0</v>
      </c>
      <c r="AQ390" s="329">
        <f>CHOOSE(m_identity,ENWL!AQ390, NPgN!AQ390, NPgY!AQ390, WMID!AQ390, EMID!AQ390, SWALES!AQ390, SWEST!AQ390, LPN!AQ390,SPN!AQ390,EPN!AQ390,SPD!AQ390,SPMW!AQ390,SSEH!AQ390,SSES!AQ390)</f>
        <v>0</v>
      </c>
    </row>
    <row r="391" spans="4:43" s="44" customFormat="1" ht="12.75">
      <c r="E391" s="156" t="s">
        <v>796</v>
      </c>
      <c r="G391" s="44" t="s">
        <v>49</v>
      </c>
      <c r="J391" s="95"/>
      <c r="K391" s="95"/>
      <c r="L391" s="95"/>
      <c r="M391" s="156"/>
      <c r="N391" s="156"/>
      <c r="O391" s="95"/>
      <c r="P391" s="95"/>
      <c r="Q391" s="95"/>
      <c r="R391" s="95"/>
      <c r="S391" s="95"/>
      <c r="T391" s="95"/>
      <c r="U391" s="95"/>
      <c r="V391" s="95"/>
      <c r="W391" s="95"/>
      <c r="X391" s="95"/>
      <c r="Y391" s="95"/>
      <c r="Z391" s="95"/>
      <c r="AA391" s="95"/>
      <c r="AB391" s="95"/>
      <c r="AC391" s="95"/>
      <c r="AD391" s="95"/>
      <c r="AE391" s="95"/>
      <c r="AF391" s="95"/>
      <c r="AJ391" s="329">
        <f>CHOOSE(m_identity,ENWL!AJ391, NPgN!AJ391, NPgY!AJ391, WMID!AJ391, EMID!AJ391, SWALES!AJ391, SWEST!AJ391, LPN!AJ391,SPN!AJ391,EPN!AJ391,SPD!AJ391,SPMW!AJ391,SSEH!AJ391,SSES!AJ391)</f>
        <v>0.27329192749934827</v>
      </c>
      <c r="AK391" s="329">
        <f>CHOOSE(m_identity,ENWL!AK391, NPgN!AK391, NPgY!AK391, WMID!AK391, EMID!AK391, SWALES!AK391, SWEST!AK391, LPN!AK391,SPN!AK391,EPN!AK391,SPD!AK391,SPMW!AK391,SSEH!AK391,SSES!AK391)</f>
        <v>0.27329192749934827</v>
      </c>
      <c r="AL391" s="329">
        <f>CHOOSE(m_identity,ENWL!AL391, NPgN!AL391, NPgY!AL391, WMID!AL391, EMID!AL391, SWALES!AL391, SWEST!AL391, LPN!AL391,SPN!AL391,EPN!AL391,SPD!AL391,SPMW!AL391,SSEH!AL391,SSES!AL391)</f>
        <v>0.27329192749934827</v>
      </c>
      <c r="AM391" s="329">
        <f>CHOOSE(m_identity,ENWL!AM391, NPgN!AM391, NPgY!AM391, WMID!AM391, EMID!AM391, SWALES!AM391, SWEST!AM391, LPN!AM391,SPN!AM391,EPN!AM391,SPD!AM391,SPMW!AM391,SSEH!AM391,SSES!AM391)</f>
        <v>0.27329192749934827</v>
      </c>
      <c r="AN391" s="329">
        <f>CHOOSE(m_identity,ENWL!AN391, NPgN!AN391, NPgY!AN391, WMID!AN391, EMID!AN391, SWALES!AN391, SWEST!AN391, LPN!AN391,SPN!AN391,EPN!AN391,SPD!AN391,SPMW!AN391,SSEH!AN391,SSES!AN391)</f>
        <v>0.27329192749934827</v>
      </c>
      <c r="AO391" s="329">
        <f>CHOOSE(m_identity,ENWL!AO391, NPgN!AO391, NPgY!AO391, WMID!AO391, EMID!AO391, SWALES!AO391, SWEST!AO391, LPN!AO391,SPN!AO391,EPN!AO391,SPD!AO391,SPMW!AO391,SSEH!AO391,SSES!AO391)</f>
        <v>0.27329192749934827</v>
      </c>
      <c r="AP391" s="329">
        <f>CHOOSE(m_identity,ENWL!AP391, NPgN!AP391, NPgY!AP391, WMID!AP391, EMID!AP391, SWALES!AP391, SWEST!AP391, LPN!AP391,SPN!AP391,EPN!AP391,SPD!AP391,SPMW!AP391,SSEH!AP391,SSES!AP391)</f>
        <v>0.27329192749934827</v>
      </c>
      <c r="AQ391" s="329">
        <f>CHOOSE(m_identity,ENWL!AQ391, NPgN!AQ391, NPgY!AQ391, WMID!AQ391, EMID!AQ391, SWALES!AQ391, SWEST!AQ391, LPN!AQ391,SPN!AQ391,EPN!AQ391,SPD!AQ391,SPMW!AQ391,SSEH!AQ391,SSES!AQ391)</f>
        <v>0.27329192749934827</v>
      </c>
    </row>
    <row r="392" spans="4:43" s="44" customFormat="1" ht="12.75">
      <c r="F392" s="95"/>
      <c r="G392" s="95"/>
      <c r="H392" s="95"/>
      <c r="I392" s="95"/>
      <c r="J392" s="95"/>
      <c r="K392" s="95"/>
      <c r="L392" s="95"/>
      <c r="M392" s="156"/>
      <c r="N392" s="156"/>
      <c r="O392" s="95"/>
      <c r="P392" s="95"/>
      <c r="Q392" s="95"/>
      <c r="R392" s="95"/>
      <c r="S392" s="95"/>
      <c r="T392" s="95"/>
      <c r="U392" s="95"/>
      <c r="V392" s="95"/>
      <c r="W392" s="95"/>
      <c r="X392" s="95"/>
      <c r="Y392" s="95"/>
      <c r="Z392" s="95"/>
      <c r="AA392" s="95"/>
      <c r="AB392" s="95"/>
      <c r="AC392" s="95"/>
      <c r="AD392" s="95"/>
      <c r="AE392" s="95"/>
      <c r="AF392" s="95"/>
      <c r="AJ392" s="239"/>
      <c r="AK392" s="239"/>
      <c r="AL392" s="239"/>
      <c r="AM392" s="239"/>
      <c r="AN392" s="239"/>
      <c r="AO392" s="239"/>
      <c r="AP392" s="239"/>
      <c r="AQ392" s="239"/>
    </row>
    <row r="393" spans="4:43" s="44" customFormat="1" ht="12.75">
      <c r="D393" s="36" t="s">
        <v>860</v>
      </c>
      <c r="E393" s="36"/>
      <c r="F393" s="36"/>
      <c r="G393" s="36"/>
      <c r="H393" s="36"/>
      <c r="I393" s="36"/>
      <c r="J393" s="36"/>
      <c r="K393" s="36"/>
      <c r="L393" s="36"/>
      <c r="M393" s="36"/>
      <c r="N393" s="36"/>
      <c r="O393" s="36"/>
      <c r="P393" s="36"/>
      <c r="Q393" s="36"/>
      <c r="R393" s="36"/>
      <c r="S393" s="36"/>
      <c r="T393" s="36"/>
      <c r="U393" s="36"/>
      <c r="V393" s="36"/>
      <c r="W393" s="36"/>
      <c r="X393" s="36"/>
      <c r="Y393" s="36"/>
      <c r="Z393" s="36"/>
      <c r="AA393" s="36"/>
      <c r="AB393" s="36"/>
      <c r="AC393" s="36"/>
      <c r="AD393" s="36"/>
      <c r="AE393" s="36"/>
      <c r="AF393" s="36"/>
      <c r="AG393" s="36"/>
      <c r="AH393" s="36"/>
      <c r="AI393" s="36"/>
      <c r="AJ393" s="333"/>
      <c r="AK393" s="333"/>
      <c r="AL393" s="333"/>
      <c r="AM393" s="333"/>
      <c r="AN393" s="333"/>
      <c r="AO393" s="333"/>
      <c r="AP393" s="333"/>
      <c r="AQ393" s="333"/>
    </row>
    <row r="394" spans="4:43" s="44" customFormat="1" ht="12.75">
      <c r="J394" s="95"/>
      <c r="K394" s="95"/>
      <c r="L394" s="95"/>
      <c r="M394" s="156"/>
      <c r="N394" s="156"/>
      <c r="O394" s="95"/>
      <c r="P394" s="95"/>
      <c r="Q394" s="95"/>
      <c r="R394" s="95"/>
      <c r="S394" s="95"/>
      <c r="T394" s="95"/>
      <c r="U394" s="95"/>
      <c r="V394" s="95"/>
      <c r="W394" s="95"/>
      <c r="X394" s="95"/>
      <c r="Y394" s="95"/>
      <c r="Z394" s="95"/>
      <c r="AA394" s="95"/>
      <c r="AB394" s="95"/>
      <c r="AC394" s="95"/>
      <c r="AD394" s="95"/>
      <c r="AE394" s="95"/>
      <c r="AF394" s="95"/>
      <c r="AJ394" s="241"/>
      <c r="AK394" s="239"/>
      <c r="AL394" s="239"/>
      <c r="AM394" s="239"/>
      <c r="AN394" s="239"/>
      <c r="AO394" s="239"/>
      <c r="AP394" s="239"/>
      <c r="AQ394" s="239"/>
    </row>
    <row r="395" spans="4:43" s="44" customFormat="1" ht="12.75">
      <c r="E395" s="93" t="s">
        <v>24</v>
      </c>
      <c r="G395" s="44" t="s">
        <v>49</v>
      </c>
      <c r="J395" s="95"/>
      <c r="K395" s="95"/>
      <c r="L395" s="95"/>
      <c r="M395" s="156"/>
      <c r="N395" s="156"/>
      <c r="O395" s="95"/>
      <c r="P395" s="95"/>
      <c r="Q395" s="95"/>
      <c r="R395" s="95"/>
      <c r="S395" s="95"/>
      <c r="T395" s="95"/>
      <c r="U395" s="95"/>
      <c r="V395" s="95"/>
      <c r="W395" s="95"/>
      <c r="X395" s="95"/>
      <c r="Y395" s="95"/>
      <c r="Z395" s="95"/>
      <c r="AA395" s="95"/>
      <c r="AB395" s="95"/>
      <c r="AC395" s="95"/>
      <c r="AD395" s="95"/>
      <c r="AE395" s="95"/>
      <c r="AF395" s="95"/>
      <c r="AJ395" s="329">
        <f>CHOOSE(m_identity,ENWL!AJ395, NPgN!AJ395, NPgY!AJ395, WMID!AJ395, EMID!AJ395, SWALES!AJ395, SWEST!AJ395, LPN!AJ395,SPN!AJ395,EPN!AJ395,SPD!AJ395,SPMW!AJ395,SSEH!AJ395,SSES!AJ395)</f>
        <v>2.8897491975180743E-2</v>
      </c>
      <c r="AK395" s="329">
        <f>CHOOSE(m_identity,ENWL!AK395, NPgN!AK395, NPgY!AK395, WMID!AK395, EMID!AK395, SWALES!AK395, SWEST!AK395, LPN!AK395,SPN!AK395,EPN!AK395,SPD!AK395,SPMW!AK395,SSEH!AK395,SSES!AK395)</f>
        <v>2.8897491975180743E-2</v>
      </c>
      <c r="AL395" s="329">
        <f>CHOOSE(m_identity,ENWL!AL395, NPgN!AL395, NPgY!AL395, WMID!AL395, EMID!AL395, SWALES!AL395, SWEST!AL395, LPN!AL395,SPN!AL395,EPN!AL395,SPD!AL395,SPMW!AL395,SSEH!AL395,SSES!AL395)</f>
        <v>2.8897491975180743E-2</v>
      </c>
      <c r="AM395" s="329">
        <f>CHOOSE(m_identity,ENWL!AM395, NPgN!AM395, NPgY!AM395, WMID!AM395, EMID!AM395, SWALES!AM395, SWEST!AM395, LPN!AM395,SPN!AM395,EPN!AM395,SPD!AM395,SPMW!AM395,SSEH!AM395,SSES!AM395)</f>
        <v>2.8897491975180743E-2</v>
      </c>
      <c r="AN395" s="329">
        <f>CHOOSE(m_identity,ENWL!AN395, NPgN!AN395, NPgY!AN395, WMID!AN395, EMID!AN395, SWALES!AN395, SWEST!AN395, LPN!AN395,SPN!AN395,EPN!AN395,SPD!AN395,SPMW!AN395,SSEH!AN395,SSES!AN395)</f>
        <v>2.8897491975180743E-2</v>
      </c>
      <c r="AO395" s="329">
        <f>CHOOSE(m_identity,ENWL!AO395, NPgN!AO395, NPgY!AO395, WMID!AO395, EMID!AO395, SWALES!AO395, SWEST!AO395, LPN!AO395,SPN!AO395,EPN!AO395,SPD!AO395,SPMW!AO395,SSEH!AO395,SSES!AO395)</f>
        <v>2.8897491975180743E-2</v>
      </c>
      <c r="AP395" s="329">
        <f>CHOOSE(m_identity,ENWL!AP395, NPgN!AP395, NPgY!AP395, WMID!AP395, EMID!AP395, SWALES!AP395, SWEST!AP395, LPN!AP395,SPN!AP395,EPN!AP395,SPD!AP395,SPMW!AP395,SSEH!AP395,SSES!AP395)</f>
        <v>2.8897491975180743E-2</v>
      </c>
      <c r="AQ395" s="329">
        <f>CHOOSE(m_identity,ENWL!AQ395, NPgN!AQ395, NPgY!AQ395, WMID!AQ395, EMID!AQ395, SWALES!AQ395, SWEST!AQ395, LPN!AQ395,SPN!AQ395,EPN!AQ395,SPD!AQ395,SPMW!AQ395,SSEH!AQ395,SSES!AQ395)</f>
        <v>2.8897491975180743E-2</v>
      </c>
    </row>
    <row r="396" spans="4:43" s="44" customFormat="1" ht="12.75">
      <c r="E396" s="156" t="s">
        <v>665</v>
      </c>
      <c r="G396" s="44" t="s">
        <v>49</v>
      </c>
      <c r="J396" s="95"/>
      <c r="K396" s="95"/>
      <c r="L396" s="95"/>
      <c r="M396" s="156"/>
      <c r="N396" s="156"/>
      <c r="O396" s="95"/>
      <c r="P396" s="95"/>
      <c r="Q396" s="95"/>
      <c r="R396" s="95"/>
      <c r="S396" s="95"/>
      <c r="T396" s="95"/>
      <c r="U396" s="95"/>
      <c r="V396" s="95"/>
      <c r="W396" s="95"/>
      <c r="X396" s="95"/>
      <c r="Y396" s="95"/>
      <c r="Z396" s="95"/>
      <c r="AA396" s="95"/>
      <c r="AB396" s="95"/>
      <c r="AC396" s="95"/>
      <c r="AD396" s="95"/>
      <c r="AE396" s="95"/>
      <c r="AF396" s="95"/>
      <c r="AJ396" s="329">
        <f>CHOOSE(m_identity,ENWL!AJ396, NPgN!AJ396, NPgY!AJ396, WMID!AJ396, EMID!AJ396, SWALES!AJ396, SWEST!AJ396, LPN!AJ396,SPN!AJ396,EPN!AJ396,SPD!AJ396,SPMW!AJ396,SSEH!AJ396,SSES!AJ396)</f>
        <v>0.53627590547130843</v>
      </c>
      <c r="AK396" s="329">
        <f>CHOOSE(m_identity,ENWL!AK396, NPgN!AK396, NPgY!AK396, WMID!AK396, EMID!AK396, SWALES!AK396, SWEST!AK396, LPN!AK396,SPN!AK396,EPN!AK396,SPD!AK396,SPMW!AK396,SSEH!AK396,SSES!AK396)</f>
        <v>0.53627590547130843</v>
      </c>
      <c r="AL396" s="329">
        <f>CHOOSE(m_identity,ENWL!AL396, NPgN!AL396, NPgY!AL396, WMID!AL396, EMID!AL396, SWALES!AL396, SWEST!AL396, LPN!AL396,SPN!AL396,EPN!AL396,SPD!AL396,SPMW!AL396,SSEH!AL396,SSES!AL396)</f>
        <v>0.53627590547130843</v>
      </c>
      <c r="AM396" s="329">
        <f>CHOOSE(m_identity,ENWL!AM396, NPgN!AM396, NPgY!AM396, WMID!AM396, EMID!AM396, SWALES!AM396, SWEST!AM396, LPN!AM396,SPN!AM396,EPN!AM396,SPD!AM396,SPMW!AM396,SSEH!AM396,SSES!AM396)</f>
        <v>0.53627590547130843</v>
      </c>
      <c r="AN396" s="329">
        <f>CHOOSE(m_identity,ENWL!AN396, NPgN!AN396, NPgY!AN396, WMID!AN396, EMID!AN396, SWALES!AN396, SWEST!AN396, LPN!AN396,SPN!AN396,EPN!AN396,SPD!AN396,SPMW!AN396,SSEH!AN396,SSES!AN396)</f>
        <v>0.53627590547130843</v>
      </c>
      <c r="AO396" s="329">
        <f>CHOOSE(m_identity,ENWL!AO396, NPgN!AO396, NPgY!AO396, WMID!AO396, EMID!AO396, SWALES!AO396, SWEST!AO396, LPN!AO396,SPN!AO396,EPN!AO396,SPD!AO396,SPMW!AO396,SSEH!AO396,SSES!AO396)</f>
        <v>0.53627590547130843</v>
      </c>
      <c r="AP396" s="329">
        <f>CHOOSE(m_identity,ENWL!AP396, NPgN!AP396, NPgY!AP396, WMID!AP396, EMID!AP396, SWALES!AP396, SWEST!AP396, LPN!AP396,SPN!AP396,EPN!AP396,SPD!AP396,SPMW!AP396,SSEH!AP396,SSES!AP396)</f>
        <v>0.53627590547130843</v>
      </c>
      <c r="AQ396" s="329">
        <f>CHOOSE(m_identity,ENWL!AQ396, NPgN!AQ396, NPgY!AQ396, WMID!AQ396, EMID!AQ396, SWALES!AQ396, SWEST!AQ396, LPN!AQ396,SPN!AQ396,EPN!AQ396,SPD!AQ396,SPMW!AQ396,SSEH!AQ396,SSES!AQ396)</f>
        <v>0.53627590547130843</v>
      </c>
    </row>
    <row r="397" spans="4:43" s="44" customFormat="1" ht="12.75">
      <c r="E397" s="93" t="s">
        <v>25</v>
      </c>
      <c r="G397" s="44" t="s">
        <v>49</v>
      </c>
      <c r="J397" s="95"/>
      <c r="K397" s="95"/>
      <c r="L397" s="95"/>
      <c r="M397" s="156"/>
      <c r="N397" s="156"/>
      <c r="O397" s="95"/>
      <c r="P397" s="95"/>
      <c r="Q397" s="95"/>
      <c r="R397" s="95"/>
      <c r="S397" s="95"/>
      <c r="T397" s="95"/>
      <c r="U397" s="95"/>
      <c r="V397" s="95"/>
      <c r="W397" s="95"/>
      <c r="X397" s="95"/>
      <c r="Y397" s="95"/>
      <c r="Z397" s="95"/>
      <c r="AA397" s="95"/>
      <c r="AB397" s="95"/>
      <c r="AC397" s="95"/>
      <c r="AD397" s="95"/>
      <c r="AE397" s="95"/>
      <c r="AF397" s="95"/>
      <c r="AJ397" s="329">
        <f>CHOOSE(m_identity,ENWL!AJ397, NPgN!AJ397, NPgY!AJ397, WMID!AJ397, EMID!AJ397, SWALES!AJ397, SWEST!AJ397, LPN!AJ397,SPN!AJ397,EPN!AJ397,SPD!AJ397,SPMW!AJ397,SSEH!AJ397,SSES!AJ397)</f>
        <v>0.18448601841349963</v>
      </c>
      <c r="AK397" s="329">
        <f>CHOOSE(m_identity,ENWL!AK397, NPgN!AK397, NPgY!AK397, WMID!AK397, EMID!AK397, SWALES!AK397, SWEST!AK397, LPN!AK397,SPN!AK397,EPN!AK397,SPD!AK397,SPMW!AK397,SSEH!AK397,SSES!AK397)</f>
        <v>0.18448601841349963</v>
      </c>
      <c r="AL397" s="329">
        <f>CHOOSE(m_identity,ENWL!AL397, NPgN!AL397, NPgY!AL397, WMID!AL397, EMID!AL397, SWALES!AL397, SWEST!AL397, LPN!AL397,SPN!AL397,EPN!AL397,SPD!AL397,SPMW!AL397,SSEH!AL397,SSES!AL397)</f>
        <v>0.18448601841349963</v>
      </c>
      <c r="AM397" s="329">
        <f>CHOOSE(m_identity,ENWL!AM397, NPgN!AM397, NPgY!AM397, WMID!AM397, EMID!AM397, SWALES!AM397, SWEST!AM397, LPN!AM397,SPN!AM397,EPN!AM397,SPD!AM397,SPMW!AM397,SSEH!AM397,SSES!AM397)</f>
        <v>0.18448601841349963</v>
      </c>
      <c r="AN397" s="329">
        <f>CHOOSE(m_identity,ENWL!AN397, NPgN!AN397, NPgY!AN397, WMID!AN397, EMID!AN397, SWALES!AN397, SWEST!AN397, LPN!AN397,SPN!AN397,EPN!AN397,SPD!AN397,SPMW!AN397,SSEH!AN397,SSES!AN397)</f>
        <v>0.18448601841349963</v>
      </c>
      <c r="AO397" s="329">
        <f>CHOOSE(m_identity,ENWL!AO397, NPgN!AO397, NPgY!AO397, WMID!AO397, EMID!AO397, SWALES!AO397, SWEST!AO397, LPN!AO397,SPN!AO397,EPN!AO397,SPD!AO397,SPMW!AO397,SSEH!AO397,SSES!AO397)</f>
        <v>0.18448601841349963</v>
      </c>
      <c r="AP397" s="329">
        <f>CHOOSE(m_identity,ENWL!AP397, NPgN!AP397, NPgY!AP397, WMID!AP397, EMID!AP397, SWALES!AP397, SWEST!AP397, LPN!AP397,SPN!AP397,EPN!AP397,SPD!AP397,SPMW!AP397,SSEH!AP397,SSES!AP397)</f>
        <v>0.18448601841349963</v>
      </c>
      <c r="AQ397" s="329">
        <f>CHOOSE(m_identity,ENWL!AQ397, NPgN!AQ397, NPgY!AQ397, WMID!AQ397, EMID!AQ397, SWALES!AQ397, SWEST!AQ397, LPN!AQ397,SPN!AQ397,EPN!AQ397,SPD!AQ397,SPMW!AQ397,SSEH!AQ397,SSES!AQ397)</f>
        <v>0.18448601841349963</v>
      </c>
    </row>
    <row r="398" spans="4:43" s="156" customFormat="1" ht="12.75">
      <c r="E398" s="93" t="s">
        <v>706</v>
      </c>
      <c r="G398" s="156" t="s">
        <v>49</v>
      </c>
      <c r="AJ398" s="329">
        <f>CHOOSE(m_identity,ENWL!AJ398, NPgN!AJ398, NPgY!AJ398, WMID!AJ398, EMID!AJ398, SWALES!AJ398, SWEST!AJ398, LPN!AJ398,SPN!AJ398,EPN!AJ398,SPD!AJ398,SPMW!AJ398,SSEH!AJ398,SSES!AJ398)</f>
        <v>0.62040596588144259</v>
      </c>
      <c r="AK398" s="329">
        <f>CHOOSE(m_identity,ENWL!AK398, NPgN!AK398, NPgY!AK398, WMID!AK398, EMID!AK398, SWALES!AK398, SWEST!AK398, LPN!AK398,SPN!AK398,EPN!AK398,SPD!AK398,SPMW!AK398,SSEH!AK398,SSES!AK398)</f>
        <v>0.62040596588144259</v>
      </c>
      <c r="AL398" s="329">
        <f>CHOOSE(m_identity,ENWL!AL398, NPgN!AL398, NPgY!AL398, WMID!AL398, EMID!AL398, SWALES!AL398, SWEST!AL398, LPN!AL398,SPN!AL398,EPN!AL398,SPD!AL398,SPMW!AL398,SSEH!AL398,SSES!AL398)</f>
        <v>0.62040596588144259</v>
      </c>
      <c r="AM398" s="329">
        <f>CHOOSE(m_identity,ENWL!AM398, NPgN!AM398, NPgY!AM398, WMID!AM398, EMID!AM398, SWALES!AM398, SWEST!AM398, LPN!AM398,SPN!AM398,EPN!AM398,SPD!AM398,SPMW!AM398,SSEH!AM398,SSES!AM398)</f>
        <v>0.62040596588144259</v>
      </c>
      <c r="AN398" s="329">
        <f>CHOOSE(m_identity,ENWL!AN398, NPgN!AN398, NPgY!AN398, WMID!AN398, EMID!AN398, SWALES!AN398, SWEST!AN398, LPN!AN398,SPN!AN398,EPN!AN398,SPD!AN398,SPMW!AN398,SSEH!AN398,SSES!AN398)</f>
        <v>0.62040596588144259</v>
      </c>
      <c r="AO398" s="329">
        <f>CHOOSE(m_identity,ENWL!AO398, NPgN!AO398, NPgY!AO398, WMID!AO398, EMID!AO398, SWALES!AO398, SWEST!AO398, LPN!AO398,SPN!AO398,EPN!AO398,SPD!AO398,SPMW!AO398,SSEH!AO398,SSES!AO398)</f>
        <v>0.62040596588144259</v>
      </c>
      <c r="AP398" s="329">
        <f>CHOOSE(m_identity,ENWL!AP398, NPgN!AP398, NPgY!AP398, WMID!AP398, EMID!AP398, SWALES!AP398, SWEST!AP398, LPN!AP398,SPN!AP398,EPN!AP398,SPD!AP398,SPMW!AP398,SSEH!AP398,SSES!AP398)</f>
        <v>0.62040596588144259</v>
      </c>
      <c r="AQ398" s="329">
        <f>CHOOSE(m_identity,ENWL!AQ398, NPgN!AQ398, NPgY!AQ398, WMID!AQ398, EMID!AQ398, SWALES!AQ398, SWEST!AQ398, LPN!AQ398,SPN!AQ398,EPN!AQ398,SPD!AQ398,SPMW!AQ398,SSEH!AQ398,SSES!AQ398)</f>
        <v>0.62040596588144259</v>
      </c>
    </row>
    <row r="399" spans="4:43" s="156" customFormat="1" ht="12.75">
      <c r="E399" s="294" t="s">
        <v>992</v>
      </c>
      <c r="G399" s="156" t="s">
        <v>49</v>
      </c>
      <c r="AJ399" s="329">
        <f>CHOOSE(m_identity,ENWL!AJ399, NPgN!AJ399, NPgY!AJ399, WMID!AJ399, EMID!AJ399, SWALES!AJ399, SWEST!AJ399, LPN!AJ399,SPN!AJ399,EPN!AJ399,SPD!AJ399,SPMW!AJ399,SSEH!AJ399,SSES!AJ399)</f>
        <v>0</v>
      </c>
      <c r="AK399" s="329">
        <f>CHOOSE(m_identity,ENWL!AK399, NPgN!AK399, NPgY!AK399, WMID!AK399, EMID!AK399, SWALES!AK399, SWEST!AK399, LPN!AK399,SPN!AK399,EPN!AK399,SPD!AK399,SPMW!AK399,SSEH!AK399,SSES!AK399)</f>
        <v>0</v>
      </c>
      <c r="AL399" s="329">
        <f>CHOOSE(m_identity,ENWL!AL399, NPgN!AL399, NPgY!AL399, WMID!AL399, EMID!AL399, SWALES!AL399, SWEST!AL399, LPN!AL399,SPN!AL399,EPN!AL399,SPD!AL399,SPMW!AL399,SSEH!AL399,SSES!AL399)</f>
        <v>0</v>
      </c>
      <c r="AM399" s="329">
        <f>CHOOSE(m_identity,ENWL!AM399, NPgN!AM399, NPgY!AM399, WMID!AM399, EMID!AM399, SWALES!AM399, SWEST!AM399, LPN!AM399,SPN!AM399,EPN!AM399,SPD!AM399,SPMW!AM399,SSEH!AM399,SSES!AM399)</f>
        <v>0</v>
      </c>
      <c r="AN399" s="329">
        <f>CHOOSE(m_identity,ENWL!AN399, NPgN!AN399, NPgY!AN399, WMID!AN399, EMID!AN399, SWALES!AN399, SWEST!AN399, LPN!AN399,SPN!AN399,EPN!AN399,SPD!AN399,SPMW!AN399,SSEH!AN399,SSES!AN399)</f>
        <v>0</v>
      </c>
      <c r="AO399" s="329">
        <f>CHOOSE(m_identity,ENWL!AO399, NPgN!AO399, NPgY!AO399, WMID!AO399, EMID!AO399, SWALES!AO399, SWEST!AO399, LPN!AO399,SPN!AO399,EPN!AO399,SPD!AO399,SPMW!AO399,SSEH!AO399,SSES!AO399)</f>
        <v>0</v>
      </c>
      <c r="AP399" s="329">
        <f>CHOOSE(m_identity,ENWL!AP399, NPgN!AP399, NPgY!AP399, WMID!AP399, EMID!AP399, SWALES!AP399, SWEST!AP399, LPN!AP399,SPN!AP399,EPN!AP399,SPD!AP399,SPMW!AP399,SSEH!AP399,SSES!AP399)</f>
        <v>0</v>
      </c>
      <c r="AQ399" s="329">
        <f>CHOOSE(m_identity,ENWL!AQ399, NPgN!AQ399, NPgY!AQ399, WMID!AQ399, EMID!AQ399, SWALES!AQ399, SWEST!AQ399, LPN!AQ399,SPN!AQ399,EPN!AQ399,SPD!AQ399,SPMW!AQ399,SSEH!AQ399,SSES!AQ399)</f>
        <v>0</v>
      </c>
    </row>
    <row r="400" spans="4:43" s="156" customFormat="1" ht="12.75">
      <c r="E400" s="93" t="s">
        <v>922</v>
      </c>
      <c r="G400" s="156" t="s">
        <v>49</v>
      </c>
      <c r="AJ400" s="329">
        <f>CHOOSE(m_identity,ENWL!AJ400, NPgN!AJ400, NPgY!AJ400, WMID!AJ400, EMID!AJ400, SWALES!AJ400, SWEST!AJ400, LPN!AJ400,SPN!AJ400,EPN!AJ400,SPD!AJ400,SPMW!AJ400,SSEH!AJ400,SSES!AJ400)</f>
        <v>0</v>
      </c>
      <c r="AK400" s="329">
        <f>CHOOSE(m_identity,ENWL!AK400, NPgN!AK400, NPgY!AK400, WMID!AK400, EMID!AK400, SWALES!AK400, SWEST!AK400, LPN!AK400,SPN!AK400,EPN!AK400,SPD!AK400,SPMW!AK400,SSEH!AK400,SSES!AK400)</f>
        <v>0</v>
      </c>
      <c r="AL400" s="329">
        <f>CHOOSE(m_identity,ENWL!AL400, NPgN!AL400, NPgY!AL400, WMID!AL400, EMID!AL400, SWALES!AL400, SWEST!AL400, LPN!AL400,SPN!AL400,EPN!AL400,SPD!AL400,SPMW!AL400,SSEH!AL400,SSES!AL400)</f>
        <v>0</v>
      </c>
      <c r="AM400" s="329">
        <f>CHOOSE(m_identity,ENWL!AM400, NPgN!AM400, NPgY!AM400, WMID!AM400, EMID!AM400, SWALES!AM400, SWEST!AM400, LPN!AM400,SPN!AM400,EPN!AM400,SPD!AM400,SPMW!AM400,SSEH!AM400,SSES!AM400)</f>
        <v>0</v>
      </c>
      <c r="AN400" s="329">
        <f>CHOOSE(m_identity,ENWL!AN400, NPgN!AN400, NPgY!AN400, WMID!AN400, EMID!AN400, SWALES!AN400, SWEST!AN400, LPN!AN400,SPN!AN400,EPN!AN400,SPD!AN400,SPMW!AN400,SSEH!AN400,SSES!AN400)</f>
        <v>0</v>
      </c>
      <c r="AO400" s="329">
        <f>CHOOSE(m_identity,ENWL!AO400, NPgN!AO400, NPgY!AO400, WMID!AO400, EMID!AO400, SWALES!AO400, SWEST!AO400, LPN!AO400,SPN!AO400,EPN!AO400,SPD!AO400,SPMW!AO400,SSEH!AO400,SSES!AO400)</f>
        <v>0</v>
      </c>
      <c r="AP400" s="329">
        <f>CHOOSE(m_identity,ENWL!AP400, NPgN!AP400, NPgY!AP400, WMID!AP400, EMID!AP400, SWALES!AP400, SWEST!AP400, LPN!AP400,SPN!AP400,EPN!AP400,SPD!AP400,SPMW!AP400,SSEH!AP400,SSES!AP400)</f>
        <v>0</v>
      </c>
      <c r="AQ400" s="329">
        <f>CHOOSE(m_identity,ENWL!AQ400, NPgN!AQ400, NPgY!AQ400, WMID!AQ400, EMID!AQ400, SWALES!AQ400, SWEST!AQ400, LPN!AQ400,SPN!AQ400,EPN!AQ400,SPD!AQ400,SPMW!AQ400,SSEH!AQ400,SSES!AQ400)</f>
        <v>0</v>
      </c>
    </row>
    <row r="401" spans="4:43" s="44" customFormat="1" ht="12.75">
      <c r="E401" s="156" t="s">
        <v>796</v>
      </c>
      <c r="G401" s="44" t="s">
        <v>49</v>
      </c>
      <c r="J401" s="95"/>
      <c r="K401" s="95"/>
      <c r="L401" s="95"/>
      <c r="M401" s="156"/>
      <c r="N401" s="156"/>
      <c r="O401" s="95"/>
      <c r="P401" s="95"/>
      <c r="Q401" s="95"/>
      <c r="R401" s="95"/>
      <c r="S401" s="95"/>
      <c r="T401" s="95"/>
      <c r="U401" s="95"/>
      <c r="V401" s="95"/>
      <c r="W401" s="95"/>
      <c r="X401" s="95"/>
      <c r="Y401" s="95"/>
      <c r="Z401" s="95"/>
      <c r="AA401" s="95"/>
      <c r="AB401" s="95"/>
      <c r="AC401" s="95"/>
      <c r="AD401" s="95"/>
      <c r="AE401" s="95"/>
      <c r="AF401" s="95"/>
      <c r="AJ401" s="329">
        <f>CHOOSE(m_identity,ENWL!AJ401, NPgN!AJ401, NPgY!AJ401, WMID!AJ401, EMID!AJ401, SWALES!AJ401, SWEST!AJ401, LPN!AJ401,SPN!AJ401,EPN!AJ401,SPD!AJ401,SPMW!AJ401,SSEH!AJ401,SSES!AJ401)</f>
        <v>0.25820830749718165</v>
      </c>
      <c r="AK401" s="329">
        <f>CHOOSE(m_identity,ENWL!AK401, NPgN!AK401, NPgY!AK401, WMID!AK401, EMID!AK401, SWALES!AK401, SWEST!AK401, LPN!AK401,SPN!AK401,EPN!AK401,SPD!AK401,SPMW!AK401,SSEH!AK401,SSES!AK401)</f>
        <v>0.25820830749718165</v>
      </c>
      <c r="AL401" s="329">
        <f>CHOOSE(m_identity,ENWL!AL401, NPgN!AL401, NPgY!AL401, WMID!AL401, EMID!AL401, SWALES!AL401, SWEST!AL401, LPN!AL401,SPN!AL401,EPN!AL401,SPD!AL401,SPMW!AL401,SSEH!AL401,SSES!AL401)</f>
        <v>0.25820830749718165</v>
      </c>
      <c r="AM401" s="329">
        <f>CHOOSE(m_identity,ENWL!AM401, NPgN!AM401, NPgY!AM401, WMID!AM401, EMID!AM401, SWALES!AM401, SWEST!AM401, LPN!AM401,SPN!AM401,EPN!AM401,SPD!AM401,SPMW!AM401,SSEH!AM401,SSES!AM401)</f>
        <v>0.25820830749718165</v>
      </c>
      <c r="AN401" s="329">
        <f>CHOOSE(m_identity,ENWL!AN401, NPgN!AN401, NPgY!AN401, WMID!AN401, EMID!AN401, SWALES!AN401, SWEST!AN401, LPN!AN401,SPN!AN401,EPN!AN401,SPD!AN401,SPMW!AN401,SSEH!AN401,SSES!AN401)</f>
        <v>0.25820830749718165</v>
      </c>
      <c r="AO401" s="329">
        <f>CHOOSE(m_identity,ENWL!AO401, NPgN!AO401, NPgY!AO401, WMID!AO401, EMID!AO401, SWALES!AO401, SWEST!AO401, LPN!AO401,SPN!AO401,EPN!AO401,SPD!AO401,SPMW!AO401,SSEH!AO401,SSES!AO401)</f>
        <v>0.25820830749718165</v>
      </c>
      <c r="AP401" s="329">
        <f>CHOOSE(m_identity,ENWL!AP401, NPgN!AP401, NPgY!AP401, WMID!AP401, EMID!AP401, SWALES!AP401, SWEST!AP401, LPN!AP401,SPN!AP401,EPN!AP401,SPD!AP401,SPMW!AP401,SSEH!AP401,SSES!AP401)</f>
        <v>0.25820830749718165</v>
      </c>
      <c r="AQ401" s="329">
        <f>CHOOSE(m_identity,ENWL!AQ401, NPgN!AQ401, NPgY!AQ401, WMID!AQ401, EMID!AQ401, SWALES!AQ401, SWEST!AQ401, LPN!AQ401,SPN!AQ401,EPN!AQ401,SPD!AQ401,SPMW!AQ401,SSEH!AQ401,SSES!AQ401)</f>
        <v>0.25820830749718165</v>
      </c>
    </row>
    <row r="402" spans="4:43" s="44" customFormat="1" ht="12.75">
      <c r="F402" s="95"/>
      <c r="G402" s="95"/>
      <c r="H402" s="95"/>
      <c r="I402" s="95"/>
      <c r="J402" s="95"/>
      <c r="K402" s="95"/>
      <c r="L402" s="95"/>
      <c r="M402" s="156"/>
      <c r="N402" s="156"/>
      <c r="O402" s="95"/>
      <c r="P402" s="95"/>
      <c r="Q402" s="95"/>
      <c r="R402" s="95"/>
      <c r="S402" s="95"/>
      <c r="T402" s="95"/>
      <c r="U402" s="95"/>
      <c r="V402" s="95"/>
      <c r="W402" s="95"/>
      <c r="X402" s="95"/>
      <c r="Y402" s="95"/>
      <c r="Z402" s="95"/>
      <c r="AA402" s="95"/>
      <c r="AB402" s="95"/>
      <c r="AC402" s="95"/>
      <c r="AD402" s="95"/>
      <c r="AE402" s="95"/>
      <c r="AF402" s="95"/>
      <c r="AJ402" s="239"/>
      <c r="AK402" s="239"/>
      <c r="AL402" s="239"/>
      <c r="AM402" s="239"/>
      <c r="AN402" s="239"/>
      <c r="AO402" s="239"/>
      <c r="AP402" s="239"/>
      <c r="AQ402" s="239"/>
    </row>
    <row r="403" spans="4:43" s="44" customFormat="1" ht="12.75">
      <c r="D403" s="36" t="s">
        <v>861</v>
      </c>
      <c r="E403" s="36"/>
      <c r="F403" s="36"/>
      <c r="G403" s="36"/>
      <c r="H403" s="36"/>
      <c r="I403" s="36"/>
      <c r="J403" s="36"/>
      <c r="K403" s="36"/>
      <c r="L403" s="36"/>
      <c r="M403" s="36"/>
      <c r="N403" s="36"/>
      <c r="O403" s="36"/>
      <c r="P403" s="36"/>
      <c r="Q403" s="36"/>
      <c r="R403" s="36"/>
      <c r="S403" s="36"/>
      <c r="T403" s="36"/>
      <c r="U403" s="36"/>
      <c r="V403" s="36"/>
      <c r="W403" s="36"/>
      <c r="X403" s="36"/>
      <c r="Y403" s="36"/>
      <c r="Z403" s="36"/>
      <c r="AA403" s="36"/>
      <c r="AB403" s="36"/>
      <c r="AC403" s="36"/>
      <c r="AD403" s="36"/>
      <c r="AE403" s="36"/>
      <c r="AF403" s="36"/>
      <c r="AG403" s="36"/>
      <c r="AH403" s="36"/>
      <c r="AI403" s="36"/>
      <c r="AJ403" s="333"/>
      <c r="AK403" s="333"/>
      <c r="AL403" s="333"/>
      <c r="AM403" s="333"/>
      <c r="AN403" s="333"/>
      <c r="AO403" s="333"/>
      <c r="AP403" s="333"/>
      <c r="AQ403" s="333"/>
    </row>
    <row r="404" spans="4:43" s="44" customFormat="1" ht="12.75">
      <c r="J404" s="95"/>
      <c r="K404" s="95"/>
      <c r="L404" s="95"/>
      <c r="M404" s="156"/>
      <c r="N404" s="156"/>
      <c r="O404" s="95"/>
      <c r="P404" s="95"/>
      <c r="Q404" s="95"/>
      <c r="R404" s="95"/>
      <c r="S404" s="95"/>
      <c r="T404" s="95"/>
      <c r="U404" s="95"/>
      <c r="V404" s="95"/>
      <c r="W404" s="95"/>
      <c r="X404" s="95"/>
      <c r="Y404" s="95"/>
      <c r="Z404" s="95"/>
      <c r="AA404" s="95"/>
      <c r="AB404" s="95"/>
      <c r="AC404" s="95"/>
      <c r="AD404" s="95"/>
      <c r="AE404" s="95"/>
      <c r="AF404" s="95"/>
      <c r="AJ404" s="241"/>
      <c r="AK404" s="239"/>
      <c r="AL404" s="239"/>
      <c r="AM404" s="239"/>
      <c r="AN404" s="239"/>
      <c r="AO404" s="239"/>
      <c r="AP404" s="239"/>
      <c r="AQ404" s="239"/>
    </row>
    <row r="405" spans="4:43" s="44" customFormat="1" ht="12.75">
      <c r="E405" s="93" t="s">
        <v>24</v>
      </c>
      <c r="G405" s="44" t="s">
        <v>49</v>
      </c>
      <c r="J405" s="95"/>
      <c r="K405" s="95"/>
      <c r="L405" s="95"/>
      <c r="M405" s="156"/>
      <c r="N405" s="156"/>
      <c r="O405" s="95"/>
      <c r="P405" s="95"/>
      <c r="Q405" s="95"/>
      <c r="R405" s="95"/>
      <c r="S405" s="95"/>
      <c r="T405" s="95"/>
      <c r="U405" s="95"/>
      <c r="V405" s="95"/>
      <c r="W405" s="95"/>
      <c r="X405" s="95"/>
      <c r="Y405" s="95"/>
      <c r="Z405" s="95"/>
      <c r="AA405" s="95"/>
      <c r="AB405" s="95"/>
      <c r="AC405" s="95"/>
      <c r="AD405" s="95"/>
      <c r="AE405" s="95"/>
      <c r="AF405" s="95"/>
      <c r="AJ405" s="329">
        <f>CHOOSE(m_identity,ENWL!AJ405, NPgN!AJ405, NPgY!AJ405, WMID!AJ405, EMID!AJ405, SWALES!AJ405, SWEST!AJ405, LPN!AJ405,SPN!AJ405,EPN!AJ405,SPD!AJ405,SPMW!AJ405,SSEH!AJ405,SSES!AJ405)</f>
        <v>0</v>
      </c>
      <c r="AK405" s="329">
        <f>CHOOSE(m_identity,ENWL!AK405, NPgN!AK405, NPgY!AK405, WMID!AK405, EMID!AK405, SWALES!AK405, SWEST!AK405, LPN!AK405,SPN!AK405,EPN!AK405,SPD!AK405,SPMW!AK405,SSEH!AK405,SSES!AK405)</f>
        <v>0</v>
      </c>
      <c r="AL405" s="329">
        <f>CHOOSE(m_identity,ENWL!AL405, NPgN!AL405, NPgY!AL405, WMID!AL405, EMID!AL405, SWALES!AL405, SWEST!AL405, LPN!AL405,SPN!AL405,EPN!AL405,SPD!AL405,SPMW!AL405,SSEH!AL405,SSES!AL405)</f>
        <v>0</v>
      </c>
      <c r="AM405" s="329">
        <f>CHOOSE(m_identity,ENWL!AM405, NPgN!AM405, NPgY!AM405, WMID!AM405, EMID!AM405, SWALES!AM405, SWEST!AM405, LPN!AM405,SPN!AM405,EPN!AM405,SPD!AM405,SPMW!AM405,SSEH!AM405,SSES!AM405)</f>
        <v>0</v>
      </c>
      <c r="AN405" s="329">
        <f>CHOOSE(m_identity,ENWL!AN405, NPgN!AN405, NPgY!AN405, WMID!AN405, EMID!AN405, SWALES!AN405, SWEST!AN405, LPN!AN405,SPN!AN405,EPN!AN405,SPD!AN405,SPMW!AN405,SSEH!AN405,SSES!AN405)</f>
        <v>0</v>
      </c>
      <c r="AO405" s="329">
        <f>CHOOSE(m_identity,ENWL!AO405, NPgN!AO405, NPgY!AO405, WMID!AO405, EMID!AO405, SWALES!AO405, SWEST!AO405, LPN!AO405,SPN!AO405,EPN!AO405,SPD!AO405,SPMW!AO405,SSEH!AO405,SSES!AO405)</f>
        <v>0</v>
      </c>
      <c r="AP405" s="329">
        <f>CHOOSE(m_identity,ENWL!AP405, NPgN!AP405, NPgY!AP405, WMID!AP405, EMID!AP405, SWALES!AP405, SWEST!AP405, LPN!AP405,SPN!AP405,EPN!AP405,SPD!AP405,SPMW!AP405,SSEH!AP405,SSES!AP405)</f>
        <v>0</v>
      </c>
      <c r="AQ405" s="329">
        <f>CHOOSE(m_identity,ENWL!AQ405, NPgN!AQ405, NPgY!AQ405, WMID!AQ405, EMID!AQ405, SWALES!AQ405, SWEST!AQ405, LPN!AQ405,SPN!AQ405,EPN!AQ405,SPD!AQ405,SPMW!AQ405,SSEH!AQ405,SSES!AQ405)</f>
        <v>0</v>
      </c>
    </row>
    <row r="406" spans="4:43" s="44" customFormat="1" ht="12.75">
      <c r="E406" s="156" t="s">
        <v>665</v>
      </c>
      <c r="G406" s="44" t="s">
        <v>49</v>
      </c>
      <c r="J406" s="95"/>
      <c r="K406" s="95"/>
      <c r="L406" s="95"/>
      <c r="M406" s="156"/>
      <c r="N406" s="156"/>
      <c r="O406" s="95"/>
      <c r="P406" s="95"/>
      <c r="Q406" s="95"/>
      <c r="R406" s="95"/>
      <c r="S406" s="95"/>
      <c r="T406" s="95"/>
      <c r="U406" s="95"/>
      <c r="V406" s="95"/>
      <c r="W406" s="95"/>
      <c r="X406" s="95"/>
      <c r="Y406" s="95"/>
      <c r="Z406" s="95"/>
      <c r="AA406" s="95"/>
      <c r="AB406" s="95"/>
      <c r="AC406" s="95"/>
      <c r="AD406" s="95"/>
      <c r="AE406" s="95"/>
      <c r="AF406" s="95"/>
      <c r="AJ406" s="329">
        <f>CHOOSE(m_identity,ENWL!AJ406, NPgN!AJ406, NPgY!AJ406, WMID!AJ406, EMID!AJ406, SWALES!AJ406, SWEST!AJ406, LPN!AJ406,SPN!AJ406,EPN!AJ406,SPD!AJ406,SPMW!AJ406,SSEH!AJ406,SSES!AJ406)</f>
        <v>0</v>
      </c>
      <c r="AK406" s="329">
        <f>CHOOSE(m_identity,ENWL!AK406, NPgN!AK406, NPgY!AK406, WMID!AK406, EMID!AK406, SWALES!AK406, SWEST!AK406, LPN!AK406,SPN!AK406,EPN!AK406,SPD!AK406,SPMW!AK406,SSEH!AK406,SSES!AK406)</f>
        <v>0</v>
      </c>
      <c r="AL406" s="329">
        <f>CHOOSE(m_identity,ENWL!AL406, NPgN!AL406, NPgY!AL406, WMID!AL406, EMID!AL406, SWALES!AL406, SWEST!AL406, LPN!AL406,SPN!AL406,EPN!AL406,SPD!AL406,SPMW!AL406,SSEH!AL406,SSES!AL406)</f>
        <v>0</v>
      </c>
      <c r="AM406" s="329">
        <f>CHOOSE(m_identity,ENWL!AM406, NPgN!AM406, NPgY!AM406, WMID!AM406, EMID!AM406, SWALES!AM406, SWEST!AM406, LPN!AM406,SPN!AM406,EPN!AM406,SPD!AM406,SPMW!AM406,SSEH!AM406,SSES!AM406)</f>
        <v>0</v>
      </c>
      <c r="AN406" s="329">
        <f>CHOOSE(m_identity,ENWL!AN406, NPgN!AN406, NPgY!AN406, WMID!AN406, EMID!AN406, SWALES!AN406, SWEST!AN406, LPN!AN406,SPN!AN406,EPN!AN406,SPD!AN406,SPMW!AN406,SSEH!AN406,SSES!AN406)</f>
        <v>0</v>
      </c>
      <c r="AO406" s="329">
        <f>CHOOSE(m_identity,ENWL!AO406, NPgN!AO406, NPgY!AO406, WMID!AO406, EMID!AO406, SWALES!AO406, SWEST!AO406, LPN!AO406,SPN!AO406,EPN!AO406,SPD!AO406,SPMW!AO406,SSEH!AO406,SSES!AO406)</f>
        <v>0</v>
      </c>
      <c r="AP406" s="329">
        <f>CHOOSE(m_identity,ENWL!AP406, NPgN!AP406, NPgY!AP406, WMID!AP406, EMID!AP406, SWALES!AP406, SWEST!AP406, LPN!AP406,SPN!AP406,EPN!AP406,SPD!AP406,SPMW!AP406,SSEH!AP406,SSES!AP406)</f>
        <v>0</v>
      </c>
      <c r="AQ406" s="329">
        <f>CHOOSE(m_identity,ENWL!AQ406, NPgN!AQ406, NPgY!AQ406, WMID!AQ406, EMID!AQ406, SWALES!AQ406, SWEST!AQ406, LPN!AQ406,SPN!AQ406,EPN!AQ406,SPD!AQ406,SPMW!AQ406,SSEH!AQ406,SSES!AQ406)</f>
        <v>0</v>
      </c>
    </row>
    <row r="407" spans="4:43" s="44" customFormat="1" ht="12.75">
      <c r="E407" s="93" t="s">
        <v>25</v>
      </c>
      <c r="G407" s="44" t="s">
        <v>49</v>
      </c>
      <c r="J407" s="95"/>
      <c r="K407" s="95"/>
      <c r="L407" s="95"/>
      <c r="M407" s="156"/>
      <c r="N407" s="156"/>
      <c r="O407" s="95"/>
      <c r="P407" s="95"/>
      <c r="Q407" s="95"/>
      <c r="R407" s="95"/>
      <c r="S407" s="95"/>
      <c r="T407" s="95"/>
      <c r="U407" s="95"/>
      <c r="V407" s="95"/>
      <c r="W407" s="95"/>
      <c r="X407" s="95"/>
      <c r="Y407" s="95"/>
      <c r="Z407" s="95"/>
      <c r="AA407" s="95"/>
      <c r="AB407" s="95"/>
      <c r="AC407" s="95"/>
      <c r="AD407" s="95"/>
      <c r="AE407" s="95"/>
      <c r="AF407" s="95"/>
      <c r="AJ407" s="329">
        <f>CHOOSE(m_identity,ENWL!AJ407, NPgN!AJ407, NPgY!AJ407, WMID!AJ407, EMID!AJ407, SWALES!AJ407, SWEST!AJ407, LPN!AJ407,SPN!AJ407,EPN!AJ407,SPD!AJ407,SPMW!AJ407,SSEH!AJ407,SSES!AJ407)</f>
        <v>0</v>
      </c>
      <c r="AK407" s="329">
        <f>CHOOSE(m_identity,ENWL!AK407, NPgN!AK407, NPgY!AK407, WMID!AK407, EMID!AK407, SWALES!AK407, SWEST!AK407, LPN!AK407,SPN!AK407,EPN!AK407,SPD!AK407,SPMW!AK407,SSEH!AK407,SSES!AK407)</f>
        <v>0</v>
      </c>
      <c r="AL407" s="329">
        <f>CHOOSE(m_identity,ENWL!AL407, NPgN!AL407, NPgY!AL407, WMID!AL407, EMID!AL407, SWALES!AL407, SWEST!AL407, LPN!AL407,SPN!AL407,EPN!AL407,SPD!AL407,SPMW!AL407,SSEH!AL407,SSES!AL407)</f>
        <v>0</v>
      </c>
      <c r="AM407" s="329">
        <f>CHOOSE(m_identity,ENWL!AM407, NPgN!AM407, NPgY!AM407, WMID!AM407, EMID!AM407, SWALES!AM407, SWEST!AM407, LPN!AM407,SPN!AM407,EPN!AM407,SPD!AM407,SPMW!AM407,SSEH!AM407,SSES!AM407)</f>
        <v>0</v>
      </c>
      <c r="AN407" s="329">
        <f>CHOOSE(m_identity,ENWL!AN407, NPgN!AN407, NPgY!AN407, WMID!AN407, EMID!AN407, SWALES!AN407, SWEST!AN407, LPN!AN407,SPN!AN407,EPN!AN407,SPD!AN407,SPMW!AN407,SSEH!AN407,SSES!AN407)</f>
        <v>0</v>
      </c>
      <c r="AO407" s="329">
        <f>CHOOSE(m_identity,ENWL!AO407, NPgN!AO407, NPgY!AO407, WMID!AO407, EMID!AO407, SWALES!AO407, SWEST!AO407, LPN!AO407,SPN!AO407,EPN!AO407,SPD!AO407,SPMW!AO407,SSEH!AO407,SSES!AO407)</f>
        <v>0</v>
      </c>
      <c r="AP407" s="329">
        <f>CHOOSE(m_identity,ENWL!AP407, NPgN!AP407, NPgY!AP407, WMID!AP407, EMID!AP407, SWALES!AP407, SWEST!AP407, LPN!AP407,SPN!AP407,EPN!AP407,SPD!AP407,SPMW!AP407,SSEH!AP407,SSES!AP407)</f>
        <v>0</v>
      </c>
      <c r="AQ407" s="329">
        <f>CHOOSE(m_identity,ENWL!AQ407, NPgN!AQ407, NPgY!AQ407, WMID!AQ407, EMID!AQ407, SWALES!AQ407, SWEST!AQ407, LPN!AQ407,SPN!AQ407,EPN!AQ407,SPD!AQ407,SPMW!AQ407,SSEH!AQ407,SSES!AQ407)</f>
        <v>0</v>
      </c>
    </row>
    <row r="408" spans="4:43" s="156" customFormat="1" ht="12.75">
      <c r="E408" s="93" t="s">
        <v>706</v>
      </c>
      <c r="G408" s="156" t="s">
        <v>49</v>
      </c>
      <c r="AJ408" s="329">
        <f>CHOOSE(m_identity,ENWL!AJ408, NPgN!AJ408, NPgY!AJ408, WMID!AJ408, EMID!AJ408, SWALES!AJ408, SWEST!AJ408, LPN!AJ408,SPN!AJ408,EPN!AJ408,SPD!AJ408,SPMW!AJ408,SSEH!AJ408,SSES!AJ408)</f>
        <v>0.37928767695567217</v>
      </c>
      <c r="AK408" s="329">
        <f>CHOOSE(m_identity,ENWL!AK408, NPgN!AK408, NPgY!AK408, WMID!AK408, EMID!AK408, SWALES!AK408, SWEST!AK408, LPN!AK408,SPN!AK408,EPN!AK408,SPD!AK408,SPMW!AK408,SSEH!AK408,SSES!AK408)</f>
        <v>0.37928767695567217</v>
      </c>
      <c r="AL408" s="329">
        <f>CHOOSE(m_identity,ENWL!AL408, NPgN!AL408, NPgY!AL408, WMID!AL408, EMID!AL408, SWALES!AL408, SWEST!AL408, LPN!AL408,SPN!AL408,EPN!AL408,SPD!AL408,SPMW!AL408,SSEH!AL408,SSES!AL408)</f>
        <v>0.37928767695567217</v>
      </c>
      <c r="AM408" s="329">
        <f>CHOOSE(m_identity,ENWL!AM408, NPgN!AM408, NPgY!AM408, WMID!AM408, EMID!AM408, SWALES!AM408, SWEST!AM408, LPN!AM408,SPN!AM408,EPN!AM408,SPD!AM408,SPMW!AM408,SSEH!AM408,SSES!AM408)</f>
        <v>0.37928767695567217</v>
      </c>
      <c r="AN408" s="329">
        <f>CHOOSE(m_identity,ENWL!AN408, NPgN!AN408, NPgY!AN408, WMID!AN408, EMID!AN408, SWALES!AN408, SWEST!AN408, LPN!AN408,SPN!AN408,EPN!AN408,SPD!AN408,SPMW!AN408,SSEH!AN408,SSES!AN408)</f>
        <v>0.37928767695567217</v>
      </c>
      <c r="AO408" s="329">
        <f>CHOOSE(m_identity,ENWL!AO408, NPgN!AO408, NPgY!AO408, WMID!AO408, EMID!AO408, SWALES!AO408, SWEST!AO408, LPN!AO408,SPN!AO408,EPN!AO408,SPD!AO408,SPMW!AO408,SSEH!AO408,SSES!AO408)</f>
        <v>0.37928767695567217</v>
      </c>
      <c r="AP408" s="329">
        <f>CHOOSE(m_identity,ENWL!AP408, NPgN!AP408, NPgY!AP408, WMID!AP408, EMID!AP408, SWALES!AP408, SWEST!AP408, LPN!AP408,SPN!AP408,EPN!AP408,SPD!AP408,SPMW!AP408,SSEH!AP408,SSES!AP408)</f>
        <v>0.37928767695567217</v>
      </c>
      <c r="AQ408" s="329">
        <f>CHOOSE(m_identity,ENWL!AQ408, NPgN!AQ408, NPgY!AQ408, WMID!AQ408, EMID!AQ408, SWALES!AQ408, SWEST!AQ408, LPN!AQ408,SPN!AQ408,EPN!AQ408,SPD!AQ408,SPMW!AQ408,SSEH!AQ408,SSES!AQ408)</f>
        <v>0.37928767695567217</v>
      </c>
    </row>
    <row r="409" spans="4:43" s="156" customFormat="1" ht="12.75">
      <c r="E409" s="294" t="s">
        <v>992</v>
      </c>
      <c r="G409" s="156" t="s">
        <v>49</v>
      </c>
      <c r="AJ409" s="329">
        <f>CHOOSE(m_identity,ENWL!AJ409, NPgN!AJ409, NPgY!AJ409, WMID!AJ409, EMID!AJ409, SWALES!AJ409, SWEST!AJ409, LPN!AJ409,SPN!AJ409,EPN!AJ409,SPD!AJ409,SPMW!AJ409,SSEH!AJ409,SSES!AJ409)</f>
        <v>1</v>
      </c>
      <c r="AK409" s="329">
        <f>CHOOSE(m_identity,ENWL!AK409, NPgN!AK409, NPgY!AK409, WMID!AK409, EMID!AK409, SWALES!AK409, SWEST!AK409, LPN!AK409,SPN!AK409,EPN!AK409,SPD!AK409,SPMW!AK409,SSEH!AK409,SSES!AK409)</f>
        <v>1</v>
      </c>
      <c r="AL409" s="329">
        <f>CHOOSE(m_identity,ENWL!AL409, NPgN!AL409, NPgY!AL409, WMID!AL409, EMID!AL409, SWALES!AL409, SWEST!AL409, LPN!AL409,SPN!AL409,EPN!AL409,SPD!AL409,SPMW!AL409,SSEH!AL409,SSES!AL409)</f>
        <v>1</v>
      </c>
      <c r="AM409" s="329">
        <f>CHOOSE(m_identity,ENWL!AM409, NPgN!AM409, NPgY!AM409, WMID!AM409, EMID!AM409, SWALES!AM409, SWEST!AM409, LPN!AM409,SPN!AM409,EPN!AM409,SPD!AM409,SPMW!AM409,SSEH!AM409,SSES!AM409)</f>
        <v>1</v>
      </c>
      <c r="AN409" s="329">
        <f>CHOOSE(m_identity,ENWL!AN409, NPgN!AN409, NPgY!AN409, WMID!AN409, EMID!AN409, SWALES!AN409, SWEST!AN409, LPN!AN409,SPN!AN409,EPN!AN409,SPD!AN409,SPMW!AN409,SSEH!AN409,SSES!AN409)</f>
        <v>1</v>
      </c>
      <c r="AO409" s="329">
        <f>CHOOSE(m_identity,ENWL!AO409, NPgN!AO409, NPgY!AO409, WMID!AO409, EMID!AO409, SWALES!AO409, SWEST!AO409, LPN!AO409,SPN!AO409,EPN!AO409,SPD!AO409,SPMW!AO409,SSEH!AO409,SSES!AO409)</f>
        <v>1</v>
      </c>
      <c r="AP409" s="329">
        <f>CHOOSE(m_identity,ENWL!AP409, NPgN!AP409, NPgY!AP409, WMID!AP409, EMID!AP409, SWALES!AP409, SWEST!AP409, LPN!AP409,SPN!AP409,EPN!AP409,SPD!AP409,SPMW!AP409,SSEH!AP409,SSES!AP409)</f>
        <v>1</v>
      </c>
      <c r="AQ409" s="329">
        <f>CHOOSE(m_identity,ENWL!AQ409, NPgN!AQ409, NPgY!AQ409, WMID!AQ409, EMID!AQ409, SWALES!AQ409, SWEST!AQ409, LPN!AQ409,SPN!AQ409,EPN!AQ409,SPD!AQ409,SPMW!AQ409,SSEH!AQ409,SSES!AQ409)</f>
        <v>1</v>
      </c>
    </row>
    <row r="410" spans="4:43" s="156" customFormat="1" ht="12.75">
      <c r="E410" s="93" t="s">
        <v>922</v>
      </c>
      <c r="G410" s="156" t="s">
        <v>49</v>
      </c>
      <c r="AJ410" s="329">
        <f>CHOOSE(m_identity,ENWL!AJ410, NPgN!AJ410, NPgY!AJ410, WMID!AJ410, EMID!AJ410, SWALES!AJ410, SWEST!AJ410, LPN!AJ410,SPN!AJ410,EPN!AJ410,SPD!AJ410,SPMW!AJ410,SSEH!AJ410,SSES!AJ410)</f>
        <v>1</v>
      </c>
      <c r="AK410" s="329">
        <f>CHOOSE(m_identity,ENWL!AK410, NPgN!AK410, NPgY!AK410, WMID!AK410, EMID!AK410, SWALES!AK410, SWEST!AK410, LPN!AK410,SPN!AK410,EPN!AK410,SPD!AK410,SPMW!AK410,SSEH!AK410,SSES!AK410)</f>
        <v>1</v>
      </c>
      <c r="AL410" s="329">
        <f>CHOOSE(m_identity,ENWL!AL410, NPgN!AL410, NPgY!AL410, WMID!AL410, EMID!AL410, SWALES!AL410, SWEST!AL410, LPN!AL410,SPN!AL410,EPN!AL410,SPD!AL410,SPMW!AL410,SSEH!AL410,SSES!AL410)</f>
        <v>1</v>
      </c>
      <c r="AM410" s="329">
        <f>CHOOSE(m_identity,ENWL!AM410, NPgN!AM410, NPgY!AM410, WMID!AM410, EMID!AM410, SWALES!AM410, SWEST!AM410, LPN!AM410,SPN!AM410,EPN!AM410,SPD!AM410,SPMW!AM410,SSEH!AM410,SSES!AM410)</f>
        <v>1</v>
      </c>
      <c r="AN410" s="329">
        <f>CHOOSE(m_identity,ENWL!AN410, NPgN!AN410, NPgY!AN410, WMID!AN410, EMID!AN410, SWALES!AN410, SWEST!AN410, LPN!AN410,SPN!AN410,EPN!AN410,SPD!AN410,SPMW!AN410,SSEH!AN410,SSES!AN410)</f>
        <v>1</v>
      </c>
      <c r="AO410" s="329">
        <f>CHOOSE(m_identity,ENWL!AO410, NPgN!AO410, NPgY!AO410, WMID!AO410, EMID!AO410, SWALES!AO410, SWEST!AO410, LPN!AO410,SPN!AO410,EPN!AO410,SPD!AO410,SPMW!AO410,SSEH!AO410,SSES!AO410)</f>
        <v>1</v>
      </c>
      <c r="AP410" s="329">
        <f>CHOOSE(m_identity,ENWL!AP410, NPgN!AP410, NPgY!AP410, WMID!AP410, EMID!AP410, SWALES!AP410, SWEST!AP410, LPN!AP410,SPN!AP410,EPN!AP410,SPD!AP410,SPMW!AP410,SSEH!AP410,SSES!AP410)</f>
        <v>1</v>
      </c>
      <c r="AQ410" s="329">
        <f>CHOOSE(m_identity,ENWL!AQ410, NPgN!AQ410, NPgY!AQ410, WMID!AQ410, EMID!AQ410, SWALES!AQ410, SWEST!AQ410, LPN!AQ410,SPN!AQ410,EPN!AQ410,SPD!AQ410,SPMW!AQ410,SSEH!AQ410,SSES!AQ410)</f>
        <v>1</v>
      </c>
    </row>
    <row r="411" spans="4:43" s="44" customFormat="1" ht="12.75">
      <c r="E411" s="156" t="s">
        <v>796</v>
      </c>
      <c r="G411" s="44" t="s">
        <v>49</v>
      </c>
      <c r="J411" s="95"/>
      <c r="K411" s="95"/>
      <c r="L411" s="95"/>
      <c r="M411" s="156"/>
      <c r="N411" s="156"/>
      <c r="O411" s="95"/>
      <c r="P411" s="95"/>
      <c r="Q411" s="95"/>
      <c r="R411" s="95"/>
      <c r="S411" s="95"/>
      <c r="T411" s="95"/>
      <c r="U411" s="95"/>
      <c r="V411" s="95"/>
      <c r="W411" s="95"/>
      <c r="X411" s="95"/>
      <c r="Y411" s="95"/>
      <c r="Z411" s="95"/>
      <c r="AA411" s="95"/>
      <c r="AB411" s="95"/>
      <c r="AC411" s="95"/>
      <c r="AD411" s="95"/>
      <c r="AE411" s="95"/>
      <c r="AF411" s="95"/>
      <c r="AJ411" s="329">
        <f>CHOOSE(m_identity,ENWL!AJ411, NPgN!AJ411, NPgY!AJ411, WMID!AJ411, EMID!AJ411, SWALES!AJ411, SWEST!AJ411, LPN!AJ411,SPN!AJ411,EPN!AJ411,SPD!AJ411,SPMW!AJ411,SSEH!AJ411,SSES!AJ411)</f>
        <v>0.46849976500347001</v>
      </c>
      <c r="AK411" s="329">
        <f>CHOOSE(m_identity,ENWL!AK411, NPgN!AK411, NPgY!AK411, WMID!AK411, EMID!AK411, SWALES!AK411, SWEST!AK411, LPN!AK411,SPN!AK411,EPN!AK411,SPD!AK411,SPMW!AK411,SSEH!AK411,SSES!AK411)</f>
        <v>0.46849976500347001</v>
      </c>
      <c r="AL411" s="329">
        <f>CHOOSE(m_identity,ENWL!AL411, NPgN!AL411, NPgY!AL411, WMID!AL411, EMID!AL411, SWALES!AL411, SWEST!AL411, LPN!AL411,SPN!AL411,EPN!AL411,SPD!AL411,SPMW!AL411,SSEH!AL411,SSES!AL411)</f>
        <v>0.46849976500347001</v>
      </c>
      <c r="AM411" s="329">
        <f>CHOOSE(m_identity,ENWL!AM411, NPgN!AM411, NPgY!AM411, WMID!AM411, EMID!AM411, SWALES!AM411, SWEST!AM411, LPN!AM411,SPN!AM411,EPN!AM411,SPD!AM411,SPMW!AM411,SSEH!AM411,SSES!AM411)</f>
        <v>0.46849976500347001</v>
      </c>
      <c r="AN411" s="329">
        <f>CHOOSE(m_identity,ENWL!AN411, NPgN!AN411, NPgY!AN411, WMID!AN411, EMID!AN411, SWALES!AN411, SWEST!AN411, LPN!AN411,SPN!AN411,EPN!AN411,SPD!AN411,SPMW!AN411,SSEH!AN411,SSES!AN411)</f>
        <v>0.46849976500347001</v>
      </c>
      <c r="AO411" s="329">
        <f>CHOOSE(m_identity,ENWL!AO411, NPgN!AO411, NPgY!AO411, WMID!AO411, EMID!AO411, SWALES!AO411, SWEST!AO411, LPN!AO411,SPN!AO411,EPN!AO411,SPD!AO411,SPMW!AO411,SSEH!AO411,SSES!AO411)</f>
        <v>0.46849976500347001</v>
      </c>
      <c r="AP411" s="329">
        <f>CHOOSE(m_identity,ENWL!AP411, NPgN!AP411, NPgY!AP411, WMID!AP411, EMID!AP411, SWALES!AP411, SWEST!AP411, LPN!AP411,SPN!AP411,EPN!AP411,SPD!AP411,SPMW!AP411,SSEH!AP411,SSES!AP411)</f>
        <v>0.46849976500347001</v>
      </c>
      <c r="AQ411" s="329">
        <f>CHOOSE(m_identity,ENWL!AQ411, NPgN!AQ411, NPgY!AQ411, WMID!AQ411, EMID!AQ411, SWALES!AQ411, SWEST!AQ411, LPN!AQ411,SPN!AQ411,EPN!AQ411,SPD!AQ411,SPMW!AQ411,SSEH!AQ411,SSES!AQ411)</f>
        <v>0.46849976500347001</v>
      </c>
    </row>
    <row r="412" spans="4:43" s="44" customFormat="1" ht="12.75">
      <c r="F412" s="95"/>
      <c r="G412" s="95"/>
      <c r="H412" s="95"/>
      <c r="I412" s="95"/>
      <c r="J412" s="95"/>
      <c r="K412" s="95"/>
      <c r="L412" s="95"/>
      <c r="M412" s="156"/>
      <c r="N412" s="156"/>
      <c r="O412" s="95"/>
      <c r="P412" s="95"/>
      <c r="Q412" s="95"/>
      <c r="R412" s="95"/>
      <c r="S412" s="95"/>
      <c r="T412" s="95"/>
      <c r="U412" s="95"/>
      <c r="V412" s="95"/>
      <c r="W412" s="95"/>
      <c r="X412" s="95"/>
      <c r="Y412" s="95"/>
      <c r="Z412" s="95"/>
      <c r="AA412" s="95"/>
      <c r="AB412" s="95"/>
      <c r="AC412" s="95"/>
      <c r="AD412" s="95"/>
      <c r="AE412" s="95"/>
      <c r="AF412" s="95"/>
      <c r="AJ412" s="239"/>
      <c r="AK412" s="239"/>
      <c r="AL412" s="239"/>
      <c r="AM412" s="239"/>
      <c r="AN412" s="239"/>
      <c r="AO412" s="239"/>
      <c r="AP412" s="239"/>
      <c r="AQ412" s="239"/>
    </row>
    <row r="413" spans="4:43" s="44" customFormat="1" ht="12.75">
      <c r="D413" s="36" t="s">
        <v>862</v>
      </c>
      <c r="E413" s="36"/>
      <c r="F413" s="36"/>
      <c r="G413" s="36"/>
      <c r="H413" s="36"/>
      <c r="I413" s="36"/>
      <c r="J413" s="36"/>
      <c r="K413" s="36"/>
      <c r="L413" s="36"/>
      <c r="M413" s="36"/>
      <c r="N413" s="36"/>
      <c r="O413" s="36"/>
      <c r="P413" s="36"/>
      <c r="Q413" s="36"/>
      <c r="R413" s="36"/>
      <c r="S413" s="36"/>
      <c r="T413" s="36"/>
      <c r="U413" s="36"/>
      <c r="V413" s="36"/>
      <c r="W413" s="36"/>
      <c r="X413" s="36"/>
      <c r="Y413" s="36"/>
      <c r="Z413" s="36"/>
      <c r="AA413" s="36"/>
      <c r="AB413" s="36"/>
      <c r="AC413" s="36"/>
      <c r="AD413" s="36"/>
      <c r="AE413" s="36"/>
      <c r="AF413" s="36"/>
      <c r="AG413" s="36"/>
      <c r="AH413" s="36"/>
      <c r="AI413" s="36"/>
      <c r="AJ413" s="333"/>
      <c r="AK413" s="333"/>
      <c r="AL413" s="333"/>
      <c r="AM413" s="333"/>
      <c r="AN413" s="333"/>
      <c r="AO413" s="333"/>
      <c r="AP413" s="333"/>
      <c r="AQ413" s="333"/>
    </row>
    <row r="414" spans="4:43" s="44" customFormat="1" ht="12.75">
      <c r="J414" s="95"/>
      <c r="K414" s="95"/>
      <c r="L414" s="95"/>
      <c r="M414" s="156"/>
      <c r="N414" s="156"/>
      <c r="O414" s="95"/>
      <c r="P414" s="95"/>
      <c r="Q414" s="95"/>
      <c r="R414" s="95"/>
      <c r="S414" s="95"/>
      <c r="T414" s="95"/>
      <c r="U414" s="95"/>
      <c r="V414" s="95"/>
      <c r="W414" s="95"/>
      <c r="X414" s="95"/>
      <c r="Y414" s="95"/>
      <c r="Z414" s="95"/>
      <c r="AA414" s="95"/>
      <c r="AB414" s="95"/>
      <c r="AC414" s="95"/>
      <c r="AD414" s="95"/>
      <c r="AE414" s="95"/>
      <c r="AF414" s="95"/>
      <c r="AJ414" s="241"/>
      <c r="AK414" s="239"/>
      <c r="AL414" s="239"/>
      <c r="AM414" s="239"/>
      <c r="AN414" s="239"/>
      <c r="AO414" s="239"/>
      <c r="AP414" s="239"/>
      <c r="AQ414" s="239"/>
    </row>
    <row r="415" spans="4:43" s="44" customFormat="1" ht="12.75">
      <c r="E415" s="93" t="s">
        <v>24</v>
      </c>
      <c r="G415" s="44" t="s">
        <v>49</v>
      </c>
      <c r="J415" s="95"/>
      <c r="K415" s="95"/>
      <c r="L415" s="95"/>
      <c r="M415" s="156"/>
      <c r="N415" s="156"/>
      <c r="O415" s="95"/>
      <c r="P415" s="95"/>
      <c r="Q415" s="95"/>
      <c r="R415" s="95"/>
      <c r="S415" s="95"/>
      <c r="T415" s="95"/>
      <c r="U415" s="95"/>
      <c r="V415" s="95"/>
      <c r="W415" s="95"/>
      <c r="X415" s="95"/>
      <c r="Y415" s="95"/>
      <c r="Z415" s="95"/>
      <c r="AA415" s="95"/>
      <c r="AB415" s="95"/>
      <c r="AC415" s="95"/>
      <c r="AD415" s="95"/>
      <c r="AE415" s="95"/>
      <c r="AF415" s="95"/>
      <c r="AJ415" s="329">
        <f>CHOOSE(m_identity,ENWL!AJ415, NPgN!AJ415, NPgY!AJ415, WMID!AJ415, EMID!AJ415, SWALES!AJ415, SWEST!AJ415, LPN!AJ415,SPN!AJ415,EPN!AJ415,SPD!AJ415,SPMW!AJ415,SSEH!AJ415,SSES!AJ415)</f>
        <v>1.4153921195464277E-2</v>
      </c>
      <c r="AK415" s="329">
        <f>CHOOSE(m_identity,ENWL!AK415, NPgN!AK415, NPgY!AK415, WMID!AK415, EMID!AK415, SWALES!AK415, SWEST!AK415, LPN!AK415,SPN!AK415,EPN!AK415,SPD!AK415,SPMW!AK415,SSEH!AK415,SSES!AK415)</f>
        <v>1.4153921195464277E-2</v>
      </c>
      <c r="AL415" s="329">
        <f>CHOOSE(m_identity,ENWL!AL415, NPgN!AL415, NPgY!AL415, WMID!AL415, EMID!AL415, SWALES!AL415, SWEST!AL415, LPN!AL415,SPN!AL415,EPN!AL415,SPD!AL415,SPMW!AL415,SSEH!AL415,SSES!AL415)</f>
        <v>1.4153921195464277E-2</v>
      </c>
      <c r="AM415" s="329">
        <f>CHOOSE(m_identity,ENWL!AM415, NPgN!AM415, NPgY!AM415, WMID!AM415, EMID!AM415, SWALES!AM415, SWEST!AM415, LPN!AM415,SPN!AM415,EPN!AM415,SPD!AM415,SPMW!AM415,SSEH!AM415,SSES!AM415)</f>
        <v>1.4153921195464277E-2</v>
      </c>
      <c r="AN415" s="329">
        <f>CHOOSE(m_identity,ENWL!AN415, NPgN!AN415, NPgY!AN415, WMID!AN415, EMID!AN415, SWALES!AN415, SWEST!AN415, LPN!AN415,SPN!AN415,EPN!AN415,SPD!AN415,SPMW!AN415,SSEH!AN415,SSES!AN415)</f>
        <v>1.4153921195464277E-2</v>
      </c>
      <c r="AO415" s="329">
        <f>CHOOSE(m_identity,ENWL!AO415, NPgN!AO415, NPgY!AO415, WMID!AO415, EMID!AO415, SWALES!AO415, SWEST!AO415, LPN!AO415,SPN!AO415,EPN!AO415,SPD!AO415,SPMW!AO415,SSEH!AO415,SSES!AO415)</f>
        <v>1.4153921195464277E-2</v>
      </c>
      <c r="AP415" s="329">
        <f>CHOOSE(m_identity,ENWL!AP415, NPgN!AP415, NPgY!AP415, WMID!AP415, EMID!AP415, SWALES!AP415, SWEST!AP415, LPN!AP415,SPN!AP415,EPN!AP415,SPD!AP415,SPMW!AP415,SSEH!AP415,SSES!AP415)</f>
        <v>1.4153921195464277E-2</v>
      </c>
      <c r="AQ415" s="329">
        <f>CHOOSE(m_identity,ENWL!AQ415, NPgN!AQ415, NPgY!AQ415, WMID!AQ415, EMID!AQ415, SWALES!AQ415, SWEST!AQ415, LPN!AQ415,SPN!AQ415,EPN!AQ415,SPD!AQ415,SPMW!AQ415,SSEH!AQ415,SSES!AQ415)</f>
        <v>1.4153921195464277E-2</v>
      </c>
    </row>
    <row r="416" spans="4:43" s="44" customFormat="1" ht="12.75">
      <c r="E416" s="156" t="s">
        <v>665</v>
      </c>
      <c r="G416" s="44" t="s">
        <v>49</v>
      </c>
      <c r="J416" s="95"/>
      <c r="K416" s="95"/>
      <c r="L416" s="95"/>
      <c r="M416" s="156"/>
      <c r="N416" s="156"/>
      <c r="O416" s="95"/>
      <c r="P416" s="95"/>
      <c r="Q416" s="95"/>
      <c r="R416" s="95"/>
      <c r="S416" s="95"/>
      <c r="T416" s="95"/>
      <c r="U416" s="95"/>
      <c r="V416" s="95"/>
      <c r="W416" s="95"/>
      <c r="X416" s="95"/>
      <c r="Y416" s="95"/>
      <c r="Z416" s="95"/>
      <c r="AA416" s="95"/>
      <c r="AB416" s="95"/>
      <c r="AC416" s="95"/>
      <c r="AD416" s="95"/>
      <c r="AE416" s="95"/>
      <c r="AF416" s="95"/>
      <c r="AJ416" s="329">
        <f>CHOOSE(m_identity,ENWL!AJ416, NPgN!AJ416, NPgY!AJ416, WMID!AJ416, EMID!AJ416, SWALES!AJ416, SWEST!AJ416, LPN!AJ416,SPN!AJ416,EPN!AJ416,SPD!AJ416,SPMW!AJ416,SSEH!AJ416,SSES!AJ416)</f>
        <v>4.6182494796825242E-2</v>
      </c>
      <c r="AK416" s="329">
        <f>CHOOSE(m_identity,ENWL!AK416, NPgN!AK416, NPgY!AK416, WMID!AK416, EMID!AK416, SWALES!AK416, SWEST!AK416, LPN!AK416,SPN!AK416,EPN!AK416,SPD!AK416,SPMW!AK416,SSEH!AK416,SSES!AK416)</f>
        <v>4.6182494796825242E-2</v>
      </c>
      <c r="AL416" s="329">
        <f>CHOOSE(m_identity,ENWL!AL416, NPgN!AL416, NPgY!AL416, WMID!AL416, EMID!AL416, SWALES!AL416, SWEST!AL416, LPN!AL416,SPN!AL416,EPN!AL416,SPD!AL416,SPMW!AL416,SSEH!AL416,SSES!AL416)</f>
        <v>4.6182494796825242E-2</v>
      </c>
      <c r="AM416" s="329">
        <f>CHOOSE(m_identity,ENWL!AM416, NPgN!AM416, NPgY!AM416, WMID!AM416, EMID!AM416, SWALES!AM416, SWEST!AM416, LPN!AM416,SPN!AM416,EPN!AM416,SPD!AM416,SPMW!AM416,SSEH!AM416,SSES!AM416)</f>
        <v>4.6182494796825242E-2</v>
      </c>
      <c r="AN416" s="329">
        <f>CHOOSE(m_identity,ENWL!AN416, NPgN!AN416, NPgY!AN416, WMID!AN416, EMID!AN416, SWALES!AN416, SWEST!AN416, LPN!AN416,SPN!AN416,EPN!AN416,SPD!AN416,SPMW!AN416,SSEH!AN416,SSES!AN416)</f>
        <v>4.6182494796825242E-2</v>
      </c>
      <c r="AO416" s="329">
        <f>CHOOSE(m_identity,ENWL!AO416, NPgN!AO416, NPgY!AO416, WMID!AO416, EMID!AO416, SWALES!AO416, SWEST!AO416, LPN!AO416,SPN!AO416,EPN!AO416,SPD!AO416,SPMW!AO416,SSEH!AO416,SSES!AO416)</f>
        <v>4.6182494796825242E-2</v>
      </c>
      <c r="AP416" s="329">
        <f>CHOOSE(m_identity,ENWL!AP416, NPgN!AP416, NPgY!AP416, WMID!AP416, EMID!AP416, SWALES!AP416, SWEST!AP416, LPN!AP416,SPN!AP416,EPN!AP416,SPD!AP416,SPMW!AP416,SSEH!AP416,SSES!AP416)</f>
        <v>4.6182494796825242E-2</v>
      </c>
      <c r="AQ416" s="329">
        <f>CHOOSE(m_identity,ENWL!AQ416, NPgN!AQ416, NPgY!AQ416, WMID!AQ416, EMID!AQ416, SWALES!AQ416, SWEST!AQ416, LPN!AQ416,SPN!AQ416,EPN!AQ416,SPD!AQ416,SPMW!AQ416,SSEH!AQ416,SSES!AQ416)</f>
        <v>4.6182494796825242E-2</v>
      </c>
    </row>
    <row r="417" spans="4:43" s="44" customFormat="1" ht="12.75">
      <c r="E417" s="93" t="s">
        <v>25</v>
      </c>
      <c r="G417" s="44" t="s">
        <v>49</v>
      </c>
      <c r="J417" s="95"/>
      <c r="K417" s="95"/>
      <c r="L417" s="95"/>
      <c r="M417" s="156"/>
      <c r="N417" s="156"/>
      <c r="O417" s="95"/>
      <c r="P417" s="95"/>
      <c r="Q417" s="95"/>
      <c r="R417" s="95"/>
      <c r="S417" s="95"/>
      <c r="T417" s="95"/>
      <c r="U417" s="95"/>
      <c r="V417" s="95"/>
      <c r="W417" s="95"/>
      <c r="X417" s="95"/>
      <c r="Y417" s="95"/>
      <c r="Z417" s="95"/>
      <c r="AA417" s="95"/>
      <c r="AB417" s="95"/>
      <c r="AC417" s="95"/>
      <c r="AD417" s="95"/>
      <c r="AE417" s="95"/>
      <c r="AF417" s="95"/>
      <c r="AJ417" s="329">
        <f>CHOOSE(m_identity,ENWL!AJ417, NPgN!AJ417, NPgY!AJ417, WMID!AJ417, EMID!AJ417, SWALES!AJ417, SWEST!AJ417, LPN!AJ417,SPN!AJ417,EPN!AJ417,SPD!AJ417,SPMW!AJ417,SSEH!AJ417,SSES!AJ417)</f>
        <v>0.10662894601377962</v>
      </c>
      <c r="AK417" s="329">
        <f>CHOOSE(m_identity,ENWL!AK417, NPgN!AK417, NPgY!AK417, WMID!AK417, EMID!AK417, SWALES!AK417, SWEST!AK417, LPN!AK417,SPN!AK417,EPN!AK417,SPD!AK417,SPMW!AK417,SSEH!AK417,SSES!AK417)</f>
        <v>0.10662894601377962</v>
      </c>
      <c r="AL417" s="329">
        <f>CHOOSE(m_identity,ENWL!AL417, NPgN!AL417, NPgY!AL417, WMID!AL417, EMID!AL417, SWALES!AL417, SWEST!AL417, LPN!AL417,SPN!AL417,EPN!AL417,SPD!AL417,SPMW!AL417,SSEH!AL417,SSES!AL417)</f>
        <v>0.10662894601377962</v>
      </c>
      <c r="AM417" s="329">
        <f>CHOOSE(m_identity,ENWL!AM417, NPgN!AM417, NPgY!AM417, WMID!AM417, EMID!AM417, SWALES!AM417, SWEST!AM417, LPN!AM417,SPN!AM417,EPN!AM417,SPD!AM417,SPMW!AM417,SSEH!AM417,SSES!AM417)</f>
        <v>0.10662894601377962</v>
      </c>
      <c r="AN417" s="329">
        <f>CHOOSE(m_identity,ENWL!AN417, NPgN!AN417, NPgY!AN417, WMID!AN417, EMID!AN417, SWALES!AN417, SWEST!AN417, LPN!AN417,SPN!AN417,EPN!AN417,SPD!AN417,SPMW!AN417,SSEH!AN417,SSES!AN417)</f>
        <v>0.10662894601377962</v>
      </c>
      <c r="AO417" s="329">
        <f>CHOOSE(m_identity,ENWL!AO417, NPgN!AO417, NPgY!AO417, WMID!AO417, EMID!AO417, SWALES!AO417, SWEST!AO417, LPN!AO417,SPN!AO417,EPN!AO417,SPD!AO417,SPMW!AO417,SSEH!AO417,SSES!AO417)</f>
        <v>0.10662894601377962</v>
      </c>
      <c r="AP417" s="329">
        <f>CHOOSE(m_identity,ENWL!AP417, NPgN!AP417, NPgY!AP417, WMID!AP417, EMID!AP417, SWALES!AP417, SWEST!AP417, LPN!AP417,SPN!AP417,EPN!AP417,SPD!AP417,SPMW!AP417,SSEH!AP417,SSES!AP417)</f>
        <v>0.10662894601377962</v>
      </c>
      <c r="AQ417" s="329">
        <f>CHOOSE(m_identity,ENWL!AQ417, NPgN!AQ417, NPgY!AQ417, WMID!AQ417, EMID!AQ417, SWALES!AQ417, SWEST!AQ417, LPN!AQ417,SPN!AQ417,EPN!AQ417,SPD!AQ417,SPMW!AQ417,SSEH!AQ417,SSES!AQ417)</f>
        <v>0.10662894601377962</v>
      </c>
    </row>
    <row r="418" spans="4:43" s="156" customFormat="1" ht="12.75">
      <c r="E418" s="93" t="s">
        <v>706</v>
      </c>
      <c r="G418" s="156" t="s">
        <v>49</v>
      </c>
      <c r="AJ418" s="329">
        <f>CHOOSE(m_identity,ENWL!AJ418, NPgN!AJ418, NPgY!AJ418, WMID!AJ418, EMID!AJ418, SWALES!AJ418, SWEST!AJ418, LPN!AJ418,SPN!AJ418,EPN!AJ418,SPD!AJ418,SPMW!AJ418,SSEH!AJ418,SSES!AJ418)</f>
        <v>3.0635716288533125E-4</v>
      </c>
      <c r="AK418" s="329">
        <f>CHOOSE(m_identity,ENWL!AK418, NPgN!AK418, NPgY!AK418, WMID!AK418, EMID!AK418, SWALES!AK418, SWEST!AK418, LPN!AK418,SPN!AK418,EPN!AK418,SPD!AK418,SPMW!AK418,SSEH!AK418,SSES!AK418)</f>
        <v>3.0635716288533125E-4</v>
      </c>
      <c r="AL418" s="329">
        <f>CHOOSE(m_identity,ENWL!AL418, NPgN!AL418, NPgY!AL418, WMID!AL418, EMID!AL418, SWALES!AL418, SWEST!AL418, LPN!AL418,SPN!AL418,EPN!AL418,SPD!AL418,SPMW!AL418,SSEH!AL418,SSES!AL418)</f>
        <v>3.0635716288533125E-4</v>
      </c>
      <c r="AM418" s="329">
        <f>CHOOSE(m_identity,ENWL!AM418, NPgN!AM418, NPgY!AM418, WMID!AM418, EMID!AM418, SWALES!AM418, SWEST!AM418, LPN!AM418,SPN!AM418,EPN!AM418,SPD!AM418,SPMW!AM418,SSEH!AM418,SSES!AM418)</f>
        <v>3.0635716288533125E-4</v>
      </c>
      <c r="AN418" s="329">
        <f>CHOOSE(m_identity,ENWL!AN418, NPgN!AN418, NPgY!AN418, WMID!AN418, EMID!AN418, SWALES!AN418, SWEST!AN418, LPN!AN418,SPN!AN418,EPN!AN418,SPD!AN418,SPMW!AN418,SSEH!AN418,SSES!AN418)</f>
        <v>3.0635716288533125E-4</v>
      </c>
      <c r="AO418" s="329">
        <f>CHOOSE(m_identity,ENWL!AO418, NPgN!AO418, NPgY!AO418, WMID!AO418, EMID!AO418, SWALES!AO418, SWEST!AO418, LPN!AO418,SPN!AO418,EPN!AO418,SPD!AO418,SPMW!AO418,SSEH!AO418,SSES!AO418)</f>
        <v>3.0635716288533125E-4</v>
      </c>
      <c r="AP418" s="329">
        <f>CHOOSE(m_identity,ENWL!AP418, NPgN!AP418, NPgY!AP418, WMID!AP418, EMID!AP418, SWALES!AP418, SWEST!AP418, LPN!AP418,SPN!AP418,EPN!AP418,SPD!AP418,SPMW!AP418,SSEH!AP418,SSES!AP418)</f>
        <v>3.0635716288533125E-4</v>
      </c>
      <c r="AQ418" s="329">
        <f>CHOOSE(m_identity,ENWL!AQ418, NPgN!AQ418, NPgY!AQ418, WMID!AQ418, EMID!AQ418, SWALES!AQ418, SWEST!AQ418, LPN!AQ418,SPN!AQ418,EPN!AQ418,SPD!AQ418,SPMW!AQ418,SSEH!AQ418,SSES!AQ418)</f>
        <v>3.0635716288533125E-4</v>
      </c>
    </row>
    <row r="419" spans="4:43" s="156" customFormat="1" ht="12.75">
      <c r="E419" s="294" t="s">
        <v>992</v>
      </c>
      <c r="G419" s="156" t="s">
        <v>49</v>
      </c>
      <c r="AJ419" s="329">
        <f>CHOOSE(m_identity,ENWL!AJ419, NPgN!AJ419, NPgY!AJ419, WMID!AJ419, EMID!AJ419, SWALES!AJ419, SWEST!AJ419, LPN!AJ419,SPN!AJ419,EPN!AJ419,SPD!AJ419,SPMW!AJ419,SSEH!AJ419,SSES!AJ419)</f>
        <v>0</v>
      </c>
      <c r="AK419" s="329">
        <f>CHOOSE(m_identity,ENWL!AK419, NPgN!AK419, NPgY!AK419, WMID!AK419, EMID!AK419, SWALES!AK419, SWEST!AK419, LPN!AK419,SPN!AK419,EPN!AK419,SPD!AK419,SPMW!AK419,SSEH!AK419,SSES!AK419)</f>
        <v>0</v>
      </c>
      <c r="AL419" s="329">
        <f>CHOOSE(m_identity,ENWL!AL419, NPgN!AL419, NPgY!AL419, WMID!AL419, EMID!AL419, SWALES!AL419, SWEST!AL419, LPN!AL419,SPN!AL419,EPN!AL419,SPD!AL419,SPMW!AL419,SSEH!AL419,SSES!AL419)</f>
        <v>0</v>
      </c>
      <c r="AM419" s="329">
        <f>CHOOSE(m_identity,ENWL!AM419, NPgN!AM419, NPgY!AM419, WMID!AM419, EMID!AM419, SWALES!AM419, SWEST!AM419, LPN!AM419,SPN!AM419,EPN!AM419,SPD!AM419,SPMW!AM419,SSEH!AM419,SSES!AM419)</f>
        <v>0</v>
      </c>
      <c r="AN419" s="329">
        <f>CHOOSE(m_identity,ENWL!AN419, NPgN!AN419, NPgY!AN419, WMID!AN419, EMID!AN419, SWALES!AN419, SWEST!AN419, LPN!AN419,SPN!AN419,EPN!AN419,SPD!AN419,SPMW!AN419,SSEH!AN419,SSES!AN419)</f>
        <v>0</v>
      </c>
      <c r="AO419" s="329">
        <f>CHOOSE(m_identity,ENWL!AO419, NPgN!AO419, NPgY!AO419, WMID!AO419, EMID!AO419, SWALES!AO419, SWEST!AO419, LPN!AO419,SPN!AO419,EPN!AO419,SPD!AO419,SPMW!AO419,SSEH!AO419,SSES!AO419)</f>
        <v>0</v>
      </c>
      <c r="AP419" s="329">
        <f>CHOOSE(m_identity,ENWL!AP419, NPgN!AP419, NPgY!AP419, WMID!AP419, EMID!AP419, SWALES!AP419, SWEST!AP419, LPN!AP419,SPN!AP419,EPN!AP419,SPD!AP419,SPMW!AP419,SSEH!AP419,SSES!AP419)</f>
        <v>0</v>
      </c>
      <c r="AQ419" s="329">
        <f>CHOOSE(m_identity,ENWL!AQ419, NPgN!AQ419, NPgY!AQ419, WMID!AQ419, EMID!AQ419, SWALES!AQ419, SWEST!AQ419, LPN!AQ419,SPN!AQ419,EPN!AQ419,SPD!AQ419,SPMW!AQ419,SSEH!AQ419,SSES!AQ419)</f>
        <v>0</v>
      </c>
    </row>
    <row r="420" spans="4:43" s="156" customFormat="1" ht="12.75">
      <c r="E420" s="93" t="s">
        <v>922</v>
      </c>
      <c r="G420" s="156" t="s">
        <v>49</v>
      </c>
      <c r="AJ420" s="329">
        <f>CHOOSE(m_identity,ENWL!AJ420, NPgN!AJ420, NPgY!AJ420, WMID!AJ420, EMID!AJ420, SWALES!AJ420, SWEST!AJ420, LPN!AJ420,SPN!AJ420,EPN!AJ420,SPD!AJ420,SPMW!AJ420,SSEH!AJ420,SSES!AJ420)</f>
        <v>0</v>
      </c>
      <c r="AK420" s="329">
        <f>CHOOSE(m_identity,ENWL!AK420, NPgN!AK420, NPgY!AK420, WMID!AK420, EMID!AK420, SWALES!AK420, SWEST!AK420, LPN!AK420,SPN!AK420,EPN!AK420,SPD!AK420,SPMW!AK420,SSEH!AK420,SSES!AK420)</f>
        <v>0</v>
      </c>
      <c r="AL420" s="329">
        <f>CHOOSE(m_identity,ENWL!AL420, NPgN!AL420, NPgY!AL420, WMID!AL420, EMID!AL420, SWALES!AL420, SWEST!AL420, LPN!AL420,SPN!AL420,EPN!AL420,SPD!AL420,SPMW!AL420,SSEH!AL420,SSES!AL420)</f>
        <v>0</v>
      </c>
      <c r="AM420" s="329">
        <f>CHOOSE(m_identity,ENWL!AM420, NPgN!AM420, NPgY!AM420, WMID!AM420, EMID!AM420, SWALES!AM420, SWEST!AM420, LPN!AM420,SPN!AM420,EPN!AM420,SPD!AM420,SPMW!AM420,SSEH!AM420,SSES!AM420)</f>
        <v>0</v>
      </c>
      <c r="AN420" s="329">
        <f>CHOOSE(m_identity,ENWL!AN420, NPgN!AN420, NPgY!AN420, WMID!AN420, EMID!AN420, SWALES!AN420, SWEST!AN420, LPN!AN420,SPN!AN420,EPN!AN420,SPD!AN420,SPMW!AN420,SSEH!AN420,SSES!AN420)</f>
        <v>0</v>
      </c>
      <c r="AO420" s="329">
        <f>CHOOSE(m_identity,ENWL!AO420, NPgN!AO420, NPgY!AO420, WMID!AO420, EMID!AO420, SWALES!AO420, SWEST!AO420, LPN!AO420,SPN!AO420,EPN!AO420,SPD!AO420,SPMW!AO420,SSEH!AO420,SSES!AO420)</f>
        <v>0</v>
      </c>
      <c r="AP420" s="329">
        <f>CHOOSE(m_identity,ENWL!AP420, NPgN!AP420, NPgY!AP420, WMID!AP420, EMID!AP420, SWALES!AP420, SWEST!AP420, LPN!AP420,SPN!AP420,EPN!AP420,SPD!AP420,SPMW!AP420,SSEH!AP420,SSES!AP420)</f>
        <v>0</v>
      </c>
      <c r="AQ420" s="329">
        <f>CHOOSE(m_identity,ENWL!AQ420, NPgN!AQ420, NPgY!AQ420, WMID!AQ420, EMID!AQ420, SWALES!AQ420, SWEST!AQ420, LPN!AQ420,SPN!AQ420,EPN!AQ420,SPD!AQ420,SPMW!AQ420,SSEH!AQ420,SSES!AQ420)</f>
        <v>0</v>
      </c>
    </row>
    <row r="421" spans="4:43" s="44" customFormat="1" ht="12.75">
      <c r="E421" s="156" t="s">
        <v>796</v>
      </c>
      <c r="G421" s="44" t="s">
        <v>49</v>
      </c>
      <c r="J421" s="95"/>
      <c r="K421" s="95"/>
      <c r="L421" s="95"/>
      <c r="M421" s="156"/>
      <c r="N421" s="156"/>
      <c r="O421" s="95"/>
      <c r="P421" s="95"/>
      <c r="Q421" s="95"/>
      <c r="R421" s="95"/>
      <c r="S421" s="95"/>
      <c r="T421" s="95"/>
      <c r="U421" s="95"/>
      <c r="V421" s="95"/>
      <c r="W421" s="95"/>
      <c r="X421" s="95"/>
      <c r="Y421" s="95"/>
      <c r="Z421" s="95"/>
      <c r="AA421" s="95"/>
      <c r="AB421" s="95"/>
      <c r="AC421" s="95"/>
      <c r="AD421" s="95"/>
      <c r="AE421" s="95"/>
      <c r="AF421" s="95"/>
      <c r="AJ421" s="329">
        <f>CHOOSE(m_identity,ENWL!AJ421, NPgN!AJ421, NPgY!AJ421, WMID!AJ421, EMID!AJ421, SWALES!AJ421, SWEST!AJ421, LPN!AJ421,SPN!AJ421,EPN!AJ421,SPD!AJ421,SPMW!AJ421,SSEH!AJ421,SSES!AJ421)</f>
        <v>0</v>
      </c>
      <c r="AK421" s="329">
        <f>CHOOSE(m_identity,ENWL!AK421, NPgN!AK421, NPgY!AK421, WMID!AK421, EMID!AK421, SWALES!AK421, SWEST!AK421, LPN!AK421,SPN!AK421,EPN!AK421,SPD!AK421,SPMW!AK421,SSEH!AK421,SSES!AK421)</f>
        <v>0</v>
      </c>
      <c r="AL421" s="329">
        <f>CHOOSE(m_identity,ENWL!AL421, NPgN!AL421, NPgY!AL421, WMID!AL421, EMID!AL421, SWALES!AL421, SWEST!AL421, LPN!AL421,SPN!AL421,EPN!AL421,SPD!AL421,SPMW!AL421,SSEH!AL421,SSES!AL421)</f>
        <v>0</v>
      </c>
      <c r="AM421" s="329">
        <f>CHOOSE(m_identity,ENWL!AM421, NPgN!AM421, NPgY!AM421, WMID!AM421, EMID!AM421, SWALES!AM421, SWEST!AM421, LPN!AM421,SPN!AM421,EPN!AM421,SPD!AM421,SPMW!AM421,SSEH!AM421,SSES!AM421)</f>
        <v>0</v>
      </c>
      <c r="AN421" s="329">
        <f>CHOOSE(m_identity,ENWL!AN421, NPgN!AN421, NPgY!AN421, WMID!AN421, EMID!AN421, SWALES!AN421, SWEST!AN421, LPN!AN421,SPN!AN421,EPN!AN421,SPD!AN421,SPMW!AN421,SSEH!AN421,SSES!AN421)</f>
        <v>0</v>
      </c>
      <c r="AO421" s="329">
        <f>CHOOSE(m_identity,ENWL!AO421, NPgN!AO421, NPgY!AO421, WMID!AO421, EMID!AO421, SWALES!AO421, SWEST!AO421, LPN!AO421,SPN!AO421,EPN!AO421,SPD!AO421,SPMW!AO421,SSEH!AO421,SSES!AO421)</f>
        <v>0</v>
      </c>
      <c r="AP421" s="329">
        <f>CHOOSE(m_identity,ENWL!AP421, NPgN!AP421, NPgY!AP421, WMID!AP421, EMID!AP421, SWALES!AP421, SWEST!AP421, LPN!AP421,SPN!AP421,EPN!AP421,SPD!AP421,SPMW!AP421,SSEH!AP421,SSES!AP421)</f>
        <v>0</v>
      </c>
      <c r="AQ421" s="329">
        <f>CHOOSE(m_identity,ENWL!AQ421, NPgN!AQ421, NPgY!AQ421, WMID!AQ421, EMID!AQ421, SWALES!AQ421, SWEST!AQ421, LPN!AQ421,SPN!AQ421,EPN!AQ421,SPD!AQ421,SPMW!AQ421,SSEH!AQ421,SSES!AQ421)</f>
        <v>0</v>
      </c>
    </row>
    <row r="422" spans="4:43" s="156" customFormat="1" ht="12.75">
      <c r="AJ422" s="329"/>
      <c r="AK422" s="329"/>
      <c r="AL422" s="329"/>
      <c r="AM422" s="329"/>
      <c r="AN422" s="329"/>
      <c r="AO422" s="329"/>
      <c r="AP422" s="329"/>
      <c r="AQ422" s="329"/>
    </row>
    <row r="423" spans="4:43" s="156" customFormat="1" ht="12.75">
      <c r="D423" s="36" t="s">
        <v>435</v>
      </c>
      <c r="E423" s="36"/>
      <c r="F423" s="36"/>
      <c r="G423" s="36"/>
      <c r="H423" s="36"/>
      <c r="I423" s="36"/>
      <c r="J423" s="36"/>
      <c r="K423" s="36"/>
      <c r="L423" s="36"/>
      <c r="M423" s="36"/>
      <c r="N423" s="36"/>
      <c r="O423" s="36"/>
      <c r="P423" s="36"/>
      <c r="Q423" s="36"/>
      <c r="R423" s="36"/>
      <c r="S423" s="36"/>
      <c r="T423" s="36"/>
      <c r="U423" s="36"/>
      <c r="V423" s="36"/>
      <c r="W423" s="36"/>
      <c r="X423" s="36"/>
      <c r="Y423" s="36"/>
      <c r="Z423" s="36"/>
      <c r="AA423" s="36"/>
      <c r="AB423" s="36"/>
      <c r="AC423" s="36"/>
      <c r="AD423" s="36"/>
      <c r="AE423" s="36"/>
      <c r="AF423" s="36"/>
      <c r="AG423" s="36"/>
      <c r="AH423" s="36"/>
      <c r="AI423" s="36"/>
      <c r="AJ423" s="333"/>
      <c r="AK423" s="333"/>
      <c r="AL423" s="333"/>
      <c r="AM423" s="333"/>
      <c r="AN423" s="333"/>
      <c r="AO423" s="333"/>
      <c r="AP423" s="333"/>
      <c r="AQ423" s="333"/>
    </row>
    <row r="424" spans="4:43" s="158" customFormat="1"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42"/>
      <c r="AK424" s="242"/>
      <c r="AL424" s="242"/>
      <c r="AM424" s="242"/>
      <c r="AN424" s="242"/>
      <c r="AO424" s="242"/>
      <c r="AP424" s="242"/>
      <c r="AQ424" s="242"/>
    </row>
    <row r="425" spans="4:43" s="156" customFormat="1" ht="12.75">
      <c r="AJ425" s="239"/>
      <c r="AK425" s="239"/>
      <c r="AL425" s="239"/>
      <c r="AM425" s="239"/>
      <c r="AN425" s="239"/>
      <c r="AO425" s="239"/>
      <c r="AP425" s="239"/>
      <c r="AQ425" s="239"/>
    </row>
    <row r="426" spans="4:43" s="156" customFormat="1" ht="12.75">
      <c r="E426" s="93" t="s">
        <v>24</v>
      </c>
      <c r="G426" s="156" t="s">
        <v>49</v>
      </c>
      <c r="AJ426" s="246">
        <f t="shared" ref="AJ426:AQ432" si="137">AJ375+AJ385+AJ395+AJ405+AJ415</f>
        <v>1</v>
      </c>
      <c r="AK426" s="246">
        <f t="shared" si="137"/>
        <v>1</v>
      </c>
      <c r="AL426" s="246">
        <f t="shared" si="137"/>
        <v>1</v>
      </c>
      <c r="AM426" s="246">
        <f t="shared" si="137"/>
        <v>1</v>
      </c>
      <c r="AN426" s="246">
        <f t="shared" si="137"/>
        <v>1</v>
      </c>
      <c r="AO426" s="246">
        <f t="shared" si="137"/>
        <v>1</v>
      </c>
      <c r="AP426" s="246">
        <f t="shared" si="137"/>
        <v>1</v>
      </c>
      <c r="AQ426" s="246">
        <f t="shared" si="137"/>
        <v>1</v>
      </c>
    </row>
    <row r="427" spans="4:43" s="156" customFormat="1" ht="12.75">
      <c r="E427" s="156" t="s">
        <v>665</v>
      </c>
      <c r="G427" s="156" t="s">
        <v>49</v>
      </c>
      <c r="AJ427" s="246">
        <f t="shared" si="137"/>
        <v>0.99999999999999989</v>
      </c>
      <c r="AK427" s="246">
        <f t="shared" si="137"/>
        <v>0.99999999999999989</v>
      </c>
      <c r="AL427" s="246">
        <f t="shared" si="137"/>
        <v>0.99999999999999989</v>
      </c>
      <c r="AM427" s="246">
        <f t="shared" si="137"/>
        <v>0.99999999999999989</v>
      </c>
      <c r="AN427" s="246">
        <f t="shared" si="137"/>
        <v>0.99999999999999989</v>
      </c>
      <c r="AO427" s="246">
        <f t="shared" si="137"/>
        <v>0.99999999999999989</v>
      </c>
      <c r="AP427" s="246">
        <f t="shared" si="137"/>
        <v>0.99999999999999989</v>
      </c>
      <c r="AQ427" s="246">
        <f t="shared" si="137"/>
        <v>0.99999999999999989</v>
      </c>
    </row>
    <row r="428" spans="4:43" s="156" customFormat="1" ht="12.75">
      <c r="E428" s="93" t="s">
        <v>25</v>
      </c>
      <c r="G428" s="156" t="s">
        <v>49</v>
      </c>
      <c r="AJ428" s="246">
        <f t="shared" si="137"/>
        <v>1.0000000000000002</v>
      </c>
      <c r="AK428" s="246">
        <f t="shared" si="137"/>
        <v>1.0000000000000002</v>
      </c>
      <c r="AL428" s="246">
        <f t="shared" si="137"/>
        <v>1.0000000000000002</v>
      </c>
      <c r="AM428" s="246">
        <f t="shared" si="137"/>
        <v>1.0000000000000002</v>
      </c>
      <c r="AN428" s="246">
        <f t="shared" si="137"/>
        <v>1.0000000000000002</v>
      </c>
      <c r="AO428" s="246">
        <f t="shared" si="137"/>
        <v>1.0000000000000002</v>
      </c>
      <c r="AP428" s="246">
        <f t="shared" si="137"/>
        <v>1.0000000000000002</v>
      </c>
      <c r="AQ428" s="246">
        <f t="shared" si="137"/>
        <v>1.0000000000000002</v>
      </c>
    </row>
    <row r="429" spans="4:43" s="156" customFormat="1" ht="12.75">
      <c r="E429" s="93" t="s">
        <v>706</v>
      </c>
      <c r="AJ429" s="246">
        <f t="shared" si="137"/>
        <v>1.0000000000000002</v>
      </c>
      <c r="AK429" s="246">
        <f t="shared" si="137"/>
        <v>1.0000000000000002</v>
      </c>
      <c r="AL429" s="246">
        <f t="shared" si="137"/>
        <v>1.0000000000000002</v>
      </c>
      <c r="AM429" s="246">
        <f t="shared" si="137"/>
        <v>1.0000000000000002</v>
      </c>
      <c r="AN429" s="246">
        <f t="shared" si="137"/>
        <v>1.0000000000000002</v>
      </c>
      <c r="AO429" s="246">
        <f t="shared" si="137"/>
        <v>1.0000000000000002</v>
      </c>
      <c r="AP429" s="246">
        <f t="shared" si="137"/>
        <v>1.0000000000000002</v>
      </c>
      <c r="AQ429" s="246">
        <f t="shared" si="137"/>
        <v>1.0000000000000002</v>
      </c>
    </row>
    <row r="430" spans="4:43" s="156" customFormat="1" ht="12.75">
      <c r="E430" s="294" t="s">
        <v>992</v>
      </c>
      <c r="G430" s="156" t="s">
        <v>49</v>
      </c>
      <c r="AJ430" s="246">
        <f t="shared" si="137"/>
        <v>1</v>
      </c>
      <c r="AK430" s="246">
        <f t="shared" si="137"/>
        <v>1</v>
      </c>
      <c r="AL430" s="246">
        <f t="shared" si="137"/>
        <v>1</v>
      </c>
      <c r="AM430" s="246">
        <f t="shared" si="137"/>
        <v>1</v>
      </c>
      <c r="AN430" s="246">
        <f t="shared" si="137"/>
        <v>1</v>
      </c>
      <c r="AO430" s="246">
        <f t="shared" si="137"/>
        <v>1</v>
      </c>
      <c r="AP430" s="246">
        <f t="shared" si="137"/>
        <v>1</v>
      </c>
      <c r="AQ430" s="246">
        <f t="shared" si="137"/>
        <v>1</v>
      </c>
    </row>
    <row r="431" spans="4:43" s="156" customFormat="1" ht="12.75">
      <c r="E431" s="93" t="s">
        <v>922</v>
      </c>
      <c r="AJ431" s="246">
        <f t="shared" si="137"/>
        <v>1</v>
      </c>
      <c r="AK431" s="246">
        <f t="shared" si="137"/>
        <v>1</v>
      </c>
      <c r="AL431" s="246">
        <f t="shared" si="137"/>
        <v>1</v>
      </c>
      <c r="AM431" s="246">
        <f t="shared" si="137"/>
        <v>1</v>
      </c>
      <c r="AN431" s="246">
        <f t="shared" si="137"/>
        <v>1</v>
      </c>
      <c r="AO431" s="246">
        <f t="shared" si="137"/>
        <v>1</v>
      </c>
      <c r="AP431" s="246">
        <f t="shared" si="137"/>
        <v>1</v>
      </c>
      <c r="AQ431" s="246">
        <f t="shared" si="137"/>
        <v>1</v>
      </c>
    </row>
    <row r="432" spans="4:43" s="156" customFormat="1" ht="12.75">
      <c r="E432" s="156" t="s">
        <v>796</v>
      </c>
      <c r="G432" s="156" t="s">
        <v>49</v>
      </c>
      <c r="AJ432" s="246">
        <f t="shared" si="137"/>
        <v>0.99999999999999989</v>
      </c>
      <c r="AK432" s="246">
        <f t="shared" si="137"/>
        <v>0.99999999999999989</v>
      </c>
      <c r="AL432" s="246">
        <f t="shared" si="137"/>
        <v>0.99999999999999989</v>
      </c>
      <c r="AM432" s="246">
        <f t="shared" si="137"/>
        <v>0.99999999999999989</v>
      </c>
      <c r="AN432" s="246">
        <f t="shared" si="137"/>
        <v>0.99999999999999989</v>
      </c>
      <c r="AO432" s="246">
        <f t="shared" si="137"/>
        <v>0.99999999999999989</v>
      </c>
      <c r="AP432" s="246">
        <f t="shared" si="137"/>
        <v>0.99999999999999989</v>
      </c>
      <c r="AQ432" s="246">
        <f t="shared" si="137"/>
        <v>0.99999999999999989</v>
      </c>
    </row>
    <row r="433" spans="1:43" s="156" customFormat="1" ht="12.75">
      <c r="AJ433" s="246"/>
      <c r="AK433" s="246"/>
      <c r="AL433" s="246"/>
      <c r="AM433" s="246"/>
      <c r="AN433" s="246"/>
      <c r="AO433" s="246"/>
      <c r="AP433" s="246"/>
      <c r="AQ433" s="246"/>
    </row>
    <row r="434" spans="1:43" s="158" customFormat="1" ht="12.75">
      <c r="A434" s="279"/>
      <c r="B434" s="15"/>
      <c r="C434" s="15"/>
      <c r="D434" s="15" t="s">
        <v>577</v>
      </c>
      <c r="E434" s="15"/>
      <c r="F434" s="15"/>
      <c r="G434" s="15"/>
      <c r="H434" s="15"/>
      <c r="I434" s="15"/>
      <c r="J434" s="15"/>
      <c r="K434" s="15"/>
      <c r="L434" s="15"/>
      <c r="M434" s="15"/>
      <c r="N434" s="15"/>
      <c r="O434" s="15"/>
      <c r="P434" s="15"/>
      <c r="Q434" s="15"/>
      <c r="R434" s="15"/>
      <c r="S434" s="15"/>
      <c r="T434" s="15"/>
      <c r="U434" s="15"/>
      <c r="V434" s="15"/>
      <c r="W434" s="15"/>
      <c r="X434" s="15"/>
      <c r="Y434" s="15"/>
      <c r="Z434" s="15"/>
      <c r="AA434" s="15"/>
      <c r="AB434" s="15"/>
      <c r="AC434" s="15"/>
      <c r="AD434" s="15"/>
      <c r="AE434" s="15"/>
      <c r="AF434" s="15"/>
      <c r="AG434" s="15"/>
      <c r="AH434" s="15"/>
      <c r="AI434" s="15"/>
      <c r="AJ434" s="334"/>
      <c r="AK434" s="334"/>
      <c r="AL434" s="334"/>
      <c r="AM434" s="334"/>
      <c r="AN434" s="334"/>
      <c r="AO434" s="334"/>
      <c r="AP434" s="334"/>
      <c r="AQ434" s="334"/>
    </row>
    <row r="435" spans="1:43" s="158" customFormat="1" ht="15" customHeight="1">
      <c r="A435" s="279"/>
      <c r="AJ435" s="149"/>
      <c r="AK435" s="149"/>
      <c r="AL435" s="149"/>
      <c r="AM435" s="149"/>
      <c r="AN435" s="149"/>
      <c r="AO435" s="149"/>
      <c r="AP435" s="149"/>
      <c r="AQ435" s="149"/>
    </row>
    <row r="436" spans="1:43" s="158" customFormat="1" ht="15" customHeight="1">
      <c r="A436" s="279"/>
      <c r="E436" s="158" t="s">
        <v>578</v>
      </c>
      <c r="G436" s="158" t="s">
        <v>844</v>
      </c>
      <c r="H436" s="292"/>
      <c r="AJ436" s="335">
        <f>CHOOSE(m_identity,ENWL!AJ436, NPgN!AJ436, NPgY!AJ436, WMID!AJ436, EMID!AJ436, SWALES!AJ436, SWEST!AJ436, LPN!AJ436,SPN!AJ436,EPN!AJ436,SPD!AJ436,SPMW!AJ436,SSEH!AJ436,SSES!AJ436)</f>
        <v>51.525097325252361</v>
      </c>
      <c r="AK436" s="335">
        <f>CHOOSE(m_identity,ENWL!AK436, NPgN!AK436, NPgY!AK436, WMID!AK436, EMID!AK436, SWALES!AK436, SWEST!AK436, LPN!AK436,SPN!AK436,EPN!AK436,SPD!AK436,SPMW!AK436,SSEH!AK436,SSES!AK436)</f>
        <v>53.71630329604389</v>
      </c>
      <c r="AL436" s="335">
        <f>CHOOSE(m_identity,ENWL!AL436, NPgN!AL436, NPgY!AL436, WMID!AL436, EMID!AL436, SWALES!AL436, SWEST!AL436, LPN!AL436,SPN!AL436,EPN!AL436,SPD!AL436,SPMW!AL436,SSEH!AL436,SSES!AL436)</f>
        <v>54.054089778568397</v>
      </c>
      <c r="AM436" s="335">
        <f>CHOOSE(m_identity,ENWL!AM436, NPgN!AM436, NPgY!AM436, WMID!AM436, EMID!AM436, SWALES!AM436, SWEST!AM436, LPN!AM436,SPN!AM436,EPN!AM436,SPD!AM436,SPMW!AM436,SSEH!AM436,SSES!AM436)</f>
        <v>55.816523745052031</v>
      </c>
      <c r="AN436" s="335">
        <f>CHOOSE(m_identity,ENWL!AN436, NPgN!AN436, NPgY!AN436, WMID!AN436, EMID!AN436, SWALES!AN436, SWEST!AN436, LPN!AN436,SPN!AN436,EPN!AN436,SPD!AN436,SPMW!AN436,SSEH!AN436,SSES!AN436)</f>
        <v>56.763495401372573</v>
      </c>
      <c r="AO436" s="335">
        <f>CHOOSE(m_identity,ENWL!AO436, NPgN!AO436, NPgY!AO436, WMID!AO436, EMID!AO436, SWALES!AO436, SWEST!AO436, LPN!AO436,SPN!AO436,EPN!AO436,SPD!AO436,SPMW!AO436,SSEH!AO436,SSES!AO436)</f>
        <v>56.164580011411857</v>
      </c>
      <c r="AP436" s="335">
        <f>CHOOSE(m_identity,ENWL!AP436, NPgN!AP436, NPgY!AP436, WMID!AP436, EMID!AP436, SWALES!AP436, SWEST!AP436, LPN!AP436,SPN!AP436,EPN!AP436,SPD!AP436,SPMW!AP436,SSEH!AP436,SSES!AP436)</f>
        <v>57.897067060683291</v>
      </c>
      <c r="AQ436" s="335">
        <f>CHOOSE(m_identity,ENWL!AQ436, NPgN!AQ436, NPgY!AQ436, WMID!AQ436, EMID!AQ436, SWALES!AQ436, SWEST!AQ436, LPN!AQ436,SPN!AQ436,EPN!AQ436,SPD!AQ436,SPMW!AQ436,SSEH!AQ436,SSES!AQ436)</f>
        <v>59.071319745029186</v>
      </c>
    </row>
    <row r="437" spans="1:43" s="158" customFormat="1" ht="15" customHeight="1">
      <c r="A437" s="279"/>
      <c r="E437" s="158" t="s">
        <v>579</v>
      </c>
      <c r="G437" s="158" t="s">
        <v>844</v>
      </c>
      <c r="H437" s="292"/>
      <c r="AJ437" s="335">
        <f>CHOOSE(m_identity,ENWL!AJ437, NPgN!AJ437, NPgY!AJ437, WMID!AJ437, EMID!AJ437, SWALES!AJ437, SWEST!AJ437, LPN!AJ437,SPN!AJ437,EPN!AJ437,SPD!AJ437,SPMW!AJ437,SSEH!AJ437,SSES!AJ437)</f>
        <v>161.3896305511791</v>
      </c>
      <c r="AK437" s="335">
        <f>CHOOSE(m_identity,ENWL!AK437, NPgN!AK437, NPgY!AK437, WMID!AK437, EMID!AK437, SWALES!AK437, SWEST!AK437, LPN!AK437,SPN!AK437,EPN!AK437,SPD!AK437,SPMW!AK437,SSEH!AK437,SSES!AK437)</f>
        <v>186.72248949616377</v>
      </c>
      <c r="AL437" s="335">
        <f>CHOOSE(m_identity,ENWL!AL437, NPgN!AL437, NPgY!AL437, WMID!AL437, EMID!AL437, SWALES!AL437, SWEST!AL437, LPN!AL437,SPN!AL437,EPN!AL437,SPD!AL437,SPMW!AL437,SSEH!AL437,SSES!AL437)</f>
        <v>181.5468059918777</v>
      </c>
      <c r="AM437" s="335">
        <f>CHOOSE(m_identity,ENWL!AM437, NPgN!AM437, NPgY!AM437, WMID!AM437, EMID!AM437, SWALES!AM437, SWEST!AM437, LPN!AM437,SPN!AM437,EPN!AM437,SPD!AM437,SPMW!AM437,SSEH!AM437,SSES!AM437)</f>
        <v>167.81434814587976</v>
      </c>
      <c r="AN437" s="335">
        <f>CHOOSE(m_identity,ENWL!AN437, NPgN!AN437, NPgY!AN437, WMID!AN437, EMID!AN437, SWALES!AN437, SWEST!AN437, LPN!AN437,SPN!AN437,EPN!AN437,SPD!AN437,SPMW!AN437,SSEH!AN437,SSES!AN437)</f>
        <v>159.68895173148468</v>
      </c>
      <c r="AO437" s="335">
        <f>CHOOSE(m_identity,ENWL!AO437, NPgN!AO437, NPgY!AO437, WMID!AO437, EMID!AO437, SWALES!AO437, SWEST!AO437, LPN!AO437,SPN!AO437,EPN!AO437,SPD!AO437,SPMW!AO437,SSEH!AO437,SSES!AO437)</f>
        <v>154.12286241883777</v>
      </c>
      <c r="AP437" s="335">
        <f>CHOOSE(m_identity,ENWL!AP437, NPgN!AP437, NPgY!AP437, WMID!AP437, EMID!AP437, SWALES!AP437, SWEST!AP437, LPN!AP437,SPN!AP437,EPN!AP437,SPD!AP437,SPMW!AP437,SSEH!AP437,SSES!AP437)</f>
        <v>155.86376431454948</v>
      </c>
      <c r="AQ437" s="335">
        <f>CHOOSE(m_identity,ENWL!AQ437, NPgN!AQ437, NPgY!AQ437, WMID!AQ437, EMID!AQ437, SWALES!AQ437, SWEST!AQ437, LPN!AQ437,SPN!AQ437,EPN!AQ437,SPD!AQ437,SPMW!AQ437,SSEH!AQ437,SSES!AQ437)</f>
        <v>148.56343437744619</v>
      </c>
    </row>
    <row r="438" spans="1:43" s="156" customFormat="1" ht="12.75">
      <c r="A438" s="295"/>
      <c r="AJ438" s="157"/>
      <c r="AK438" s="157"/>
      <c r="AL438" s="195"/>
      <c r="AM438" s="195"/>
      <c r="AN438" s="195"/>
      <c r="AO438" s="195"/>
      <c r="AP438" s="195"/>
      <c r="AQ438" s="195"/>
    </row>
    <row r="439" spans="1:43" s="154" customFormat="1" ht="15" customHeight="1">
      <c r="B439" s="257"/>
      <c r="C439" s="257"/>
      <c r="D439" s="257"/>
      <c r="E439" s="257"/>
      <c r="F439" s="257"/>
      <c r="G439" s="257"/>
      <c r="H439" s="257"/>
      <c r="I439" s="257"/>
      <c r="J439" s="257"/>
      <c r="K439" s="257"/>
      <c r="L439" s="257"/>
      <c r="M439" s="257"/>
      <c r="N439" s="257"/>
      <c r="O439" s="257"/>
      <c r="P439" s="257"/>
      <c r="Q439" s="257"/>
      <c r="R439" s="257"/>
      <c r="S439" s="257"/>
      <c r="T439" s="257"/>
      <c r="U439" s="257"/>
      <c r="V439" s="257"/>
      <c r="W439" s="257"/>
      <c r="X439" s="257"/>
      <c r="Y439" s="257"/>
      <c r="Z439" s="257"/>
      <c r="AA439" s="257"/>
      <c r="AB439" s="257"/>
      <c r="AC439" s="257"/>
      <c r="AD439" s="257"/>
      <c r="AE439" s="257"/>
      <c r="AF439" s="257"/>
      <c r="AG439" s="257"/>
      <c r="AH439" s="257"/>
      <c r="AI439" s="257"/>
      <c r="AJ439" s="336"/>
      <c r="AK439" s="336"/>
      <c r="AL439" s="336"/>
      <c r="AM439" s="336"/>
      <c r="AN439" s="336"/>
      <c r="AO439" s="336"/>
      <c r="AP439" s="336"/>
      <c r="AQ439" s="336"/>
    </row>
    <row r="440" spans="1:43" s="158" customFormat="1" ht="12.75">
      <c r="B440" s="15"/>
      <c r="C440" s="15"/>
      <c r="D440" s="15" t="s">
        <v>616</v>
      </c>
      <c r="E440" s="15"/>
      <c r="F440" s="15"/>
      <c r="G440" s="15"/>
      <c r="H440" s="15"/>
      <c r="I440" s="15"/>
      <c r="J440" s="15"/>
      <c r="K440" s="15"/>
      <c r="L440" s="15"/>
      <c r="M440" s="15"/>
      <c r="N440" s="15"/>
      <c r="O440" s="15"/>
      <c r="P440" s="15"/>
      <c r="Q440" s="15"/>
      <c r="R440" s="15"/>
      <c r="S440" s="15"/>
      <c r="T440" s="15"/>
      <c r="U440" s="15"/>
      <c r="V440" s="15"/>
      <c r="W440" s="15"/>
      <c r="X440" s="15"/>
      <c r="Y440" s="15"/>
      <c r="Z440" s="15"/>
      <c r="AA440" s="15"/>
      <c r="AB440" s="15"/>
      <c r="AC440" s="15"/>
      <c r="AD440" s="15"/>
      <c r="AE440" s="15"/>
      <c r="AF440" s="15"/>
      <c r="AG440" s="15"/>
      <c r="AH440" s="15"/>
      <c r="AI440" s="15"/>
      <c r="AJ440" s="334"/>
      <c r="AK440" s="334"/>
      <c r="AL440" s="334"/>
      <c r="AM440" s="334"/>
      <c r="AN440" s="334"/>
      <c r="AO440" s="334"/>
      <c r="AP440" s="334"/>
      <c r="AQ440" s="334"/>
    </row>
    <row r="441" spans="1:43" s="158" customFormat="1" ht="15" customHeight="1">
      <c r="AJ441" s="149"/>
      <c r="AK441" s="149"/>
      <c r="AL441" s="149"/>
      <c r="AM441" s="149"/>
      <c r="AN441" s="149"/>
      <c r="AO441" s="149"/>
      <c r="AP441" s="149"/>
      <c r="AQ441" s="149"/>
    </row>
    <row r="442" spans="1:43" s="158" customFormat="1" ht="15" customHeight="1">
      <c r="E442" s="158" t="s">
        <v>617</v>
      </c>
      <c r="G442" s="158" t="s">
        <v>844</v>
      </c>
      <c r="AJ442" s="335">
        <f>CHOOSE(m_identity,ENWL!AJ442, NPgN!AJ442, NPgY!AJ442, WMID!AJ442, EMID!AJ442, SWALES!AJ442, SWEST!AJ442, LPN!AJ442,SPN!AJ442,EPN!AJ442,SPD!AJ442,SPMW!AJ442,SSEH!AJ442,SSES!AJ442)</f>
        <v>0</v>
      </c>
      <c r="AK442" s="335">
        <f>CHOOSE(m_identity,ENWL!AK442, NPgN!AK442, NPgY!AK442, WMID!AK442, EMID!AK442, SWALES!AK442, SWEST!AK442, LPN!AK442,SPN!AK442,EPN!AK442,SPD!AK442,SPMW!AK442,SSEH!AK442,SSES!AK442)</f>
        <v>0</v>
      </c>
      <c r="AL442" s="335">
        <f>CHOOSE(m_identity,ENWL!AL442, NPgN!AL442, NPgY!AL442, WMID!AL442, EMID!AL442, SWALES!AL442, SWEST!AL442, LPN!AL442,SPN!AL442,EPN!AL442,SPD!AL442,SPMW!AL442,SSEH!AL442,SSES!AL442)</f>
        <v>0</v>
      </c>
      <c r="AM442" s="335">
        <f>CHOOSE(m_identity,ENWL!AM442, NPgN!AM442, NPgY!AM442, WMID!AM442, EMID!AM442, SWALES!AM442, SWEST!AM442, LPN!AM442,SPN!AM442,EPN!AM442,SPD!AM442,SPMW!AM442,SSEH!AM442,SSES!AM442)</f>
        <v>0</v>
      </c>
      <c r="AN442" s="335">
        <f>CHOOSE(m_identity,ENWL!AN442, NPgN!AN442, NPgY!AN442, WMID!AN442, EMID!AN442, SWALES!AN442, SWEST!AN442, LPN!AN442,SPN!AN442,EPN!AN442,SPD!AN442,SPMW!AN442,SSEH!AN442,SSES!AN442)</f>
        <v>0</v>
      </c>
      <c r="AO442" s="335">
        <f>CHOOSE(m_identity,ENWL!AO442, NPgN!AO442, NPgY!AO442, WMID!AO442, EMID!AO442, SWALES!AO442, SWEST!AO442, LPN!AO442,SPN!AO442,EPN!AO442,SPD!AO442,SPMW!AO442,SSEH!AO442,SSES!AO442)</f>
        <v>0</v>
      </c>
      <c r="AP442" s="335">
        <f>CHOOSE(m_identity,ENWL!AP442, NPgN!AP442, NPgY!AP442, WMID!AP442, EMID!AP442, SWALES!AP442, SWEST!AP442, LPN!AP442,SPN!AP442,EPN!AP442,SPD!AP442,SPMW!AP442,SSEH!AP442,SSES!AP442)</f>
        <v>0</v>
      </c>
      <c r="AQ442" s="335">
        <f>CHOOSE(m_identity,ENWL!AQ442, NPgN!AQ442, NPgY!AQ442, WMID!AQ442, EMID!AQ442, SWALES!AQ442, SWEST!AQ442, LPN!AQ442,SPN!AQ442,EPN!AQ442,SPD!AQ442,SPMW!AQ442,SSEH!AQ442,SSES!AQ442)</f>
        <v>0</v>
      </c>
    </row>
    <row r="443" spans="1:43" ht="15" customHeight="1">
      <c r="AJ443" s="149"/>
      <c r="AK443" s="149"/>
      <c r="AL443" s="149"/>
      <c r="AM443" s="149"/>
      <c r="AN443" s="149"/>
      <c r="AO443" s="149"/>
      <c r="AP443" s="149"/>
      <c r="AQ443" s="149"/>
    </row>
    <row r="444" spans="1:43" s="158" customFormat="1" ht="12.75">
      <c r="B444" s="15"/>
      <c r="C444" s="15"/>
      <c r="D444" s="15" t="s">
        <v>804</v>
      </c>
      <c r="E444" s="15"/>
      <c r="F444" s="15"/>
      <c r="G444" s="15"/>
      <c r="H444" s="15"/>
      <c r="I444" s="15"/>
      <c r="J444" s="15"/>
      <c r="K444" s="15"/>
      <c r="L444" s="15"/>
      <c r="M444" s="15"/>
      <c r="N444" s="15"/>
      <c r="O444" s="15"/>
      <c r="P444" s="15"/>
      <c r="Q444" s="15"/>
      <c r="R444" s="15"/>
      <c r="S444" s="15"/>
      <c r="T444" s="15"/>
      <c r="U444" s="15"/>
      <c r="V444" s="15"/>
      <c r="W444" s="15"/>
      <c r="X444" s="15"/>
      <c r="Y444" s="15"/>
      <c r="Z444" s="15"/>
      <c r="AA444" s="15"/>
      <c r="AB444" s="15"/>
      <c r="AC444" s="15"/>
      <c r="AD444" s="15"/>
      <c r="AE444" s="15"/>
      <c r="AF444" s="15"/>
      <c r="AG444" s="15"/>
      <c r="AH444" s="15"/>
      <c r="AI444" s="15"/>
      <c r="AJ444" s="334"/>
      <c r="AK444" s="334"/>
      <c r="AL444" s="334"/>
      <c r="AM444" s="334"/>
      <c r="AN444" s="334"/>
      <c r="AO444" s="334"/>
      <c r="AP444" s="334"/>
      <c r="AQ444" s="334"/>
    </row>
    <row r="445" spans="1:43" s="154" customFormat="1" ht="15" customHeight="1">
      <c r="AJ445" s="152"/>
      <c r="AK445" s="152"/>
      <c r="AL445" s="152"/>
      <c r="AM445" s="152"/>
      <c r="AN445" s="152"/>
      <c r="AO445" s="152"/>
      <c r="AP445" s="152"/>
      <c r="AQ445" s="152"/>
    </row>
    <row r="446" spans="1:43" s="154" customFormat="1" ht="15" customHeight="1">
      <c r="E446" s="154" t="s">
        <v>810</v>
      </c>
      <c r="G446" s="158" t="s">
        <v>844</v>
      </c>
      <c r="AJ446" s="236">
        <f>CHOOSE(m_identity,ENWL!AJ446, NPgN!AJ446, NPgY!AJ446, WMID!AJ446, EMID!AJ446, SWALES!AJ446, SWEST!AJ446, LPN!AJ446,SPN!AJ446,EPN!AJ446,SPD!AJ446,SPMW!AJ446,SSEH!AJ446,SSES!AJ446)</f>
        <v>-14.172919552740399</v>
      </c>
      <c r="AK446" s="236">
        <f>CHOOSE(m_identity,ENWL!AK446, NPgN!AK446, NPgY!AK446, WMID!AK446, EMID!AK446, SWALES!AK446, SWEST!AK446, LPN!AK446,SPN!AK446,EPN!AK446,SPD!AK446,SPMW!AK446,SSEH!AK446,SSES!AK446)</f>
        <v>-19.866422081235399</v>
      </c>
      <c r="AL446" s="236">
        <f>CHOOSE(m_identity,ENWL!AL446, NPgN!AL446, NPgY!AL446, WMID!AL446, EMID!AL446, SWALES!AL446, SWEST!AL446, LPN!AL446,SPN!AL446,EPN!AL446,SPD!AL446,SPMW!AL446,SSEH!AL446,SSES!AL446)</f>
        <v>-16.878180515210499</v>
      </c>
      <c r="AM446" s="236">
        <f>CHOOSE(m_identity,ENWL!AM446, NPgN!AM446, NPgY!AM446, WMID!AM446, EMID!AM446, SWALES!AM446, SWEST!AM446, LPN!AM446,SPN!AM446,EPN!AM446,SPD!AM446,SPMW!AM446,SSEH!AM446,SSES!AM446)</f>
        <v>-11.843635642291668</v>
      </c>
      <c r="AN446" s="236">
        <f>CHOOSE(m_identity,ENWL!AN446, NPgN!AN446, NPgY!AN446, WMID!AN446, EMID!AN446, SWALES!AN446, SWEST!AN446, LPN!AN446,SPN!AN446,EPN!AN446,SPD!AN446,SPMW!AN446,SSEH!AN446,SSES!AN446)</f>
        <v>3.0408866672822299</v>
      </c>
      <c r="AO446" s="236">
        <f>CHOOSE(m_identity,ENWL!AO446, NPgN!AO446, NPgY!AO446, WMID!AO446, EMID!AO446, SWALES!AO446, SWEST!AO446, LPN!AO446,SPN!AO446,EPN!AO446,SPD!AO446,SPMW!AO446,SSEH!AO446,SSES!AO446)</f>
        <v>10.327768072408599</v>
      </c>
      <c r="AP446" s="236">
        <f>CHOOSE(m_identity,ENWL!AP446, NPgN!AP446, NPgY!AP446, WMID!AP446, EMID!AP446, SWALES!AP446, SWEST!AP446, LPN!AP446,SPN!AP446,EPN!AP446,SPD!AP446,SPMW!AP446,SSEH!AP446,SSES!AP446)</f>
        <v>18.978692725747198</v>
      </c>
      <c r="AQ446" s="236">
        <f>CHOOSE(m_identity,ENWL!AQ446, NPgN!AQ446, NPgY!AQ446, WMID!AQ446, EMID!AQ446, SWALES!AQ446, SWEST!AQ446, LPN!AQ446,SPN!AQ446,EPN!AQ446,SPD!AQ446,SPMW!AQ446,SSEH!AQ446,SSES!AQ446)</f>
        <v>30.647284058307616</v>
      </c>
    </row>
    <row r="447" spans="1:43" ht="15" customHeight="1">
      <c r="E447" s="158" t="s">
        <v>816</v>
      </c>
      <c r="G447" s="158" t="s">
        <v>844</v>
      </c>
      <c r="AJ447" s="236">
        <f>CHOOSE(m_identity,ENWL!AJ447, NPgN!AJ447, NPgY!AJ447, WMID!AJ447, EMID!AJ447, SWALES!AJ447, SWEST!AJ447, LPN!AJ447,SPN!AJ447,EPN!AJ447,SPD!AJ447,SPMW!AJ447,SSEH!AJ447,SSES!AJ447)</f>
        <v>0.34294617009704814</v>
      </c>
      <c r="AK447" s="236">
        <f>CHOOSE(m_identity,ENWL!AK447, NPgN!AK447, NPgY!AK447, WMID!AK447, EMID!AK447, SWALES!AK447, SWEST!AK447, LPN!AK447,SPN!AK447,EPN!AK447,SPD!AK447,SPMW!AK447,SSEH!AK447,SSES!AK447)</f>
        <v>1.1671313577041902</v>
      </c>
      <c r="AL447" s="236">
        <f>CHOOSE(m_identity,ENWL!AL447, NPgN!AL447, NPgY!AL447, WMID!AL447, EMID!AL447, SWALES!AL447, SWEST!AL447, LPN!AL447,SPN!AL447,EPN!AL447,SPD!AL447,SPMW!AL447,SSEH!AL447,SSES!AL447)</f>
        <v>2.0579457308493807</v>
      </c>
      <c r="AM447" s="236">
        <f>CHOOSE(m_identity,ENWL!AM447, NPgN!AM447, NPgY!AM447, WMID!AM447, EMID!AM447, SWALES!AM447, SWEST!AM447, LPN!AM447,SPN!AM447,EPN!AM447,SPD!AM447,SPMW!AM447,SSEH!AM447,SSES!AM447)</f>
        <v>2.7556747450008379</v>
      </c>
      <c r="AN447" s="236">
        <f>CHOOSE(m_identity,ENWL!AN447, NPgN!AN447, NPgY!AN447, WMID!AN447, EMID!AN447, SWALES!AN447, SWEST!AN447, LPN!AN447,SPN!AN447,EPN!AN447,SPD!AN447,SPMW!AN447,SSEH!AN447,SSES!AN447)</f>
        <v>2.9719155427727109</v>
      </c>
      <c r="AO447" s="236">
        <f>CHOOSE(m_identity,ENWL!AO447, NPgN!AO447, NPgY!AO447, WMID!AO447, EMID!AO447, SWALES!AO447, SWEST!AO447, LPN!AO447,SPN!AO447,EPN!AO447,SPD!AO447,SPMW!AO447,SSEH!AO447,SSES!AO447)</f>
        <v>2.651229030358099</v>
      </c>
      <c r="AP447" s="236">
        <f>CHOOSE(m_identity,ENWL!AP447, NPgN!AP447, NPgY!AP447, WMID!AP447, EMID!AP447, SWALES!AP447, SWEST!AP447, LPN!AP447,SPN!AP447,EPN!AP447,SPD!AP447,SPMW!AP447,SSEH!AP447,SSES!AP447)</f>
        <v>1.9435571234994955</v>
      </c>
      <c r="AQ447" s="236">
        <f>CHOOSE(m_identity,ENWL!AQ447, NPgN!AQ447, NPgY!AQ447, WMID!AQ447, EMID!AQ447, SWALES!AQ447, SWEST!AQ447, LPN!AQ447,SPN!AQ447,EPN!AQ447,SPD!AQ447,SPMW!AQ447,SSEH!AQ447,SSES!AQ447)</f>
        <v>0.74235651819556048</v>
      </c>
    </row>
    <row r="448" spans="1:43" ht="15" customHeight="1">
      <c r="E448" s="158" t="s">
        <v>817</v>
      </c>
      <c r="G448" s="158" t="s">
        <v>844</v>
      </c>
      <c r="AJ448" s="11">
        <f>AJ460</f>
        <v>0</v>
      </c>
      <c r="AK448" s="158">
        <f t="shared" ref="AK448:AQ448" si="138">AK460</f>
        <v>0</v>
      </c>
      <c r="AL448" s="158">
        <f t="shared" si="138"/>
        <v>0</v>
      </c>
      <c r="AM448" s="158">
        <f t="shared" si="138"/>
        <v>0</v>
      </c>
      <c r="AN448" s="158">
        <f t="shared" si="138"/>
        <v>0</v>
      </c>
      <c r="AO448" s="158">
        <f t="shared" si="138"/>
        <v>0</v>
      </c>
      <c r="AP448" s="158">
        <f t="shared" si="138"/>
        <v>0</v>
      </c>
      <c r="AQ448" s="158">
        <f t="shared" si="138"/>
        <v>0</v>
      </c>
    </row>
    <row r="450" spans="2:43" ht="15" customHeight="1">
      <c r="E450" s="158" t="s">
        <v>812</v>
      </c>
    </row>
    <row r="452" spans="2:43" ht="15" customHeight="1">
      <c r="E452" s="158" t="s">
        <v>815</v>
      </c>
      <c r="AJ452" s="238">
        <f>AJ453</f>
        <v>3.8679999999999999E-2</v>
      </c>
      <c r="AK452" s="238">
        <f t="shared" ref="AK452:AQ452" si="139">AK453</f>
        <v>3.8679999999999999E-2</v>
      </c>
      <c r="AL452" s="238">
        <f t="shared" si="139"/>
        <v>3.8679999999999999E-2</v>
      </c>
      <c r="AM452" s="238">
        <f t="shared" si="139"/>
        <v>3.8679999999999999E-2</v>
      </c>
      <c r="AN452" s="238">
        <f t="shared" si="139"/>
        <v>3.8679999999999999E-2</v>
      </c>
      <c r="AO452" s="238">
        <f t="shared" si="139"/>
        <v>3.8679999999999999E-2</v>
      </c>
      <c r="AP452" s="238">
        <f t="shared" si="139"/>
        <v>3.8679999999999999E-2</v>
      </c>
      <c r="AQ452" s="238">
        <f t="shared" si="139"/>
        <v>3.8679999999999999E-2</v>
      </c>
    </row>
    <row r="453" spans="2:43" ht="15" customHeight="1">
      <c r="E453" s="158" t="s">
        <v>813</v>
      </c>
      <c r="AJ453" s="239">
        <f>AJ51</f>
        <v>3.8679999999999999E-2</v>
      </c>
      <c r="AK453" s="239">
        <f t="shared" ref="AK453:AQ453" si="140">AK51</f>
        <v>3.8679999999999999E-2</v>
      </c>
      <c r="AL453" s="239">
        <f t="shared" si="140"/>
        <v>3.8679999999999999E-2</v>
      </c>
      <c r="AM453" s="239">
        <f t="shared" si="140"/>
        <v>3.8679999999999999E-2</v>
      </c>
      <c r="AN453" s="239">
        <f t="shared" si="140"/>
        <v>3.8679999999999999E-2</v>
      </c>
      <c r="AO453" s="239">
        <f t="shared" si="140"/>
        <v>3.8679999999999999E-2</v>
      </c>
      <c r="AP453" s="239">
        <f t="shared" si="140"/>
        <v>3.8679999999999999E-2</v>
      </c>
      <c r="AQ453" s="239">
        <f t="shared" si="140"/>
        <v>3.8679999999999999E-2</v>
      </c>
    </row>
    <row r="455" spans="2:43" ht="15" customHeight="1">
      <c r="E455" s="158" t="s">
        <v>814</v>
      </c>
    </row>
    <row r="456" spans="2:43" ht="15" customHeight="1">
      <c r="E456" s="157" t="s">
        <v>803</v>
      </c>
      <c r="AJ456" s="236">
        <f>CHOOSE(m_identity,ENWL!AJ456, NPgN!AJ456, NPgY!AJ456, WMID!AJ456, EMID!AJ456, SWALES!AJ456, SWEST!AJ456, LPN!AJ456,SPN!AJ456,EPN!AJ456,SPD!AJ456,SPMW!AJ456,SSEH!AJ456,SSES!AJ456)</f>
        <v>0</v>
      </c>
      <c r="AK456" s="236">
        <f>CHOOSE(m_identity,ENWL!AK456, NPgN!AK456, NPgY!AK456, WMID!AK456, EMID!AK456, SWALES!AK456, SWEST!AK456, LPN!AK456,SPN!AK456,EPN!AK456,SPD!AK456,SPMW!AK456,SSEH!AK456,SSES!AK456)</f>
        <v>-17.732480356620897</v>
      </c>
      <c r="AL456" s="236">
        <f>CHOOSE(m_identity,ENWL!AL456, NPgN!AL456, NPgY!AL456, WMID!AL456, EMID!AL456, SWALES!AL456, SWEST!AL456, LPN!AL456,SPN!AL456,EPN!AL456,SPD!AL456,SPMW!AL456,SSEH!AL456,SSES!AL456)</f>
        <v>-42.615573299231926</v>
      </c>
      <c r="AM456" s="236">
        <f>CHOOSE(m_identity,ENWL!AM456, NPgN!AM456, NPgY!AM456, WMID!AM456, EMID!AM456, SWALES!AM456, SWEST!AM456, LPN!AM456,SPN!AM456,EPN!AM456,SPD!AM456,SPMW!AM456,SSEH!AM456,SSES!AM456)</f>
        <v>-63.793202856374307</v>
      </c>
      <c r="AN456" s="236">
        <f>CHOOSE(m_identity,ENWL!AN456, NPgN!AN456, NPgY!AN456, WMID!AN456, EMID!AN456, SWALES!AN456, SWEST!AN456, LPN!AN456,SPN!AN456,EPN!AN456,SPD!AN456,SPMW!AN456,SSEH!AN456,SSES!AN456)</f>
        <v>-78.692564036291685</v>
      </c>
      <c r="AO456" s="236">
        <f>CHOOSE(m_identity,ENWL!AO456, NPgN!AO456, NPgY!AO456, WMID!AO456, EMID!AO456, SWALES!AO456, SWEST!AO456, LPN!AO456,SPN!AO456,EPN!AO456,SPD!AO456,SPMW!AO456,SSEH!AO456,SSES!AO456)</f>
        <v>-74.974212660367868</v>
      </c>
      <c r="AP456" s="236">
        <f>CHOOSE(m_identity,ENWL!AP456, NPgN!AP456, NPgY!AP456, WMID!AP456, EMID!AP456, SWALES!AP456, SWEST!AP456, LPN!AP456,SPN!AP456,EPN!AP456,SPD!AP456,SPMW!AP456,SSEH!AP456,SSES!AP456)</f>
        <v>-62.11103962292384</v>
      </c>
      <c r="AQ456" s="236">
        <f>CHOOSE(m_identity,ENWL!AQ456, NPgN!AQ456, NPgY!AQ456, WMID!AQ456, EMID!AQ456, SWALES!AQ456, SWEST!AQ456, LPN!AQ456,SPN!AQ456,EPN!AQ456,SPD!AQ456,SPMW!AQ456,SSEH!AQ456,SSES!AQ456)</f>
        <v>-38.383095609682073</v>
      </c>
    </row>
    <row r="457" spans="2:43" ht="15" customHeight="1">
      <c r="E457" s="157" t="s">
        <v>805</v>
      </c>
      <c r="AJ457" s="236">
        <f>CHOOSE(m_identity,ENWL!AJ457, NPgN!AJ457, NPgY!AJ457, WMID!AJ457, EMID!AJ457, SWALES!AJ457, SWEST!AJ457, LPN!AJ457,SPN!AJ457,EPN!AJ457,SPD!AJ457,SPMW!AJ457,SSEH!AJ457,SSES!AJ457)</f>
        <v>-17.732480356620897</v>
      </c>
      <c r="AK457" s="236">
        <f>CHOOSE(m_identity,ENWL!AK457, NPgN!AK457, NPgY!AK457, WMID!AK457, EMID!AK457, SWALES!AK457, SWEST!AK457, LPN!AK457,SPN!AK457,EPN!AK457,SPD!AK457,SPMW!AK457,SSEH!AK457,SSES!AK457)</f>
        <v>-24.883092942611029</v>
      </c>
      <c r="AL457" s="236">
        <f>CHOOSE(m_identity,ENWL!AL457, NPgN!AL457, NPgY!AL457, WMID!AL457, EMID!AL457, SWALES!AL457, SWEST!AL457, LPN!AL457,SPN!AL457,EPN!AL457,SPD!AL457,SPMW!AL457,SSEH!AL457,SSES!AL457)</f>
        <v>-21.177629557142382</v>
      </c>
      <c r="AM457" s="236">
        <f>CHOOSE(m_identity,ENWL!AM457, NPgN!AM457, NPgY!AM457, WMID!AM457, EMID!AM457, SWALES!AM457, SWEST!AM457, LPN!AM457,SPN!AM457,EPN!AM457,SPD!AM457,SPMW!AM457,SSEH!AM457,SSES!AM457)</f>
        <v>-14.899361179917378</v>
      </c>
      <c r="AN457" s="236">
        <f>CHOOSE(m_identity,ENWL!AN457, NPgN!AN457, NPgY!AN457, WMID!AN457, EMID!AN457, SWALES!AN457, SWEST!AN457, LPN!AN457,SPN!AN457,EPN!AN457,SPD!AN457,SPMW!AN457,SSEH!AN457,SSES!AN457)</f>
        <v>3.7183513759238167</v>
      </c>
      <c r="AO457" s="236">
        <f>CHOOSE(m_identity,ENWL!AO457, NPgN!AO457, NPgY!AO457, WMID!AO457, EMID!AO457, SWALES!AO457, SWEST!AO457, LPN!AO457,SPN!AO457,EPN!AO457,SPD!AO457,SPMW!AO457,SSEH!AO457,SSES!AO457)</f>
        <v>12.863173037444028</v>
      </c>
      <c r="AP457" s="236">
        <f>CHOOSE(m_identity,ENWL!AP457, NPgN!AP457, NPgY!AP457, WMID!AP457, EMID!AP457, SWALES!AP457, SWEST!AP457, LPN!AP457,SPN!AP457,EPN!AP457,SPD!AP457,SPMW!AP457,SSEH!AP457,SSES!AP457)</f>
        <v>23.727944013241768</v>
      </c>
      <c r="AQ457" s="236">
        <f>CHOOSE(m_identity,ENWL!AQ457, NPgN!AQ457, NPgY!AQ457, WMID!AQ457, EMID!AQ457, SWALES!AQ457, SWEST!AQ457, LPN!AQ457,SPN!AQ457,EPN!AQ457,SPD!AQ457,SPMW!AQ457,SSEH!AQ457,SSES!AQ457)</f>
        <v>38.381727346815751</v>
      </c>
    </row>
    <row r="458" spans="2:43" ht="15" customHeight="1">
      <c r="E458" s="195" t="s">
        <v>806</v>
      </c>
      <c r="AJ458" s="236">
        <f>CHOOSE(m_identity,ENWL!AJ458, NPgN!AJ458, NPgY!AJ458, WMID!AJ458, EMID!AJ458, SWALES!AJ458, SWEST!AJ458, LPN!AJ458,SPN!AJ458,EPN!AJ458,SPD!AJ458,SPMW!AJ458,SSEH!AJ458,SSES!AJ458)</f>
        <v>-17.732480356620897</v>
      </c>
      <c r="AK458" s="236">
        <f>CHOOSE(m_identity,ENWL!AK458, NPgN!AK458, NPgY!AK458, WMID!AK458, EMID!AK458, SWALES!AK458, SWEST!AK458, LPN!AK458,SPN!AK458,EPN!AK458,SPD!AK458,SPMW!AK458,SSEH!AK458,SSES!AK458)</f>
        <v>-42.615573299231926</v>
      </c>
      <c r="AL458" s="236">
        <f>CHOOSE(m_identity,ENWL!AL458, NPgN!AL458, NPgY!AL458, WMID!AL458, EMID!AL458, SWALES!AL458, SWEST!AL458, LPN!AL458,SPN!AL458,EPN!AL458,SPD!AL458,SPMW!AL458,SSEH!AL458,SSES!AL458)</f>
        <v>-63.793202856374307</v>
      </c>
      <c r="AM458" s="236">
        <f>CHOOSE(m_identity,ENWL!AM458, NPgN!AM458, NPgY!AM458, WMID!AM458, EMID!AM458, SWALES!AM458, SWEST!AM458, LPN!AM458,SPN!AM458,EPN!AM458,SPD!AM458,SPMW!AM458,SSEH!AM458,SSES!AM458)</f>
        <v>-78.692564036291685</v>
      </c>
      <c r="AN458" s="236">
        <f>CHOOSE(m_identity,ENWL!AN458, NPgN!AN458, NPgY!AN458, WMID!AN458, EMID!AN458, SWALES!AN458, SWEST!AN458, LPN!AN458,SPN!AN458,EPN!AN458,SPD!AN458,SPMW!AN458,SSEH!AN458,SSES!AN458)</f>
        <v>-74.974212660367868</v>
      </c>
      <c r="AO458" s="236">
        <f>CHOOSE(m_identity,ENWL!AO458, NPgN!AO458, NPgY!AO458, WMID!AO458, EMID!AO458, SWALES!AO458, SWEST!AO458, LPN!AO458,SPN!AO458,EPN!AO458,SPD!AO458,SPMW!AO458,SSEH!AO458,SSES!AO458)</f>
        <v>-62.11103962292384</v>
      </c>
      <c r="AP458" s="236">
        <f>CHOOSE(m_identity,ENWL!AP458, NPgN!AP458, NPgY!AP458, WMID!AP458, EMID!AP458, SWALES!AP458, SWEST!AP458, LPN!AP458,SPN!AP458,EPN!AP458,SPD!AP458,SPMW!AP458,SSEH!AP458,SSES!AP458)</f>
        <v>-38.383095609682073</v>
      </c>
      <c r="AQ458" s="236">
        <f>CHOOSE(m_identity,ENWL!AQ458, NPgN!AQ458, NPgY!AQ458, WMID!AQ458, EMID!AQ458, SWALES!AQ458, SWEST!AQ458, LPN!AQ458,SPN!AQ458,EPN!AQ458,SPD!AQ458,SPMW!AQ458,SSEH!AQ458,SSES!AQ458)</f>
        <v>-1.3682628663218566E-3</v>
      </c>
    </row>
    <row r="460" spans="2:43" ht="15" customHeight="1">
      <c r="E460" s="158" t="s">
        <v>811</v>
      </c>
      <c r="AJ460" s="11">
        <f>AVERAGE(AJ456,AJ458)*(AJ453-AJ452)</f>
        <v>0</v>
      </c>
      <c r="AK460" s="158">
        <f t="shared" ref="AK460:AQ460" si="141">AVERAGE(AK456,AK458)*(AK453-AK452)</f>
        <v>0</v>
      </c>
      <c r="AL460" s="158">
        <f t="shared" si="141"/>
        <v>0</v>
      </c>
      <c r="AM460" s="158">
        <f t="shared" si="141"/>
        <v>0</v>
      </c>
      <c r="AN460" s="158">
        <f t="shared" si="141"/>
        <v>0</v>
      </c>
      <c r="AO460" s="158">
        <f t="shared" si="141"/>
        <v>0</v>
      </c>
      <c r="AP460" s="158">
        <f t="shared" si="141"/>
        <v>0</v>
      </c>
      <c r="AQ460" s="158">
        <f t="shared" si="141"/>
        <v>0</v>
      </c>
    </row>
    <row r="462" spans="2:43" s="158" customFormat="1" ht="12.75">
      <c r="B462" s="15"/>
      <c r="C462" s="15"/>
      <c r="D462" s="15" t="s">
        <v>880</v>
      </c>
      <c r="E462" s="15"/>
      <c r="F462" s="15"/>
      <c r="G462" s="15"/>
      <c r="H462" s="15"/>
      <c r="I462" s="15"/>
      <c r="J462" s="15"/>
      <c r="K462" s="15"/>
      <c r="L462" s="15"/>
      <c r="M462" s="15"/>
      <c r="N462" s="15"/>
      <c r="O462" s="15"/>
      <c r="P462" s="15"/>
      <c r="Q462" s="15"/>
      <c r="R462" s="15"/>
      <c r="S462" s="15"/>
      <c r="T462" s="15"/>
      <c r="U462" s="15"/>
      <c r="V462" s="15"/>
      <c r="W462" s="15"/>
      <c r="X462" s="15"/>
      <c r="Y462" s="15"/>
      <c r="Z462" s="15"/>
      <c r="AA462" s="15"/>
      <c r="AB462" s="15"/>
      <c r="AC462" s="15"/>
      <c r="AD462" s="15"/>
      <c r="AE462" s="15"/>
      <c r="AF462" s="15"/>
      <c r="AG462" s="15"/>
      <c r="AH462" s="15"/>
      <c r="AI462" s="15"/>
      <c r="AJ462" s="334"/>
      <c r="AK462" s="334"/>
      <c r="AL462" s="334"/>
      <c r="AM462" s="334"/>
      <c r="AN462" s="334"/>
      <c r="AO462" s="334"/>
      <c r="AP462" s="334"/>
      <c r="AQ462" s="334"/>
    </row>
    <row r="463" spans="2:43" s="154" customFormat="1" ht="15" customHeight="1">
      <c r="AJ463" s="152"/>
      <c r="AK463" s="152"/>
      <c r="AL463" s="152"/>
      <c r="AM463" s="152"/>
      <c r="AN463" s="152"/>
      <c r="AO463" s="152"/>
      <c r="AP463" s="152"/>
      <c r="AQ463" s="152"/>
    </row>
    <row r="464" spans="2:43" ht="15" customHeight="1">
      <c r="E464" s="158" t="s">
        <v>881</v>
      </c>
      <c r="AJ464" s="236">
        <f>CHOOSE(m_identity,ENWL!AJ464, NPgN!AJ464, NPgY!AJ464, WMID!AJ464, EMID!AJ464, SWALES!AJ464, SWEST!AJ464, LPN!AJ464,SPN!AJ464,EPN!AJ464,SPD!AJ464,SPMW!AJ464,SSEH!AJ464,SSES!AJ464)</f>
        <v>231.2216077937116</v>
      </c>
      <c r="AK464" s="236">
        <f>CHOOSE(m_identity,ENWL!AK464, NPgN!AK464, NPgY!AK464, WMID!AK464, EMID!AK464, SWALES!AK464, SWEST!AK464, LPN!AK464,SPN!AK464,EPN!AK464,SPD!AK464,SPMW!AK464,SSEH!AK464,SSES!AK464)</f>
        <v>252.77504164187272</v>
      </c>
      <c r="AL464" s="236">
        <f>CHOOSE(m_identity,ENWL!AL464, NPgN!AL464, NPgY!AL464, WMID!AL464, EMID!AL464, SWALES!AL464, SWEST!AL464, LPN!AL464,SPN!AL464,EPN!AL464,SPD!AL464,SPMW!AL464,SSEH!AL464,SSES!AL464)</f>
        <v>246.51489310790546</v>
      </c>
      <c r="AM464" s="236">
        <f>CHOOSE(m_identity,ENWL!AM464, NPgN!AM464, NPgY!AM464, WMID!AM464, EMID!AM464, SWALES!AM464, SWEST!AM464, LPN!AM464,SPN!AM464,EPN!AM464,SPD!AM464,SPMW!AM464,SSEH!AM464,SSES!AM464)</f>
        <v>238.4490595737642</v>
      </c>
      <c r="AN464" s="236">
        <f>CHOOSE(m_identity,ENWL!AN464, NPgN!AN464, NPgY!AN464, WMID!AN464, EMID!AN464, SWALES!AN464, SWEST!AN464, LPN!AN464,SPN!AN464,EPN!AN464,SPD!AN464,SPMW!AN464,SSEH!AN464,SSES!AN464)</f>
        <v>231.2002291834705</v>
      </c>
      <c r="AO464" s="236">
        <f>CHOOSE(m_identity,ENWL!AO464, NPgN!AO464, NPgY!AO464, WMID!AO464, EMID!AO464, SWALES!AO464, SWEST!AO464, LPN!AO464,SPN!AO464,EPN!AO464,SPD!AO464,SPMW!AO464,SSEH!AO464,SSES!AO464)</f>
        <v>224.06138369795403</v>
      </c>
      <c r="AP464" s="236">
        <f>CHOOSE(m_identity,ENWL!AP464, NPgN!AP464, NPgY!AP464, WMID!AP464, EMID!AP464, SWALES!AP464, SWEST!AP464, LPN!AP464,SPN!AP464,EPN!AP464,SPD!AP464,SPMW!AP464,SSEH!AP464,SSES!AP464)</f>
        <v>224.70436881726491</v>
      </c>
      <c r="AQ464" s="236">
        <f>CHOOSE(m_identity,ENWL!AQ464, NPgN!AQ464, NPgY!AQ464, WMID!AQ464, EMID!AQ464, SWALES!AQ464, SWEST!AQ464, LPN!AQ464,SPN!AQ464,EPN!AQ464,SPD!AQ464,SPMW!AQ464,SSEH!AQ464,SSES!AQ464)</f>
        <v>218.92582025466305</v>
      </c>
    </row>
  </sheetData>
  <conditionalFormatting sqref="AJ426:AQ432">
    <cfRule type="cellIs" dxfId="94" priority="1" operator="lessThan">
      <formula>1</formula>
    </cfRule>
    <cfRule type="cellIs" dxfId="93" priority="2" operator="greaterThan">
      <formula>1</formula>
    </cfRule>
  </conditionalFormatting>
  <pageMargins left="0.23622047244094491" right="0.23622047244094491" top="0.74803149606299213" bottom="0.74803149606299213" header="0.31496062992125984" footer="0.31496062992125984"/>
  <pageSetup paperSize="8" scale="41" fitToHeight="0" orientation="landscape" r:id="rId1"/>
  <headerFooter>
    <oddFooter>&amp;LDraft at &amp;D&amp;C&amp;P of &amp;N&amp;R"&amp;A" sheet</oddFooter>
  </headerFooter>
  <rowBreaks count="2" manualBreakCount="2">
    <brk id="149" max="41" man="1"/>
    <brk id="368"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8897" r:id="rId4" name="Drop Down 1">
              <controlPr defaultSize="0" autoLine="0" autoPict="0">
                <anchor moveWithCells="1">
                  <from>
                    <xdr:col>4</xdr:col>
                    <xdr:colOff>1028700</xdr:colOff>
                    <xdr:row>1</xdr:row>
                    <xdr:rowOff>0</xdr:rowOff>
                  </from>
                  <to>
                    <xdr:col>4</xdr:col>
                    <xdr:colOff>3467100</xdr:colOff>
                    <xdr:row>1</xdr:row>
                    <xdr:rowOff>171450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7" tint="0.59999389629810485"/>
    <pageSetUpPr fitToPage="1"/>
  </sheetPr>
  <dimension ref="A1:XEQ671"/>
  <sheetViews>
    <sheetView zoomScale="75" zoomScaleNormal="75" workbookViewId="0">
      <pane xSplit="10" ySplit="7" topLeftCell="AJ8" activePane="bottomRight" state="frozen"/>
      <selection activeCell="F444" sqref="F444"/>
      <selection pane="topRight" activeCell="F444" sqref="F444"/>
      <selection pane="bottomLeft" activeCell="F444" sqref="F444"/>
      <selection pane="bottomRight" activeCell="AJ46" sqref="AJ46:AQ46"/>
    </sheetView>
  </sheetViews>
  <sheetFormatPr defaultColWidth="0" defaultRowHeight="15" customHeight="1" zeroHeight="1" outlineLevelCol="1"/>
  <cols>
    <col min="1" max="4" width="1.625" style="158" customWidth="1"/>
    <col min="5" max="5" width="50.625" style="158" customWidth="1"/>
    <col min="6" max="6" width="1.625" style="158" customWidth="1"/>
    <col min="7" max="7" width="12.625" style="158" customWidth="1"/>
    <col min="8" max="8" width="1.625" style="158" customWidth="1"/>
    <col min="9" max="9" width="10.625" style="158" customWidth="1"/>
    <col min="10" max="10" width="1.625" style="158" customWidth="1"/>
    <col min="11" max="35" width="10.625" style="158" hidden="1" customWidth="1" outlineLevel="1"/>
    <col min="36" max="36" width="10.625" style="158" customWidth="1" collapsed="1"/>
    <col min="37" max="43" width="10.625" style="158" customWidth="1"/>
    <col min="44" max="44" width="1.625" style="158" customWidth="1"/>
    <col min="45" max="49" width="0" style="158" hidden="1"/>
    <col min="50" max="16371" width="9" style="158" hidden="1"/>
    <col min="16372" max="16384" width="0" style="158" hidden="1"/>
  </cols>
  <sheetData>
    <row r="1" spans="1:44" s="142" customFormat="1">
      <c r="A1" s="5" t="s">
        <v>69</v>
      </c>
      <c r="B1" s="6"/>
      <c r="C1" s="6"/>
      <c r="D1" s="6"/>
      <c r="E1" s="6"/>
      <c r="F1" s="6"/>
      <c r="G1" s="6"/>
      <c r="H1" s="6"/>
      <c r="I1" s="6"/>
      <c r="J1" s="46"/>
      <c r="K1" s="46"/>
      <c r="L1" s="46"/>
      <c r="M1" s="46"/>
      <c r="N1" s="46"/>
      <c r="O1" s="46"/>
      <c r="P1" s="46"/>
      <c r="Q1" s="46"/>
      <c r="R1" s="46"/>
      <c r="S1" s="46"/>
      <c r="T1" s="46"/>
      <c r="U1" s="46"/>
      <c r="V1" s="46"/>
      <c r="W1" s="46"/>
      <c r="X1" s="46"/>
      <c r="Y1" s="6"/>
      <c r="Z1" s="6"/>
      <c r="AA1" s="6"/>
      <c r="AB1" s="6"/>
      <c r="AC1" s="6"/>
      <c r="AD1" s="6"/>
      <c r="AE1" s="6"/>
      <c r="AF1" s="6"/>
      <c r="AG1" s="6"/>
      <c r="AH1" s="6"/>
      <c r="AI1" s="6"/>
      <c r="AJ1" s="6"/>
      <c r="AM1" s="6"/>
      <c r="AN1" s="6"/>
      <c r="AO1" s="6"/>
      <c r="AP1" s="6"/>
      <c r="AQ1" s="6"/>
    </row>
    <row r="2" spans="1:44" s="142" customFormat="1" ht="15" customHeigh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142" customFormat="1" ht="15" customHeigh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142" customFormat="1" ht="15" customHeigh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142" customFormat="1" ht="15" customHeigh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142" customFormat="1" ht="15" customHeight="1">
      <c r="A6" s="6"/>
      <c r="B6" s="6"/>
      <c r="C6" s="6"/>
      <c r="D6" s="6"/>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6"/>
      <c r="AL6" s="6"/>
      <c r="AM6" s="6"/>
      <c r="AN6" s="6"/>
      <c r="AO6" s="6"/>
      <c r="AP6" s="6"/>
      <c r="AQ6" s="6"/>
      <c r="AR6" s="6"/>
    </row>
    <row r="7" spans="1:44" s="142" customFormat="1" ht="15" customHeight="1">
      <c r="A7" s="6"/>
      <c r="B7" s="6"/>
      <c r="C7" s="6"/>
      <c r="D7" s="6"/>
      <c r="E7" s="6" t="s">
        <v>236</v>
      </c>
      <c r="F7" s="6"/>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c r="AR7" s="6"/>
    </row>
    <row r="8" spans="1:44" ht="15" customHeight="1"/>
    <row r="9" spans="1:44" ht="15" customHeight="1">
      <c r="B9" s="207" t="s">
        <v>69</v>
      </c>
      <c r="C9" s="207"/>
      <c r="D9" s="207"/>
      <c r="E9" s="207"/>
      <c r="F9" s="207"/>
      <c r="G9" s="207"/>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row>
    <row r="10" spans="1:44" ht="15" customHeight="1">
      <c r="AJ10" s="87"/>
      <c r="AK10" s="87"/>
      <c r="AL10" s="87"/>
      <c r="AM10" s="87"/>
      <c r="AN10" s="87"/>
      <c r="AO10" s="87"/>
      <c r="AP10" s="87"/>
      <c r="AQ10" s="87"/>
    </row>
    <row r="11" spans="1:44" ht="15" customHeight="1">
      <c r="C11" s="200" t="s">
        <v>153</v>
      </c>
      <c r="D11" s="200"/>
      <c r="E11" s="200"/>
      <c r="F11" s="200"/>
      <c r="G11" s="200"/>
      <c r="H11" s="200"/>
      <c r="I11" s="200"/>
      <c r="J11" s="200"/>
      <c r="K11" s="200"/>
      <c r="L11" s="200"/>
      <c r="M11" s="200"/>
      <c r="N11" s="200"/>
      <c r="O11" s="200"/>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0"/>
      <c r="AN11" s="200"/>
      <c r="AO11" s="200"/>
      <c r="AP11" s="200"/>
      <c r="AQ11" s="200"/>
    </row>
    <row r="12" spans="1:44" ht="15" customHeight="1">
      <c r="C12" s="197" t="s">
        <v>333</v>
      </c>
      <c r="D12" s="197"/>
      <c r="E12" s="197"/>
      <c r="F12" s="197"/>
      <c r="G12" s="197"/>
      <c r="H12" s="197"/>
      <c r="I12" s="197"/>
      <c r="J12" s="197"/>
      <c r="K12" s="197"/>
      <c r="L12" s="197"/>
      <c r="M12" s="197"/>
      <c r="N12" s="197"/>
      <c r="O12" s="197"/>
      <c r="P12" s="197"/>
      <c r="Q12" s="197"/>
      <c r="R12" s="197"/>
      <c r="S12" s="197"/>
      <c r="T12" s="197"/>
      <c r="U12" s="197"/>
      <c r="V12" s="197"/>
      <c r="W12" s="197"/>
      <c r="X12" s="197"/>
      <c r="Y12" s="197"/>
      <c r="Z12" s="197"/>
      <c r="AA12" s="197"/>
      <c r="AB12" s="197"/>
      <c r="AC12" s="197"/>
      <c r="AD12" s="197"/>
      <c r="AE12" s="197"/>
      <c r="AF12" s="197"/>
      <c r="AG12" s="197"/>
      <c r="AH12" s="197"/>
      <c r="AI12" s="197"/>
      <c r="AJ12" s="197"/>
      <c r="AK12" s="197"/>
      <c r="AL12" s="197"/>
      <c r="AM12" s="197"/>
      <c r="AN12" s="197"/>
      <c r="AO12" s="197"/>
      <c r="AP12" s="197"/>
      <c r="AQ12" s="197"/>
    </row>
    <row r="13" spans="1:44" ht="15" customHeight="1">
      <c r="AJ13" s="87"/>
      <c r="AK13" s="87"/>
      <c r="AL13" s="87"/>
      <c r="AM13" s="87"/>
      <c r="AN13" s="87"/>
      <c r="AO13" s="87"/>
      <c r="AP13" s="87"/>
      <c r="AQ13" s="87"/>
    </row>
    <row r="14" spans="1:44" ht="15" customHeight="1">
      <c r="D14" s="198" t="s">
        <v>430</v>
      </c>
      <c r="E14" s="198"/>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row>
    <row r="15" spans="1:44" ht="15" customHeight="1">
      <c r="D15" s="197" t="s">
        <v>282</v>
      </c>
      <c r="E15" s="197"/>
      <c r="F15" s="197"/>
      <c r="G15" s="197"/>
      <c r="H15" s="197"/>
      <c r="I15" s="197"/>
      <c r="J15" s="197"/>
      <c r="K15" s="197"/>
      <c r="L15" s="197"/>
      <c r="M15" s="197"/>
      <c r="N15" s="197"/>
      <c r="O15" s="197"/>
      <c r="P15" s="197"/>
      <c r="Q15" s="197"/>
      <c r="R15" s="197"/>
      <c r="S15" s="197"/>
      <c r="T15" s="197"/>
      <c r="U15" s="197"/>
      <c r="V15" s="197"/>
      <c r="W15" s="197"/>
      <c r="X15" s="197"/>
      <c r="Y15" s="197"/>
      <c r="Z15" s="197"/>
      <c r="AA15" s="197"/>
      <c r="AB15" s="197"/>
      <c r="AC15" s="197"/>
      <c r="AD15" s="197"/>
      <c r="AE15" s="197"/>
      <c r="AF15" s="197"/>
      <c r="AG15" s="197"/>
      <c r="AH15" s="197"/>
      <c r="AI15" s="197"/>
      <c r="AJ15" s="197"/>
      <c r="AK15" s="197"/>
      <c r="AL15" s="197"/>
      <c r="AM15" s="197"/>
      <c r="AN15" s="197"/>
      <c r="AO15" s="197"/>
      <c r="AP15" s="197"/>
      <c r="AQ15" s="197"/>
    </row>
    <row r="16" spans="1:44" ht="15" customHeight="1">
      <c r="AJ16" s="87"/>
      <c r="AK16" s="87"/>
      <c r="AL16" s="87"/>
      <c r="AM16" s="87"/>
      <c r="AN16" s="87"/>
      <c r="AO16" s="87"/>
      <c r="AP16" s="87"/>
      <c r="AQ16" s="87"/>
    </row>
    <row r="17" spans="4:43" ht="15" customHeight="1">
      <c r="E17" s="149" t="s">
        <v>399</v>
      </c>
      <c r="G17" s="158" t="s">
        <v>844</v>
      </c>
      <c r="AJ17" s="149">
        <f>Input!AJ95</f>
        <v>0</v>
      </c>
      <c r="AK17" s="149">
        <f>Input!AK95</f>
        <v>0</v>
      </c>
      <c r="AL17" s="149">
        <f>Input!AL95</f>
        <v>0</v>
      </c>
      <c r="AM17" s="149">
        <f>Input!AM95</f>
        <v>0</v>
      </c>
      <c r="AN17" s="149">
        <f>Input!AN95</f>
        <v>0</v>
      </c>
      <c r="AO17" s="149">
        <f>Input!AO95</f>
        <v>0</v>
      </c>
      <c r="AP17" s="149">
        <f>Input!AP95</f>
        <v>0</v>
      </c>
      <c r="AQ17" s="149">
        <f>Input!AQ95</f>
        <v>0</v>
      </c>
    </row>
    <row r="18" spans="4:43" ht="15" customHeight="1">
      <c r="E18" s="149" t="s">
        <v>662</v>
      </c>
      <c r="G18" s="158" t="s">
        <v>844</v>
      </c>
      <c r="AJ18" s="149">
        <f>Input!AJ96</f>
        <v>58.241762059550652</v>
      </c>
      <c r="AK18" s="149">
        <f>Input!AK96</f>
        <v>67.60151601242957</v>
      </c>
      <c r="AL18" s="149">
        <f>Input!AL96</f>
        <v>63.685786608426014</v>
      </c>
      <c r="AM18" s="149">
        <f>Input!AM96</f>
        <v>63.988969856161901</v>
      </c>
      <c r="AN18" s="149">
        <f>Input!AN96</f>
        <v>62.861331229506987</v>
      </c>
      <c r="AO18" s="149">
        <f>Input!AO96</f>
        <v>62.567136719531455</v>
      </c>
      <c r="AP18" s="149">
        <f>Input!AP96</f>
        <v>58.862741628195216</v>
      </c>
      <c r="AQ18" s="149">
        <f>Input!AQ96</f>
        <v>57.066748754906456</v>
      </c>
    </row>
    <row r="19" spans="4:43" ht="15" customHeight="1">
      <c r="E19" s="149" t="s">
        <v>400</v>
      </c>
      <c r="G19" s="158" t="s">
        <v>844</v>
      </c>
      <c r="AJ19" s="149">
        <f>Input!AJ97</f>
        <v>13.991215034853029</v>
      </c>
      <c r="AK19" s="149">
        <f>Input!AK97</f>
        <v>18.928463332794266</v>
      </c>
      <c r="AL19" s="149">
        <f>Input!AL97</f>
        <v>16.482738082368776</v>
      </c>
      <c r="AM19" s="149">
        <f>Input!AM97</f>
        <v>15.458043617419392</v>
      </c>
      <c r="AN19" s="149">
        <f>Input!AN97</f>
        <v>15.767547692558061</v>
      </c>
      <c r="AO19" s="149">
        <f>Input!AO97</f>
        <v>14.502008789609039</v>
      </c>
      <c r="AP19" s="149">
        <f>Input!AP97</f>
        <v>16.731030495438947</v>
      </c>
      <c r="AQ19" s="149">
        <f>Input!AQ97</f>
        <v>15.271170582085546</v>
      </c>
    </row>
    <row r="20" spans="4:43" ht="15" customHeight="1">
      <c r="E20" s="149" t="s">
        <v>703</v>
      </c>
      <c r="G20" s="158" t="s">
        <v>844</v>
      </c>
      <c r="AJ20" s="149">
        <f>Input!AJ98</f>
        <v>23.008090432561694</v>
      </c>
      <c r="AK20" s="149">
        <f>Input!AK98</f>
        <v>22.892742106570036</v>
      </c>
      <c r="AL20" s="149">
        <f>Input!AL98</f>
        <v>22.858878503846469</v>
      </c>
      <c r="AM20" s="149">
        <f>Input!AM98</f>
        <v>22.97314495624822</v>
      </c>
      <c r="AN20" s="149">
        <f>Input!AN98</f>
        <v>23.120071766167612</v>
      </c>
      <c r="AO20" s="149">
        <f>Input!AO98</f>
        <v>23.374384462375929</v>
      </c>
      <c r="AP20" s="149">
        <f>Input!AP98</f>
        <v>23.980841433706388</v>
      </c>
      <c r="AQ20" s="149">
        <f>Input!AQ98</f>
        <v>24.498382573441969</v>
      </c>
    </row>
    <row r="21" spans="4:43" ht="15" customHeight="1">
      <c r="E21" s="549" t="s">
        <v>993</v>
      </c>
      <c r="AJ21" s="498">
        <f>Input!AJ99</f>
        <v>8.2841718957351382</v>
      </c>
      <c r="AK21" s="498">
        <f>Input!AK99</f>
        <v>8.3879646906665197</v>
      </c>
      <c r="AL21" s="498">
        <f>Input!AL99</f>
        <v>8.4927246531457889</v>
      </c>
      <c r="AM21" s="498">
        <f>Input!AM99</f>
        <v>8.5851383427340835</v>
      </c>
      <c r="AN21" s="498">
        <f>Input!AN99</f>
        <v>8.7337511061520772</v>
      </c>
      <c r="AO21" s="498">
        <f>Input!AO99</f>
        <v>8.7244212967361001</v>
      </c>
      <c r="AP21" s="498">
        <f>Input!AP99</f>
        <v>8.7251645355224134</v>
      </c>
      <c r="AQ21" s="498">
        <f>Input!AQ99</f>
        <v>8.7084713647120999</v>
      </c>
    </row>
    <row r="22" spans="4:43" ht="15" customHeight="1">
      <c r="E22" s="498" t="s">
        <v>919</v>
      </c>
      <c r="G22" s="158" t="s">
        <v>844</v>
      </c>
      <c r="AJ22" s="149">
        <f>Input!AJ100</f>
        <v>12.005047995283977</v>
      </c>
      <c r="AK22" s="149">
        <f>Input!AK100</f>
        <v>11.866710411009489</v>
      </c>
      <c r="AL22" s="149">
        <f>Input!AL100</f>
        <v>11.488819313469863</v>
      </c>
      <c r="AM22" s="149">
        <f>Input!AM100</f>
        <v>11.133211424279915</v>
      </c>
      <c r="AN22" s="149">
        <f>Input!AN100</f>
        <v>10.672034763404998</v>
      </c>
      <c r="AO22" s="149">
        <f>Input!AO100</f>
        <v>10.187313667721998</v>
      </c>
      <c r="AP22" s="149">
        <f>Input!AP100</f>
        <v>9.4352877511775048</v>
      </c>
      <c r="AQ22" s="149">
        <f>Input!AQ100</f>
        <v>8.8523194192476673</v>
      </c>
    </row>
    <row r="23" spans="4:43" ht="15" customHeight="1">
      <c r="E23" s="149" t="s">
        <v>401</v>
      </c>
      <c r="G23" s="158" t="s">
        <v>844</v>
      </c>
      <c r="AJ23" s="149">
        <f>Input!AJ101</f>
        <v>79.755690507905229</v>
      </c>
      <c r="AK23" s="149">
        <f>Input!AK101</f>
        <v>79.107224852823933</v>
      </c>
      <c r="AL23" s="149">
        <f>Input!AL101</f>
        <v>77.504996094820783</v>
      </c>
      <c r="AM23" s="149">
        <f>Input!AM101</f>
        <v>77.413193066922062</v>
      </c>
      <c r="AN23" s="149">
        <f>Input!AN101</f>
        <v>76.439106663338691</v>
      </c>
      <c r="AO23" s="149">
        <f>Input!AO101</f>
        <v>75.993393679638743</v>
      </c>
      <c r="AP23" s="149">
        <f>Input!AP101</f>
        <v>77.089081902134112</v>
      </c>
      <c r="AQ23" s="149">
        <f>Input!AQ101</f>
        <v>76.485895790522221</v>
      </c>
    </row>
    <row r="24" spans="4:43" ht="15" customHeight="1">
      <c r="E24" s="149"/>
      <c r="AJ24" s="149"/>
      <c r="AK24" s="149"/>
      <c r="AL24" s="149"/>
      <c r="AM24" s="149"/>
      <c r="AN24" s="149"/>
      <c r="AO24" s="149"/>
      <c r="AP24" s="149"/>
      <c r="AQ24" s="149"/>
    </row>
    <row r="25" spans="4:43" ht="15" customHeight="1">
      <c r="D25" s="198" t="s">
        <v>405</v>
      </c>
      <c r="E25" s="198"/>
      <c r="F25" s="198"/>
      <c r="G25" s="198"/>
      <c r="H25" s="198"/>
      <c r="I25" s="198"/>
      <c r="J25" s="198"/>
      <c r="K25" s="198"/>
      <c r="L25" s="198"/>
      <c r="M25" s="198"/>
      <c r="N25" s="198"/>
      <c r="O25" s="198"/>
      <c r="P25" s="198"/>
      <c r="Q25" s="198"/>
      <c r="R25" s="198"/>
      <c r="S25" s="198"/>
      <c r="T25" s="198"/>
      <c r="U25" s="198"/>
      <c r="V25" s="198"/>
      <c r="W25" s="198"/>
      <c r="X25" s="198"/>
      <c r="Y25" s="198"/>
      <c r="Z25" s="198"/>
      <c r="AA25" s="198"/>
      <c r="AB25" s="198"/>
      <c r="AC25" s="198"/>
      <c r="AD25" s="198"/>
      <c r="AE25" s="198"/>
      <c r="AF25" s="198"/>
      <c r="AG25" s="198"/>
      <c r="AH25" s="198"/>
      <c r="AI25" s="198"/>
      <c r="AJ25" s="555"/>
      <c r="AK25" s="555"/>
      <c r="AL25" s="555"/>
      <c r="AM25" s="555"/>
      <c r="AN25" s="555"/>
      <c r="AO25" s="555"/>
      <c r="AP25" s="555"/>
      <c r="AQ25" s="555"/>
    </row>
    <row r="26" spans="4:43" ht="15" customHeight="1">
      <c r="D26" s="197" t="s">
        <v>334</v>
      </c>
      <c r="E26" s="197"/>
      <c r="F26" s="197"/>
      <c r="G26" s="197"/>
      <c r="H26" s="197"/>
      <c r="I26" s="197"/>
      <c r="J26" s="197"/>
      <c r="K26" s="197"/>
      <c r="L26" s="197"/>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7"/>
      <c r="AN26" s="197"/>
      <c r="AO26" s="197"/>
      <c r="AP26" s="197"/>
      <c r="AQ26" s="197"/>
    </row>
    <row r="27" spans="4:43" ht="15" customHeight="1">
      <c r="E27" s="149"/>
      <c r="AJ27" s="149"/>
      <c r="AK27" s="149"/>
      <c r="AL27" s="149"/>
      <c r="AM27" s="149"/>
      <c r="AN27" s="149"/>
      <c r="AO27" s="149"/>
      <c r="AP27" s="149"/>
      <c r="AQ27" s="149"/>
    </row>
    <row r="28" spans="4:43" ht="15" customHeight="1">
      <c r="E28" s="163" t="s">
        <v>402</v>
      </c>
      <c r="G28" s="163" t="str">
        <f>Input!G213</f>
        <v>£m 12/13 prices</v>
      </c>
      <c r="AJ28" s="149">
        <f>Input!AJ213</f>
        <v>26.739990327429616</v>
      </c>
      <c r="AK28" s="149">
        <f>Input!AK213</f>
        <v>35.239780046754412</v>
      </c>
      <c r="AL28" s="149">
        <f>Input!AL213</f>
        <v>36.659762346816315</v>
      </c>
      <c r="AM28" s="149">
        <f>Input!AM213</f>
        <v>27.169156828588772</v>
      </c>
      <c r="AN28" s="149">
        <f>Input!AN213</f>
        <v>22.355939146206488</v>
      </c>
      <c r="AO28" s="149">
        <f>Input!AO213</f>
        <v>22.2953798351705</v>
      </c>
      <c r="AP28" s="149">
        <f>Input!AP213</f>
        <v>29.617569454188985</v>
      </c>
      <c r="AQ28" s="149">
        <f>Input!AQ213</f>
        <v>27.794893665984315</v>
      </c>
    </row>
    <row r="29" spans="4:43" ht="15" customHeight="1">
      <c r="E29" s="163" t="s">
        <v>664</v>
      </c>
      <c r="G29" s="163" t="str">
        <f>Input!G214</f>
        <v>£m 12/13 prices</v>
      </c>
      <c r="AJ29" s="149">
        <f>Input!AJ214</f>
        <v>7.6792813280547207</v>
      </c>
      <c r="AK29" s="149">
        <f>Input!AK214</f>
        <v>6.3259077099983987</v>
      </c>
      <c r="AL29" s="149">
        <f>Input!AL214</f>
        <v>6.309242524501248</v>
      </c>
      <c r="AM29" s="149">
        <f>Input!AM214</f>
        <v>8.4940001528039115</v>
      </c>
      <c r="AN29" s="149">
        <f>Input!AN214</f>
        <v>8.0580947246418173</v>
      </c>
      <c r="AO29" s="149">
        <f>Input!AO214</f>
        <v>4.0198004076170433</v>
      </c>
      <c r="AP29" s="149">
        <f>Input!AP214</f>
        <v>0</v>
      </c>
      <c r="AQ29" s="149">
        <f>Input!AQ214</f>
        <v>0</v>
      </c>
    </row>
    <row r="30" spans="4:43" ht="15" customHeight="1">
      <c r="E30" s="163" t="s">
        <v>403</v>
      </c>
      <c r="G30" s="163" t="str">
        <f>Input!G215</f>
        <v>£m 12/13 prices</v>
      </c>
      <c r="AJ30" s="149">
        <f>Input!AJ215</f>
        <v>0</v>
      </c>
      <c r="AK30" s="149">
        <f>Input!AK215</f>
        <v>0</v>
      </c>
      <c r="AL30" s="149">
        <f>Input!AL215</f>
        <v>0</v>
      </c>
      <c r="AM30" s="149">
        <f>Input!AM215</f>
        <v>0</v>
      </c>
      <c r="AN30" s="149">
        <f>Input!AN215</f>
        <v>0</v>
      </c>
      <c r="AO30" s="149">
        <f>Input!AO215</f>
        <v>0</v>
      </c>
      <c r="AP30" s="149">
        <f>Input!AP215</f>
        <v>0</v>
      </c>
      <c r="AQ30" s="149">
        <f>Input!AQ215</f>
        <v>0</v>
      </c>
    </row>
    <row r="31" spans="4:43" ht="15" customHeight="1">
      <c r="E31" s="163" t="s">
        <v>705</v>
      </c>
      <c r="G31" s="163" t="str">
        <f>Input!G216</f>
        <v>£m 12/13 prices</v>
      </c>
      <c r="AJ31" s="149">
        <f>Input!AJ216</f>
        <v>0</v>
      </c>
      <c r="AK31" s="149">
        <f>Input!AK216</f>
        <v>0</v>
      </c>
      <c r="AL31" s="149">
        <f>Input!AL216</f>
        <v>0</v>
      </c>
      <c r="AM31" s="149">
        <f>Input!AM216</f>
        <v>0</v>
      </c>
      <c r="AN31" s="149">
        <f>Input!AN216</f>
        <v>0</v>
      </c>
      <c r="AO31" s="149">
        <f>Input!AO216</f>
        <v>0</v>
      </c>
      <c r="AP31" s="149">
        <f>Input!AP216</f>
        <v>0</v>
      </c>
      <c r="AQ31" s="149">
        <f>Input!AQ216</f>
        <v>0</v>
      </c>
    </row>
    <row r="32" spans="4:43" ht="15" customHeight="1">
      <c r="E32" s="551" t="s">
        <v>995</v>
      </c>
      <c r="G32" s="163"/>
      <c r="AJ32" s="498">
        <f>Input!AJ217</f>
        <v>0</v>
      </c>
      <c r="AK32" s="498">
        <f>Input!AK217</f>
        <v>0</v>
      </c>
      <c r="AL32" s="498">
        <f>Input!AL217</f>
        <v>0</v>
      </c>
      <c r="AM32" s="498">
        <f>Input!AM217</f>
        <v>0</v>
      </c>
      <c r="AN32" s="498">
        <f>Input!AN217</f>
        <v>0</v>
      </c>
      <c r="AO32" s="498">
        <f>Input!AO217</f>
        <v>0</v>
      </c>
      <c r="AP32" s="498">
        <f>Input!AP217</f>
        <v>0</v>
      </c>
      <c r="AQ32" s="498">
        <f>Input!AQ217</f>
        <v>0</v>
      </c>
    </row>
    <row r="33" spans="3:43" ht="15" customHeight="1">
      <c r="E33" s="163" t="s">
        <v>921</v>
      </c>
      <c r="G33" s="163" t="str">
        <f>Input!G218</f>
        <v>£m 12/13 prices</v>
      </c>
      <c r="AJ33" s="149">
        <f>Input!AJ218</f>
        <v>0.44620226105830418</v>
      </c>
      <c r="AK33" s="149">
        <f>Input!AK218</f>
        <v>0.60934802982926306</v>
      </c>
      <c r="AL33" s="149">
        <f>Input!AL218</f>
        <v>0.67830812003960794</v>
      </c>
      <c r="AM33" s="149">
        <f>Input!AM218</f>
        <v>0.62920218544924766</v>
      </c>
      <c r="AN33" s="149">
        <f>Input!AN218</f>
        <v>0.58290213948117553</v>
      </c>
      <c r="AO33" s="149">
        <f>Input!AO218</f>
        <v>0.47771846732320949</v>
      </c>
      <c r="AP33" s="149">
        <f>Input!AP218</f>
        <v>0.26265161690135191</v>
      </c>
      <c r="AQ33" s="149">
        <f>Input!AQ218</f>
        <v>0.24793810376277128</v>
      </c>
    </row>
    <row r="34" spans="3:43" ht="15" customHeight="1">
      <c r="E34" s="163" t="s">
        <v>404</v>
      </c>
      <c r="G34" s="163" t="str">
        <f>Input!G219</f>
        <v>£m 12/13 prices</v>
      </c>
      <c r="AJ34" s="149">
        <f>Input!AJ219</f>
        <v>1.0701559512792098</v>
      </c>
      <c r="AK34" s="149">
        <f>Input!AK219</f>
        <v>1.8153844489968267</v>
      </c>
      <c r="AL34" s="149">
        <f>Input!AL219</f>
        <v>2.3536368604706035</v>
      </c>
      <c r="AM34" s="149">
        <f>Input!AM219</f>
        <v>2.6049991431566615</v>
      </c>
      <c r="AN34" s="149">
        <f>Input!AN219</f>
        <v>2.6094499520126102</v>
      </c>
      <c r="AO34" s="149">
        <f>Input!AO219</f>
        <v>1.9198263722300151</v>
      </c>
      <c r="AP34" s="149">
        <f>Input!AP219</f>
        <v>0</v>
      </c>
      <c r="AQ34" s="149">
        <f>Input!AQ219</f>
        <v>0</v>
      </c>
    </row>
    <row r="35" spans="3:43" ht="15" customHeight="1">
      <c r="E35" s="163"/>
      <c r="AJ35" s="149"/>
      <c r="AK35" s="149"/>
      <c r="AL35" s="149"/>
      <c r="AM35" s="149"/>
      <c r="AN35" s="149"/>
      <c r="AO35" s="149"/>
      <c r="AP35" s="149"/>
      <c r="AQ35" s="149"/>
    </row>
    <row r="36" spans="3:43" ht="15" customHeight="1">
      <c r="D36" s="198" t="s">
        <v>38</v>
      </c>
      <c r="E36" s="198"/>
      <c r="F36" s="198"/>
      <c r="G36" s="198"/>
      <c r="H36" s="198"/>
      <c r="I36" s="198"/>
      <c r="J36" s="198"/>
      <c r="K36" s="198"/>
      <c r="L36" s="198"/>
      <c r="M36" s="198"/>
      <c r="N36" s="198"/>
      <c r="O36" s="198"/>
      <c r="P36" s="198"/>
      <c r="Q36" s="198"/>
      <c r="R36" s="198"/>
      <c r="S36" s="198"/>
      <c r="T36" s="198"/>
      <c r="U36" s="198"/>
      <c r="V36" s="198"/>
      <c r="W36" s="198"/>
      <c r="X36" s="198"/>
      <c r="Y36" s="198"/>
      <c r="Z36" s="198"/>
      <c r="AA36" s="198"/>
      <c r="AB36" s="198"/>
      <c r="AC36" s="198"/>
      <c r="AD36" s="198"/>
      <c r="AE36" s="198"/>
      <c r="AF36" s="198"/>
      <c r="AG36" s="198"/>
      <c r="AH36" s="198"/>
      <c r="AI36" s="198"/>
      <c r="AJ36" s="208"/>
      <c r="AK36" s="208"/>
      <c r="AL36" s="208"/>
      <c r="AM36" s="208"/>
      <c r="AN36" s="208"/>
      <c r="AO36" s="208"/>
      <c r="AP36" s="208"/>
      <c r="AQ36" s="208"/>
    </row>
    <row r="37" spans="3:43" ht="15" customHeight="1">
      <c r="D37" s="199" t="s">
        <v>342</v>
      </c>
      <c r="E37" s="199"/>
      <c r="F37" s="199"/>
      <c r="G37" s="199"/>
      <c r="H37" s="199"/>
      <c r="I37" s="199"/>
      <c r="J37" s="199"/>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209"/>
      <c r="AK37" s="209"/>
      <c r="AL37" s="209"/>
      <c r="AM37" s="209"/>
      <c r="AN37" s="209"/>
      <c r="AO37" s="209"/>
      <c r="AP37" s="209"/>
      <c r="AQ37" s="209"/>
    </row>
    <row r="38" spans="3:43" ht="15" customHeight="1">
      <c r="AJ38" s="149"/>
      <c r="AK38" s="149"/>
      <c r="AL38" s="149"/>
      <c r="AM38" s="149"/>
      <c r="AN38" s="149"/>
      <c r="AO38" s="149"/>
      <c r="AP38" s="149"/>
      <c r="AQ38" s="149"/>
    </row>
    <row r="39" spans="3:43" ht="15" customHeight="1">
      <c r="E39" s="163" t="s">
        <v>203</v>
      </c>
      <c r="G39" s="158" t="s">
        <v>844</v>
      </c>
      <c r="AJ39" s="149">
        <f t="shared" ref="AJ39:AQ45" si="0">AJ17 + AJ28</f>
        <v>26.739990327429616</v>
      </c>
      <c r="AK39" s="149">
        <f t="shared" si="0"/>
        <v>35.239780046754412</v>
      </c>
      <c r="AL39" s="149">
        <f t="shared" si="0"/>
        <v>36.659762346816315</v>
      </c>
      <c r="AM39" s="149">
        <f t="shared" si="0"/>
        <v>27.169156828588772</v>
      </c>
      <c r="AN39" s="149">
        <f t="shared" si="0"/>
        <v>22.355939146206488</v>
      </c>
      <c r="AO39" s="149">
        <f t="shared" si="0"/>
        <v>22.2953798351705</v>
      </c>
      <c r="AP39" s="149">
        <f t="shared" si="0"/>
        <v>29.617569454188985</v>
      </c>
      <c r="AQ39" s="149">
        <f t="shared" si="0"/>
        <v>27.794893665984315</v>
      </c>
    </row>
    <row r="40" spans="3:43" ht="15" customHeight="1">
      <c r="E40" s="163" t="s">
        <v>666</v>
      </c>
      <c r="G40" s="158" t="s">
        <v>844</v>
      </c>
      <c r="AJ40" s="149">
        <f t="shared" si="0"/>
        <v>65.92104338760538</v>
      </c>
      <c r="AK40" s="149">
        <f t="shared" si="0"/>
        <v>73.927423722427974</v>
      </c>
      <c r="AL40" s="149">
        <f t="shared" si="0"/>
        <v>69.995029132927257</v>
      </c>
      <c r="AM40" s="149">
        <f t="shared" si="0"/>
        <v>72.482970008965808</v>
      </c>
      <c r="AN40" s="149">
        <f t="shared" si="0"/>
        <v>70.919425954148807</v>
      </c>
      <c r="AO40" s="149">
        <f t="shared" si="0"/>
        <v>66.586937127148502</v>
      </c>
      <c r="AP40" s="149">
        <f t="shared" si="0"/>
        <v>58.862741628195216</v>
      </c>
      <c r="AQ40" s="149">
        <f t="shared" si="0"/>
        <v>57.066748754906456</v>
      </c>
    </row>
    <row r="41" spans="3:43" ht="15" customHeight="1">
      <c r="E41" s="163" t="s">
        <v>204</v>
      </c>
      <c r="G41" s="158" t="s">
        <v>844</v>
      </c>
      <c r="AJ41" s="149">
        <f t="shared" si="0"/>
        <v>13.991215034853029</v>
      </c>
      <c r="AK41" s="149">
        <f t="shared" si="0"/>
        <v>18.928463332794266</v>
      </c>
      <c r="AL41" s="149">
        <f t="shared" si="0"/>
        <v>16.482738082368776</v>
      </c>
      <c r="AM41" s="149">
        <f t="shared" si="0"/>
        <v>15.458043617419392</v>
      </c>
      <c r="AN41" s="149">
        <f t="shared" si="0"/>
        <v>15.767547692558061</v>
      </c>
      <c r="AO41" s="149">
        <f t="shared" si="0"/>
        <v>14.502008789609039</v>
      </c>
      <c r="AP41" s="149">
        <f t="shared" si="0"/>
        <v>16.731030495438947</v>
      </c>
      <c r="AQ41" s="149">
        <f t="shared" si="0"/>
        <v>15.271170582085546</v>
      </c>
    </row>
    <row r="42" spans="3:43" ht="15" customHeight="1">
      <c r="E42" s="163" t="s">
        <v>707</v>
      </c>
      <c r="G42" s="158" t="s">
        <v>844</v>
      </c>
      <c r="AJ42" s="149">
        <f t="shared" si="0"/>
        <v>23.008090432561694</v>
      </c>
      <c r="AK42" s="149">
        <f t="shared" si="0"/>
        <v>22.892742106570036</v>
      </c>
      <c r="AL42" s="149">
        <f t="shared" si="0"/>
        <v>22.858878503846469</v>
      </c>
      <c r="AM42" s="149">
        <f t="shared" si="0"/>
        <v>22.97314495624822</v>
      </c>
      <c r="AN42" s="149">
        <f t="shared" si="0"/>
        <v>23.120071766167612</v>
      </c>
      <c r="AO42" s="149">
        <f t="shared" si="0"/>
        <v>23.374384462375929</v>
      </c>
      <c r="AP42" s="149">
        <f t="shared" si="0"/>
        <v>23.980841433706388</v>
      </c>
      <c r="AQ42" s="149">
        <f t="shared" si="0"/>
        <v>24.498382573441969</v>
      </c>
    </row>
    <row r="43" spans="3:43" ht="15" customHeight="1">
      <c r="E43" s="551" t="s">
        <v>997</v>
      </c>
      <c r="AJ43" s="498">
        <f t="shared" si="0"/>
        <v>8.2841718957351382</v>
      </c>
      <c r="AK43" s="498">
        <f t="shared" si="0"/>
        <v>8.3879646906665197</v>
      </c>
      <c r="AL43" s="498">
        <f t="shared" si="0"/>
        <v>8.4927246531457889</v>
      </c>
      <c r="AM43" s="498">
        <f t="shared" si="0"/>
        <v>8.5851383427340835</v>
      </c>
      <c r="AN43" s="498">
        <f t="shared" si="0"/>
        <v>8.7337511061520772</v>
      </c>
      <c r="AO43" s="498">
        <f t="shared" si="0"/>
        <v>8.7244212967361001</v>
      </c>
      <c r="AP43" s="498">
        <f t="shared" si="0"/>
        <v>8.7251645355224134</v>
      </c>
      <c r="AQ43" s="498">
        <f t="shared" si="0"/>
        <v>8.7084713647120999</v>
      </c>
    </row>
    <row r="44" spans="3:43" ht="15" customHeight="1">
      <c r="E44" s="163" t="s">
        <v>923</v>
      </c>
      <c r="G44" s="158" t="s">
        <v>844</v>
      </c>
      <c r="AJ44" s="149">
        <f t="shared" si="0"/>
        <v>12.451250256342281</v>
      </c>
      <c r="AK44" s="149">
        <f t="shared" si="0"/>
        <v>12.476058440838752</v>
      </c>
      <c r="AL44" s="149">
        <f t="shared" si="0"/>
        <v>12.167127433509471</v>
      </c>
      <c r="AM44" s="149">
        <f t="shared" si="0"/>
        <v>11.762413609729164</v>
      </c>
      <c r="AN44" s="149">
        <f t="shared" si="0"/>
        <v>11.254936902886174</v>
      </c>
      <c r="AO44" s="149">
        <f t="shared" si="0"/>
        <v>10.665032135045207</v>
      </c>
      <c r="AP44" s="149">
        <f t="shared" si="0"/>
        <v>9.6979393680788561</v>
      </c>
      <c r="AQ44" s="149">
        <f t="shared" si="0"/>
        <v>9.1002575230104394</v>
      </c>
    </row>
    <row r="45" spans="3:43" ht="15" customHeight="1">
      <c r="E45" s="163" t="s">
        <v>205</v>
      </c>
      <c r="G45" s="158" t="s">
        <v>844</v>
      </c>
      <c r="AJ45" s="149">
        <f t="shared" si="0"/>
        <v>80.825846459184433</v>
      </c>
      <c r="AK45" s="149">
        <f t="shared" si="0"/>
        <v>80.922609301820756</v>
      </c>
      <c r="AL45" s="149">
        <f t="shared" si="0"/>
        <v>79.858632955291384</v>
      </c>
      <c r="AM45" s="149">
        <f t="shared" si="0"/>
        <v>80.018192210078723</v>
      </c>
      <c r="AN45" s="149">
        <f t="shared" si="0"/>
        <v>79.048556615351302</v>
      </c>
      <c r="AO45" s="149">
        <f t="shared" si="0"/>
        <v>77.913220051868763</v>
      </c>
      <c r="AP45" s="149">
        <f t="shared" si="0"/>
        <v>77.089081902134112</v>
      </c>
      <c r="AQ45" s="149">
        <f t="shared" si="0"/>
        <v>76.485895790522221</v>
      </c>
    </row>
    <row r="46" spans="3:43" ht="15" customHeight="1">
      <c r="E46" s="158" t="s">
        <v>149</v>
      </c>
      <c r="G46" s="158" t="s">
        <v>844</v>
      </c>
      <c r="AJ46" s="168">
        <f t="shared" ref="AJ46:AQ46" si="1">SUM(AJ39:AJ45)</f>
        <v>231.2216077937116</v>
      </c>
      <c r="AK46" s="168">
        <f t="shared" si="1"/>
        <v>252.77504164187269</v>
      </c>
      <c r="AL46" s="168">
        <f t="shared" si="1"/>
        <v>246.51489310790544</v>
      </c>
      <c r="AM46" s="168">
        <f t="shared" si="1"/>
        <v>238.44905957376415</v>
      </c>
      <c r="AN46" s="168">
        <f t="shared" si="1"/>
        <v>231.20022918347053</v>
      </c>
      <c r="AO46" s="168">
        <f t="shared" si="1"/>
        <v>224.06138369795406</v>
      </c>
      <c r="AP46" s="168">
        <f t="shared" si="1"/>
        <v>224.70436881726494</v>
      </c>
      <c r="AQ46" s="168">
        <f t="shared" si="1"/>
        <v>218.92582025466305</v>
      </c>
    </row>
    <row r="47" spans="3:43" ht="15" customHeight="1">
      <c r="AJ47" s="149"/>
      <c r="AK47" s="149"/>
      <c r="AL47" s="149"/>
      <c r="AM47" s="149"/>
      <c r="AN47" s="149"/>
      <c r="AO47" s="149"/>
      <c r="AP47" s="149"/>
      <c r="AQ47" s="149"/>
    </row>
    <row r="48" spans="3:43" ht="15" customHeight="1">
      <c r="C48" s="200" t="s">
        <v>151</v>
      </c>
      <c r="D48" s="200"/>
      <c r="E48" s="200"/>
      <c r="F48" s="200"/>
      <c r="G48" s="200"/>
      <c r="H48" s="200"/>
      <c r="I48" s="200"/>
      <c r="J48" s="200"/>
      <c r="K48" s="200"/>
      <c r="L48" s="200"/>
      <c r="M48" s="200"/>
      <c r="N48" s="200"/>
      <c r="O48" s="200"/>
      <c r="P48" s="200"/>
      <c r="Q48" s="200"/>
      <c r="R48" s="200"/>
      <c r="S48" s="200"/>
      <c r="T48" s="200"/>
      <c r="U48" s="200"/>
      <c r="V48" s="200"/>
      <c r="W48" s="200"/>
      <c r="X48" s="200"/>
      <c r="Y48" s="200"/>
      <c r="Z48" s="200"/>
      <c r="AA48" s="200"/>
      <c r="AB48" s="200"/>
      <c r="AC48" s="200"/>
      <c r="AD48" s="200"/>
      <c r="AE48" s="200"/>
      <c r="AF48" s="200"/>
      <c r="AG48" s="200"/>
      <c r="AH48" s="200"/>
      <c r="AI48" s="200"/>
      <c r="AJ48" s="338"/>
      <c r="AK48" s="338"/>
      <c r="AL48" s="338"/>
      <c r="AM48" s="338"/>
      <c r="AN48" s="338"/>
      <c r="AO48" s="338"/>
      <c r="AP48" s="338"/>
      <c r="AQ48" s="338"/>
    </row>
    <row r="49" spans="4:43" ht="15" customHeight="1">
      <c r="AJ49" s="149"/>
      <c r="AK49" s="149"/>
      <c r="AL49" s="149"/>
      <c r="AM49" s="149"/>
      <c r="AN49" s="149"/>
      <c r="AO49" s="149"/>
      <c r="AP49" s="149"/>
      <c r="AQ49" s="149"/>
    </row>
    <row r="50" spans="4:43" ht="15" customHeight="1">
      <c r="D50" s="198" t="s">
        <v>279</v>
      </c>
      <c r="E50" s="198"/>
      <c r="F50" s="198"/>
      <c r="G50" s="198"/>
      <c r="H50" s="198"/>
      <c r="I50" s="198"/>
      <c r="J50" s="198"/>
      <c r="K50" s="198"/>
      <c r="L50" s="198"/>
      <c r="M50" s="198"/>
      <c r="N50" s="198"/>
      <c r="O50" s="198"/>
      <c r="P50" s="198"/>
      <c r="Q50" s="198"/>
      <c r="R50" s="198"/>
      <c r="S50" s="198"/>
      <c r="T50" s="198"/>
      <c r="U50" s="198"/>
      <c r="V50" s="198"/>
      <c r="W50" s="198"/>
      <c r="X50" s="198"/>
      <c r="Y50" s="198"/>
      <c r="Z50" s="198"/>
      <c r="AA50" s="198"/>
      <c r="AB50" s="198"/>
      <c r="AC50" s="198"/>
      <c r="AD50" s="198"/>
      <c r="AE50" s="198"/>
      <c r="AF50" s="198"/>
      <c r="AG50" s="198"/>
      <c r="AH50" s="198"/>
      <c r="AI50" s="198"/>
      <c r="AJ50" s="208"/>
      <c r="AK50" s="208"/>
      <c r="AL50" s="208"/>
      <c r="AM50" s="208"/>
      <c r="AN50" s="208"/>
      <c r="AO50" s="208"/>
      <c r="AP50" s="208"/>
      <c r="AQ50" s="208"/>
    </row>
    <row r="51" spans="4:43" ht="15" customHeight="1">
      <c r="D51" s="199" t="s">
        <v>335</v>
      </c>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199"/>
      <c r="AH51" s="199"/>
      <c r="AI51" s="199"/>
      <c r="AJ51" s="209"/>
      <c r="AK51" s="209"/>
      <c r="AL51" s="209"/>
      <c r="AM51" s="209"/>
      <c r="AN51" s="209"/>
      <c r="AO51" s="209"/>
      <c r="AP51" s="209"/>
      <c r="AQ51" s="209"/>
    </row>
    <row r="52" spans="4:43" ht="15" customHeight="1">
      <c r="D52" s="199" t="s">
        <v>283</v>
      </c>
      <c r="E52" s="199"/>
      <c r="F52" s="199"/>
      <c r="G52" s="199"/>
      <c r="H52" s="199"/>
      <c r="I52" s="199"/>
      <c r="J52" s="199"/>
      <c r="K52" s="199"/>
      <c r="L52" s="199"/>
      <c r="M52" s="199"/>
      <c r="N52" s="199"/>
      <c r="O52" s="199"/>
      <c r="P52" s="199"/>
      <c r="Q52" s="199"/>
      <c r="R52" s="199"/>
      <c r="S52" s="199"/>
      <c r="T52" s="199"/>
      <c r="U52" s="199"/>
      <c r="V52" s="199"/>
      <c r="W52" s="199"/>
      <c r="X52" s="199"/>
      <c r="Y52" s="199"/>
      <c r="Z52" s="199"/>
      <c r="AA52" s="199"/>
      <c r="AB52" s="199"/>
      <c r="AC52" s="199"/>
      <c r="AD52" s="199"/>
      <c r="AE52" s="199"/>
      <c r="AF52" s="199"/>
      <c r="AG52" s="199"/>
      <c r="AH52" s="199"/>
      <c r="AI52" s="199"/>
      <c r="AJ52" s="209"/>
      <c r="AK52" s="209"/>
      <c r="AL52" s="209"/>
      <c r="AM52" s="209"/>
      <c r="AN52" s="209"/>
      <c r="AO52" s="209"/>
      <c r="AP52" s="209"/>
      <c r="AQ52" s="209"/>
    </row>
    <row r="53" spans="4:43" ht="15" customHeight="1">
      <c r="D53" s="199" t="s">
        <v>336</v>
      </c>
      <c r="E53" s="199"/>
      <c r="F53" s="199"/>
      <c r="G53" s="199"/>
      <c r="H53" s="199"/>
      <c r="I53" s="199"/>
      <c r="J53" s="199"/>
      <c r="K53" s="199"/>
      <c r="L53" s="199"/>
      <c r="M53" s="199"/>
      <c r="N53" s="199"/>
      <c r="O53" s="199"/>
      <c r="P53" s="199"/>
      <c r="Q53" s="199"/>
      <c r="R53" s="199"/>
      <c r="S53" s="199"/>
      <c r="T53" s="199"/>
      <c r="U53" s="199"/>
      <c r="V53" s="199"/>
      <c r="W53" s="199"/>
      <c r="X53" s="199"/>
      <c r="Y53" s="199"/>
      <c r="Z53" s="199"/>
      <c r="AA53" s="199"/>
      <c r="AB53" s="199"/>
      <c r="AC53" s="199"/>
      <c r="AD53" s="199"/>
      <c r="AE53" s="199"/>
      <c r="AF53" s="199"/>
      <c r="AG53" s="199"/>
      <c r="AH53" s="199"/>
      <c r="AI53" s="199"/>
      <c r="AJ53" s="209"/>
      <c r="AK53" s="209"/>
      <c r="AL53" s="209"/>
      <c r="AM53" s="209"/>
      <c r="AN53" s="209"/>
      <c r="AO53" s="209"/>
      <c r="AP53" s="209"/>
      <c r="AQ53" s="209"/>
    </row>
    <row r="54" spans="4:43" ht="15" customHeight="1">
      <c r="AJ54" s="149"/>
      <c r="AK54" s="149"/>
      <c r="AL54" s="149"/>
      <c r="AM54" s="149"/>
      <c r="AN54" s="149"/>
      <c r="AO54" s="149"/>
      <c r="AP54" s="149"/>
      <c r="AQ54" s="149"/>
    </row>
    <row r="55" spans="4:43" ht="15" customHeight="1">
      <c r="E55" s="158" t="s">
        <v>197</v>
      </c>
      <c r="G55" s="158" t="s">
        <v>51</v>
      </c>
      <c r="I55" s="178">
        <f>Input!I62</f>
        <v>2</v>
      </c>
      <c r="AJ55" s="149"/>
      <c r="AK55" s="149"/>
      <c r="AL55" s="149"/>
      <c r="AM55" s="149"/>
      <c r="AN55" s="149"/>
      <c r="AO55" s="149"/>
      <c r="AP55" s="149"/>
      <c r="AQ55" s="149"/>
    </row>
    <row r="56" spans="4:43" ht="15" customHeight="1">
      <c r="E56" s="158" t="s">
        <v>280</v>
      </c>
      <c r="G56" s="158" t="s">
        <v>61</v>
      </c>
      <c r="AJ56" s="147" t="b">
        <f t="shared" ref="AJ56:AQ56" si="2">YEAR($I$7) &gt;= YEAR(AJ$7) + $I55</f>
        <v>0</v>
      </c>
      <c r="AK56" s="147" t="b">
        <f t="shared" si="2"/>
        <v>0</v>
      </c>
      <c r="AL56" s="147" t="b">
        <f t="shared" si="2"/>
        <v>0</v>
      </c>
      <c r="AM56" s="147" t="b">
        <f t="shared" si="2"/>
        <v>0</v>
      </c>
      <c r="AN56" s="147" t="b">
        <f t="shared" si="2"/>
        <v>0</v>
      </c>
      <c r="AO56" s="147" t="b">
        <f t="shared" si="2"/>
        <v>0</v>
      </c>
      <c r="AP56" s="147" t="b">
        <f t="shared" si="2"/>
        <v>0</v>
      </c>
      <c r="AQ56" s="147" t="b">
        <f t="shared" si="2"/>
        <v>0</v>
      </c>
    </row>
    <row r="57" spans="4:43" ht="15" customHeight="1">
      <c r="E57" s="158" t="s">
        <v>281</v>
      </c>
      <c r="G57" s="158" t="s">
        <v>61</v>
      </c>
      <c r="AJ57" s="147" t="b">
        <f t="shared" ref="AJ57:AQ57" si="3">YEAR($I$7) &lt; YEAR(AJ$7) + $I55</f>
        <v>1</v>
      </c>
      <c r="AK57" s="147" t="b">
        <f t="shared" si="3"/>
        <v>1</v>
      </c>
      <c r="AL57" s="147" t="b">
        <f t="shared" si="3"/>
        <v>1</v>
      </c>
      <c r="AM57" s="147" t="b">
        <f t="shared" si="3"/>
        <v>1</v>
      </c>
      <c r="AN57" s="147" t="b">
        <f t="shared" si="3"/>
        <v>1</v>
      </c>
      <c r="AO57" s="147" t="b">
        <f t="shared" si="3"/>
        <v>1</v>
      </c>
      <c r="AP57" s="147" t="b">
        <f t="shared" si="3"/>
        <v>1</v>
      </c>
      <c r="AQ57" s="147" t="b">
        <f t="shared" si="3"/>
        <v>1</v>
      </c>
    </row>
    <row r="58" spans="4:43" ht="15" customHeight="1">
      <c r="AJ58" s="149"/>
      <c r="AK58" s="149"/>
      <c r="AL58" s="149"/>
      <c r="AM58" s="149"/>
      <c r="AN58" s="149"/>
      <c r="AO58" s="149"/>
      <c r="AP58" s="149"/>
      <c r="AQ58" s="149"/>
    </row>
    <row r="59" spans="4:43" ht="15" customHeight="1">
      <c r="D59" s="198" t="s">
        <v>193</v>
      </c>
      <c r="E59" s="198"/>
      <c r="F59" s="198"/>
      <c r="G59" s="198"/>
      <c r="H59" s="198"/>
      <c r="I59" s="198"/>
      <c r="J59" s="198"/>
      <c r="K59" s="198"/>
      <c r="L59" s="198"/>
      <c r="M59" s="198"/>
      <c r="N59" s="198"/>
      <c r="O59" s="198"/>
      <c r="P59" s="198"/>
      <c r="Q59" s="198"/>
      <c r="R59" s="198"/>
      <c r="S59" s="198"/>
      <c r="T59" s="198"/>
      <c r="U59" s="198"/>
      <c r="V59" s="198"/>
      <c r="W59" s="198"/>
      <c r="X59" s="198"/>
      <c r="Y59" s="198"/>
      <c r="Z59" s="198"/>
      <c r="AA59" s="198"/>
      <c r="AB59" s="198"/>
      <c r="AC59" s="198"/>
      <c r="AD59" s="198"/>
      <c r="AE59" s="198"/>
      <c r="AF59" s="198"/>
      <c r="AG59" s="198"/>
      <c r="AH59" s="198"/>
      <c r="AI59" s="198"/>
      <c r="AJ59" s="208"/>
      <c r="AK59" s="208"/>
      <c r="AL59" s="208"/>
      <c r="AM59" s="208"/>
      <c r="AN59" s="208"/>
      <c r="AO59" s="208"/>
      <c r="AP59" s="208"/>
      <c r="AQ59" s="208"/>
    </row>
    <row r="60" spans="4:43" ht="15" customHeight="1">
      <c r="AJ60" s="149"/>
      <c r="AK60" s="149"/>
      <c r="AL60" s="149"/>
      <c r="AM60" s="149"/>
      <c r="AN60" s="149"/>
      <c r="AO60" s="149"/>
      <c r="AP60" s="149"/>
      <c r="AQ60" s="149"/>
    </row>
    <row r="61" spans="4:43" ht="15" customHeight="1">
      <c r="E61" s="163" t="s">
        <v>150</v>
      </c>
      <c r="G61" s="158" t="s">
        <v>844</v>
      </c>
      <c r="AJ61" s="149">
        <f>IF(AJ$56, Input!AJ223, 0)</f>
        <v>0</v>
      </c>
      <c r="AK61" s="149">
        <f>IF(AK$56, Input!AK223, 0)</f>
        <v>0</v>
      </c>
      <c r="AL61" s="149">
        <f>IF(AL$56, Input!AL223, 0)</f>
        <v>0</v>
      </c>
      <c r="AM61" s="149">
        <f>IF(AM$56, Input!AM223, 0)</f>
        <v>0</v>
      </c>
      <c r="AN61" s="149">
        <f>IF(AN$56, Input!AN223, 0)</f>
        <v>0</v>
      </c>
      <c r="AO61" s="149">
        <f>IF(AO$56, Input!AO223, 0)</f>
        <v>0</v>
      </c>
      <c r="AP61" s="149">
        <f>IF(AP$56, Input!AP223, 0)</f>
        <v>0</v>
      </c>
      <c r="AQ61" s="149">
        <f>IF(AQ$56, Input!AQ223, 0)</f>
        <v>0</v>
      </c>
    </row>
    <row r="62" spans="4:43" ht="15" customHeight="1">
      <c r="E62" s="163" t="s">
        <v>661</v>
      </c>
      <c r="G62" s="158" t="s">
        <v>844</v>
      </c>
      <c r="AJ62" s="149">
        <f>IF(AJ$56, Input!AJ224, 0)</f>
        <v>0</v>
      </c>
      <c r="AK62" s="149">
        <f>IF(AK$56, Input!AK224, 0)</f>
        <v>0</v>
      </c>
      <c r="AL62" s="149">
        <f>IF(AL$56, Input!AL224, 0)</f>
        <v>0</v>
      </c>
      <c r="AM62" s="149">
        <f>IF(AM$56, Input!AM224, 0)</f>
        <v>0</v>
      </c>
      <c r="AN62" s="149">
        <f>IF(AN$56, Input!AN224, 0)</f>
        <v>0</v>
      </c>
      <c r="AO62" s="149">
        <f>IF(AO$56, Input!AO224, 0)</f>
        <v>0</v>
      </c>
      <c r="AP62" s="149">
        <f>IF(AP$56, Input!AP224, 0)</f>
        <v>0</v>
      </c>
      <c r="AQ62" s="149">
        <f>IF(AQ$56, Input!AQ224, 0)</f>
        <v>0</v>
      </c>
    </row>
    <row r="63" spans="4:43" ht="15" customHeight="1">
      <c r="E63" s="163" t="s">
        <v>157</v>
      </c>
      <c r="G63" s="158" t="s">
        <v>844</v>
      </c>
      <c r="AJ63" s="149">
        <f>IF(AJ$56, Input!AJ225, 0)</f>
        <v>0</v>
      </c>
      <c r="AK63" s="149">
        <f>IF(AK$56, Input!AK225, 0)</f>
        <v>0</v>
      </c>
      <c r="AL63" s="149">
        <f>IF(AL$56, Input!AL225, 0)</f>
        <v>0</v>
      </c>
      <c r="AM63" s="149">
        <f>IF(AM$56, Input!AM225, 0)</f>
        <v>0</v>
      </c>
      <c r="AN63" s="149">
        <f>IF(AN$56, Input!AN225, 0)</f>
        <v>0</v>
      </c>
      <c r="AO63" s="149">
        <f>IF(AO$56, Input!AO225, 0)</f>
        <v>0</v>
      </c>
      <c r="AP63" s="149">
        <f>IF(AP$56, Input!AP225, 0)</f>
        <v>0</v>
      </c>
      <c r="AQ63" s="149">
        <f>IF(AQ$56, Input!AQ225, 0)</f>
        <v>0</v>
      </c>
    </row>
    <row r="64" spans="4:43" ht="15" customHeight="1">
      <c r="E64" s="163" t="s">
        <v>702</v>
      </c>
      <c r="G64" s="158" t="s">
        <v>844</v>
      </c>
      <c r="AJ64" s="149">
        <f>IF(AJ$56, Input!AJ226, 0)</f>
        <v>0</v>
      </c>
      <c r="AK64" s="149">
        <f>IF(AK$56, Input!AK226, 0)</f>
        <v>0</v>
      </c>
      <c r="AL64" s="149">
        <f>IF(AL$56, Input!AL226, 0)</f>
        <v>0</v>
      </c>
      <c r="AM64" s="149">
        <f>IF(AM$56, Input!AM226, 0)</f>
        <v>0</v>
      </c>
      <c r="AN64" s="149">
        <f>IF(AN$56, Input!AN226, 0)</f>
        <v>0</v>
      </c>
      <c r="AO64" s="149">
        <f>IF(AO$56, Input!AO226, 0)</f>
        <v>0</v>
      </c>
      <c r="AP64" s="149">
        <f>IF(AP$56, Input!AP226, 0)</f>
        <v>0</v>
      </c>
      <c r="AQ64" s="149">
        <f>IF(AQ$56, Input!AQ226, 0)</f>
        <v>0</v>
      </c>
    </row>
    <row r="65" spans="4:43" ht="15" customHeight="1">
      <c r="E65" s="552" t="s">
        <v>996</v>
      </c>
      <c r="AJ65" s="498">
        <f>IF(AJ$56, Input!AJ227, 0)</f>
        <v>0</v>
      </c>
      <c r="AK65" s="498">
        <f>IF(AK$56, Input!AK227, 0)</f>
        <v>0</v>
      </c>
      <c r="AL65" s="498">
        <f>IF(AL$56, Input!AL227, 0)</f>
        <v>0</v>
      </c>
      <c r="AM65" s="498">
        <f>IF(AM$56, Input!AM227, 0)</f>
        <v>0</v>
      </c>
      <c r="AN65" s="498">
        <f>IF(AN$56, Input!AN227, 0)</f>
        <v>0</v>
      </c>
      <c r="AO65" s="498">
        <f>IF(AO$56, Input!AO227, 0)</f>
        <v>0</v>
      </c>
      <c r="AP65" s="498">
        <f>IF(AP$56, Input!AP227, 0)</f>
        <v>0</v>
      </c>
      <c r="AQ65" s="498">
        <f>IF(AQ$56, Input!AQ227, 0)</f>
        <v>0</v>
      </c>
    </row>
    <row r="66" spans="4:43" ht="15" customHeight="1">
      <c r="E66" s="163" t="s">
        <v>918</v>
      </c>
      <c r="G66" s="158" t="s">
        <v>844</v>
      </c>
      <c r="AJ66" s="149">
        <f>IF(AJ$56, Input!AJ228, 0)</f>
        <v>0</v>
      </c>
      <c r="AK66" s="149">
        <f>IF(AK$56, Input!AK228, 0)</f>
        <v>0</v>
      </c>
      <c r="AL66" s="149">
        <f>IF(AL$56, Input!AL228, 0)</f>
        <v>0</v>
      </c>
      <c r="AM66" s="149">
        <f>IF(AM$56, Input!AM228, 0)</f>
        <v>0</v>
      </c>
      <c r="AN66" s="149">
        <f>IF(AN$56, Input!AN228, 0)</f>
        <v>0</v>
      </c>
      <c r="AO66" s="149">
        <f>IF(AO$56, Input!AO228, 0)</f>
        <v>0</v>
      </c>
      <c r="AP66" s="149">
        <f>IF(AP$56, Input!AP228, 0)</f>
        <v>0</v>
      </c>
      <c r="AQ66" s="149">
        <f>IF(AQ$56, Input!AQ228, 0)</f>
        <v>0</v>
      </c>
    </row>
    <row r="67" spans="4:43" ht="15" customHeight="1">
      <c r="E67" s="163" t="s">
        <v>158</v>
      </c>
      <c r="G67" s="158" t="s">
        <v>844</v>
      </c>
      <c r="AJ67" s="149">
        <f>IF(AJ$56, Input!AJ229, 0)</f>
        <v>0</v>
      </c>
      <c r="AK67" s="149">
        <f>IF(AK$56, Input!AK229, 0)</f>
        <v>0</v>
      </c>
      <c r="AL67" s="149">
        <f>IF(AL$56, Input!AL229, 0)</f>
        <v>0</v>
      </c>
      <c r="AM67" s="149">
        <f>IF(AM$56, Input!AM229, 0)</f>
        <v>0</v>
      </c>
      <c r="AN67" s="149">
        <f>IF(AN$56, Input!AN229, 0)</f>
        <v>0</v>
      </c>
      <c r="AO67" s="149">
        <f>IF(AO$56, Input!AO229, 0)</f>
        <v>0</v>
      </c>
      <c r="AP67" s="149">
        <f>IF(AP$56, Input!AP229, 0)</f>
        <v>0</v>
      </c>
      <c r="AQ67" s="149">
        <f>IF(AQ$56, Input!AQ229, 0)</f>
        <v>0</v>
      </c>
    </row>
    <row r="68" spans="4:43" ht="15" customHeight="1">
      <c r="AJ68" s="149"/>
      <c r="AK68" s="149"/>
      <c r="AL68" s="149"/>
      <c r="AM68" s="149"/>
      <c r="AN68" s="149"/>
      <c r="AO68" s="149"/>
      <c r="AP68" s="149"/>
      <c r="AQ68" s="149"/>
    </row>
    <row r="69" spans="4:43" ht="15" customHeight="1">
      <c r="AJ69" s="149"/>
      <c r="AK69" s="149"/>
      <c r="AL69" s="149"/>
      <c r="AM69" s="149"/>
      <c r="AN69" s="149"/>
      <c r="AO69" s="149"/>
      <c r="AP69" s="149"/>
      <c r="AQ69" s="149"/>
    </row>
    <row r="70" spans="4:43" ht="15" customHeight="1">
      <c r="D70" s="198" t="s">
        <v>192</v>
      </c>
      <c r="E70" s="198"/>
      <c r="F70" s="198"/>
      <c r="G70" s="198"/>
      <c r="H70" s="198"/>
      <c r="I70" s="198"/>
      <c r="J70" s="198"/>
      <c r="K70" s="198"/>
      <c r="L70" s="198"/>
      <c r="M70" s="198"/>
      <c r="N70" s="198"/>
      <c r="O70" s="198"/>
      <c r="P70" s="198"/>
      <c r="Q70" s="198"/>
      <c r="R70" s="198"/>
      <c r="S70" s="198"/>
      <c r="T70" s="198"/>
      <c r="U70" s="198"/>
      <c r="V70" s="198"/>
      <c r="W70" s="198"/>
      <c r="X70" s="198"/>
      <c r="Y70" s="198"/>
      <c r="Z70" s="198"/>
      <c r="AA70" s="198"/>
      <c r="AB70" s="198"/>
      <c r="AC70" s="198"/>
      <c r="AD70" s="198"/>
      <c r="AE70" s="198"/>
      <c r="AF70" s="198"/>
      <c r="AG70" s="198"/>
      <c r="AH70" s="198"/>
      <c r="AI70" s="198"/>
      <c r="AJ70" s="208"/>
      <c r="AK70" s="208"/>
      <c r="AL70" s="208"/>
      <c r="AM70" s="208"/>
      <c r="AN70" s="208"/>
      <c r="AO70" s="208"/>
      <c r="AP70" s="208"/>
      <c r="AQ70" s="208"/>
    </row>
    <row r="71" spans="4:43" ht="15" customHeight="1">
      <c r="AJ71" s="149"/>
      <c r="AK71" s="149"/>
      <c r="AL71" s="149"/>
      <c r="AM71" s="149"/>
      <c r="AN71" s="149"/>
      <c r="AO71" s="149"/>
      <c r="AP71" s="149"/>
      <c r="AQ71" s="149"/>
    </row>
    <row r="72" spans="4:43" ht="15" customHeight="1">
      <c r="E72" s="163" t="s">
        <v>275</v>
      </c>
      <c r="G72" s="158" t="s">
        <v>844</v>
      </c>
      <c r="AJ72" s="149">
        <f t="shared" ref="AJ72:AQ75" si="4">IF(AJ$57, AJ39, 0)</f>
        <v>26.739990327429616</v>
      </c>
      <c r="AK72" s="149">
        <f t="shared" si="4"/>
        <v>35.239780046754412</v>
      </c>
      <c r="AL72" s="149">
        <f t="shared" si="4"/>
        <v>36.659762346816315</v>
      </c>
      <c r="AM72" s="149">
        <f t="shared" si="4"/>
        <v>27.169156828588772</v>
      </c>
      <c r="AN72" s="149">
        <f t="shared" si="4"/>
        <v>22.355939146206488</v>
      </c>
      <c r="AO72" s="149">
        <f t="shared" si="4"/>
        <v>22.2953798351705</v>
      </c>
      <c r="AP72" s="149">
        <f t="shared" si="4"/>
        <v>29.617569454188985</v>
      </c>
      <c r="AQ72" s="149">
        <f t="shared" si="4"/>
        <v>27.794893665984315</v>
      </c>
    </row>
    <row r="73" spans="4:43" ht="15" customHeight="1">
      <c r="E73" s="163" t="s">
        <v>667</v>
      </c>
      <c r="G73" s="158" t="s">
        <v>844</v>
      </c>
      <c r="AJ73" s="149">
        <f t="shared" si="4"/>
        <v>65.92104338760538</v>
      </c>
      <c r="AK73" s="149">
        <f t="shared" si="4"/>
        <v>73.927423722427974</v>
      </c>
      <c r="AL73" s="149">
        <f t="shared" si="4"/>
        <v>69.995029132927257</v>
      </c>
      <c r="AM73" s="149">
        <f t="shared" si="4"/>
        <v>72.482970008965808</v>
      </c>
      <c r="AN73" s="149">
        <f t="shared" si="4"/>
        <v>70.919425954148807</v>
      </c>
      <c r="AO73" s="149">
        <f t="shared" si="4"/>
        <v>66.586937127148502</v>
      </c>
      <c r="AP73" s="149">
        <f t="shared" si="4"/>
        <v>58.862741628195216</v>
      </c>
      <c r="AQ73" s="149">
        <f t="shared" si="4"/>
        <v>57.066748754906456</v>
      </c>
    </row>
    <row r="74" spans="4:43" ht="15" customHeight="1">
      <c r="E74" s="163" t="s">
        <v>276</v>
      </c>
      <c r="G74" s="158" t="s">
        <v>844</v>
      </c>
      <c r="AJ74" s="149">
        <f t="shared" si="4"/>
        <v>13.991215034853029</v>
      </c>
      <c r="AK74" s="149">
        <f t="shared" si="4"/>
        <v>18.928463332794266</v>
      </c>
      <c r="AL74" s="149">
        <f t="shared" si="4"/>
        <v>16.482738082368776</v>
      </c>
      <c r="AM74" s="149">
        <f t="shared" si="4"/>
        <v>15.458043617419392</v>
      </c>
      <c r="AN74" s="149">
        <f t="shared" si="4"/>
        <v>15.767547692558061</v>
      </c>
      <c r="AO74" s="149">
        <f t="shared" si="4"/>
        <v>14.502008789609039</v>
      </c>
      <c r="AP74" s="149">
        <f t="shared" si="4"/>
        <v>16.731030495438947</v>
      </c>
      <c r="AQ74" s="149">
        <f t="shared" si="4"/>
        <v>15.271170582085546</v>
      </c>
    </row>
    <row r="75" spans="4:43" ht="15" customHeight="1">
      <c r="E75" s="163" t="s">
        <v>708</v>
      </c>
      <c r="G75" s="158" t="s">
        <v>844</v>
      </c>
      <c r="AJ75" s="149">
        <f t="shared" si="4"/>
        <v>23.008090432561694</v>
      </c>
      <c r="AK75" s="149">
        <f t="shared" si="4"/>
        <v>22.892742106570036</v>
      </c>
      <c r="AL75" s="149">
        <f t="shared" si="4"/>
        <v>22.858878503846469</v>
      </c>
      <c r="AM75" s="149">
        <f t="shared" si="4"/>
        <v>22.97314495624822</v>
      </c>
      <c r="AN75" s="149">
        <f t="shared" si="4"/>
        <v>23.120071766167612</v>
      </c>
      <c r="AO75" s="149">
        <f t="shared" si="4"/>
        <v>23.374384462375929</v>
      </c>
      <c r="AP75" s="149">
        <f t="shared" si="4"/>
        <v>23.980841433706388</v>
      </c>
      <c r="AQ75" s="149">
        <f t="shared" si="4"/>
        <v>24.498382573441969</v>
      </c>
    </row>
    <row r="76" spans="4:43" ht="15" customHeight="1">
      <c r="E76" s="551" t="s">
        <v>998</v>
      </c>
      <c r="AJ76" s="498">
        <f>IF(AJ$57, AJ43, 0)</f>
        <v>8.2841718957351382</v>
      </c>
      <c r="AK76" s="498">
        <f t="shared" ref="AK76:AQ76" si="5">IF(AK$57, AK43, 0)</f>
        <v>8.3879646906665197</v>
      </c>
      <c r="AL76" s="498">
        <f t="shared" si="5"/>
        <v>8.4927246531457889</v>
      </c>
      <c r="AM76" s="498">
        <f t="shared" si="5"/>
        <v>8.5851383427340835</v>
      </c>
      <c r="AN76" s="498">
        <f t="shared" si="5"/>
        <v>8.7337511061520772</v>
      </c>
      <c r="AO76" s="498">
        <f t="shared" si="5"/>
        <v>8.7244212967361001</v>
      </c>
      <c r="AP76" s="498">
        <f t="shared" si="5"/>
        <v>8.7251645355224134</v>
      </c>
      <c r="AQ76" s="498">
        <f t="shared" si="5"/>
        <v>8.7084713647120999</v>
      </c>
    </row>
    <row r="77" spans="4:43" ht="15" customHeight="1">
      <c r="E77" s="163" t="s">
        <v>924</v>
      </c>
      <c r="G77" s="158" t="s">
        <v>844</v>
      </c>
      <c r="AJ77" s="149">
        <f>IF(AJ$57, AJ44, 0)</f>
        <v>12.451250256342281</v>
      </c>
      <c r="AK77" s="149">
        <f t="shared" ref="AK77:AQ78" si="6">IF(AK$57, AK44, 0)</f>
        <v>12.476058440838752</v>
      </c>
      <c r="AL77" s="149">
        <f t="shared" si="6"/>
        <v>12.167127433509471</v>
      </c>
      <c r="AM77" s="149">
        <f t="shared" si="6"/>
        <v>11.762413609729164</v>
      </c>
      <c r="AN77" s="149">
        <f t="shared" si="6"/>
        <v>11.254936902886174</v>
      </c>
      <c r="AO77" s="149">
        <f t="shared" si="6"/>
        <v>10.665032135045207</v>
      </c>
      <c r="AP77" s="149">
        <f t="shared" si="6"/>
        <v>9.6979393680788561</v>
      </c>
      <c r="AQ77" s="149">
        <f t="shared" si="6"/>
        <v>9.1002575230104394</v>
      </c>
    </row>
    <row r="78" spans="4:43" ht="15" customHeight="1">
      <c r="E78" s="163" t="s">
        <v>277</v>
      </c>
      <c r="G78" s="158" t="s">
        <v>844</v>
      </c>
      <c r="AJ78" s="149">
        <f>IF(AJ$57, AJ45, 0)</f>
        <v>80.825846459184433</v>
      </c>
      <c r="AK78" s="149">
        <f t="shared" si="6"/>
        <v>80.922609301820756</v>
      </c>
      <c r="AL78" s="149">
        <f t="shared" si="6"/>
        <v>79.858632955291384</v>
      </c>
      <c r="AM78" s="149">
        <f t="shared" si="6"/>
        <v>80.018192210078723</v>
      </c>
      <c r="AN78" s="149">
        <f t="shared" si="6"/>
        <v>79.048556615351302</v>
      </c>
      <c r="AO78" s="149">
        <f t="shared" si="6"/>
        <v>77.913220051868763</v>
      </c>
      <c r="AP78" s="149">
        <f t="shared" si="6"/>
        <v>77.089081902134112</v>
      </c>
      <c r="AQ78" s="149">
        <f t="shared" si="6"/>
        <v>76.485895790522221</v>
      </c>
    </row>
    <row r="79" spans="4:43" ht="15" customHeight="1">
      <c r="AJ79" s="149"/>
      <c r="AK79" s="149"/>
      <c r="AL79" s="149"/>
      <c r="AM79" s="149"/>
      <c r="AN79" s="149"/>
      <c r="AO79" s="149"/>
      <c r="AP79" s="149"/>
      <c r="AQ79" s="149"/>
    </row>
    <row r="80" spans="4:43" ht="15" customHeight="1">
      <c r="D80" s="198" t="s">
        <v>429</v>
      </c>
      <c r="E80" s="198"/>
      <c r="F80" s="198"/>
      <c r="G80" s="198"/>
      <c r="H80" s="198"/>
      <c r="I80" s="198"/>
      <c r="J80" s="198"/>
      <c r="K80" s="198"/>
      <c r="L80" s="198"/>
      <c r="M80" s="198"/>
      <c r="N80" s="198"/>
      <c r="O80" s="198"/>
      <c r="P80" s="198"/>
      <c r="Q80" s="198"/>
      <c r="R80" s="198"/>
      <c r="S80" s="198"/>
      <c r="T80" s="198"/>
      <c r="U80" s="198"/>
      <c r="V80" s="198"/>
      <c r="W80" s="198"/>
      <c r="X80" s="198"/>
      <c r="Y80" s="198"/>
      <c r="Z80" s="198"/>
      <c r="AA80" s="198"/>
      <c r="AB80" s="198"/>
      <c r="AC80" s="198"/>
      <c r="AD80" s="198"/>
      <c r="AE80" s="198"/>
      <c r="AF80" s="198"/>
      <c r="AG80" s="198"/>
      <c r="AH80" s="198"/>
      <c r="AI80" s="198"/>
      <c r="AJ80" s="208"/>
      <c r="AK80" s="208"/>
      <c r="AL80" s="208"/>
      <c r="AM80" s="208"/>
      <c r="AN80" s="208"/>
      <c r="AO80" s="208"/>
      <c r="AP80" s="208"/>
      <c r="AQ80" s="208"/>
    </row>
    <row r="81" spans="2:43" ht="15" customHeight="1">
      <c r="D81" s="199" t="s">
        <v>278</v>
      </c>
      <c r="E81" s="199"/>
      <c r="F81" s="199"/>
      <c r="G81" s="199"/>
      <c r="H81" s="199"/>
      <c r="I81" s="199"/>
      <c r="J81" s="199"/>
      <c r="K81" s="199"/>
      <c r="L81" s="199"/>
      <c r="M81" s="199"/>
      <c r="N81" s="199"/>
      <c r="O81" s="199"/>
      <c r="P81" s="199"/>
      <c r="Q81" s="199"/>
      <c r="R81" s="199"/>
      <c r="S81" s="199"/>
      <c r="T81" s="199"/>
      <c r="U81" s="199"/>
      <c r="V81" s="199"/>
      <c r="W81" s="199"/>
      <c r="X81" s="199"/>
      <c r="Y81" s="199"/>
      <c r="Z81" s="199"/>
      <c r="AA81" s="199"/>
      <c r="AB81" s="199"/>
      <c r="AC81" s="199"/>
      <c r="AD81" s="199"/>
      <c r="AE81" s="199"/>
      <c r="AF81" s="199"/>
      <c r="AG81" s="199"/>
      <c r="AH81" s="199"/>
      <c r="AI81" s="199"/>
      <c r="AJ81" s="209"/>
      <c r="AK81" s="209"/>
      <c r="AL81" s="209"/>
      <c r="AM81" s="209"/>
      <c r="AN81" s="209"/>
      <c r="AO81" s="209"/>
      <c r="AP81" s="209"/>
      <c r="AQ81" s="209"/>
    </row>
    <row r="82" spans="2:43" ht="15" customHeight="1">
      <c r="AJ82" s="149"/>
      <c r="AK82" s="149"/>
      <c r="AL82" s="149"/>
      <c r="AM82" s="149"/>
      <c r="AN82" s="149"/>
      <c r="AO82" s="149"/>
      <c r="AP82" s="149"/>
      <c r="AQ82" s="149"/>
    </row>
    <row r="83" spans="2:43" ht="15" customHeight="1">
      <c r="E83" s="163" t="s">
        <v>150</v>
      </c>
      <c r="G83" s="158" t="s">
        <v>844</v>
      </c>
      <c r="AJ83" s="149">
        <f t="shared" ref="AJ83:AQ89" si="7">AJ61 + AJ72</f>
        <v>26.739990327429616</v>
      </c>
      <c r="AK83" s="149">
        <f t="shared" si="7"/>
        <v>35.239780046754412</v>
      </c>
      <c r="AL83" s="149">
        <f t="shared" si="7"/>
        <v>36.659762346816315</v>
      </c>
      <c r="AM83" s="149">
        <f t="shared" si="7"/>
        <v>27.169156828588772</v>
      </c>
      <c r="AN83" s="149">
        <f t="shared" si="7"/>
        <v>22.355939146206488</v>
      </c>
      <c r="AO83" s="149">
        <f t="shared" si="7"/>
        <v>22.2953798351705</v>
      </c>
      <c r="AP83" s="149">
        <f t="shared" si="7"/>
        <v>29.617569454188985</v>
      </c>
      <c r="AQ83" s="149">
        <f t="shared" si="7"/>
        <v>27.794893665984315</v>
      </c>
    </row>
    <row r="84" spans="2:43" ht="15" customHeight="1">
      <c r="E84" s="163" t="s">
        <v>661</v>
      </c>
      <c r="G84" s="158" t="s">
        <v>844</v>
      </c>
      <c r="AJ84" s="149">
        <f t="shared" si="7"/>
        <v>65.92104338760538</v>
      </c>
      <c r="AK84" s="149">
        <f t="shared" si="7"/>
        <v>73.927423722427974</v>
      </c>
      <c r="AL84" s="149">
        <f t="shared" si="7"/>
        <v>69.995029132927257</v>
      </c>
      <c r="AM84" s="149">
        <f t="shared" si="7"/>
        <v>72.482970008965808</v>
      </c>
      <c r="AN84" s="149">
        <f t="shared" si="7"/>
        <v>70.919425954148807</v>
      </c>
      <c r="AO84" s="149">
        <f t="shared" si="7"/>
        <v>66.586937127148502</v>
      </c>
      <c r="AP84" s="149">
        <f t="shared" si="7"/>
        <v>58.862741628195216</v>
      </c>
      <c r="AQ84" s="149">
        <f t="shared" si="7"/>
        <v>57.066748754906456</v>
      </c>
    </row>
    <row r="85" spans="2:43" ht="15" customHeight="1">
      <c r="E85" s="163" t="s">
        <v>157</v>
      </c>
      <c r="G85" s="158" t="s">
        <v>844</v>
      </c>
      <c r="AJ85" s="149">
        <f t="shared" si="7"/>
        <v>13.991215034853029</v>
      </c>
      <c r="AK85" s="149">
        <f t="shared" si="7"/>
        <v>18.928463332794266</v>
      </c>
      <c r="AL85" s="149">
        <f t="shared" si="7"/>
        <v>16.482738082368776</v>
      </c>
      <c r="AM85" s="149">
        <f t="shared" si="7"/>
        <v>15.458043617419392</v>
      </c>
      <c r="AN85" s="149">
        <f t="shared" si="7"/>
        <v>15.767547692558061</v>
      </c>
      <c r="AO85" s="149">
        <f t="shared" si="7"/>
        <v>14.502008789609039</v>
      </c>
      <c r="AP85" s="149">
        <f t="shared" si="7"/>
        <v>16.731030495438947</v>
      </c>
      <c r="AQ85" s="149">
        <f t="shared" si="7"/>
        <v>15.271170582085546</v>
      </c>
    </row>
    <row r="86" spans="2:43" ht="15" customHeight="1">
      <c r="E86" s="163" t="s">
        <v>702</v>
      </c>
      <c r="G86" s="158" t="s">
        <v>844</v>
      </c>
      <c r="AJ86" s="149">
        <f t="shared" si="7"/>
        <v>23.008090432561694</v>
      </c>
      <c r="AK86" s="149">
        <f t="shared" si="7"/>
        <v>22.892742106570036</v>
      </c>
      <c r="AL86" s="149">
        <f t="shared" si="7"/>
        <v>22.858878503846469</v>
      </c>
      <c r="AM86" s="149">
        <f t="shared" si="7"/>
        <v>22.97314495624822</v>
      </c>
      <c r="AN86" s="149">
        <f t="shared" si="7"/>
        <v>23.120071766167612</v>
      </c>
      <c r="AO86" s="149">
        <f t="shared" si="7"/>
        <v>23.374384462375929</v>
      </c>
      <c r="AP86" s="149">
        <f t="shared" si="7"/>
        <v>23.980841433706388</v>
      </c>
      <c r="AQ86" s="149">
        <f t="shared" si="7"/>
        <v>24.498382573441969</v>
      </c>
    </row>
    <row r="87" spans="2:43" ht="15" customHeight="1">
      <c r="E87" s="551" t="s">
        <v>996</v>
      </c>
      <c r="AJ87" s="498">
        <f t="shared" si="7"/>
        <v>8.2841718957351382</v>
      </c>
      <c r="AK87" s="498">
        <f t="shared" si="7"/>
        <v>8.3879646906665197</v>
      </c>
      <c r="AL87" s="498">
        <f t="shared" si="7"/>
        <v>8.4927246531457889</v>
      </c>
      <c r="AM87" s="498">
        <f t="shared" si="7"/>
        <v>8.5851383427340835</v>
      </c>
      <c r="AN87" s="498">
        <f t="shared" si="7"/>
        <v>8.7337511061520772</v>
      </c>
      <c r="AO87" s="498">
        <f t="shared" si="7"/>
        <v>8.7244212967361001</v>
      </c>
      <c r="AP87" s="498">
        <f t="shared" si="7"/>
        <v>8.7251645355224134</v>
      </c>
      <c r="AQ87" s="498">
        <f t="shared" si="7"/>
        <v>8.7084713647120999</v>
      </c>
    </row>
    <row r="88" spans="2:43" ht="15" customHeight="1">
      <c r="E88" s="163" t="s">
        <v>918</v>
      </c>
      <c r="G88" s="158" t="s">
        <v>844</v>
      </c>
      <c r="AJ88" s="149">
        <f t="shared" si="7"/>
        <v>12.451250256342281</v>
      </c>
      <c r="AK88" s="149">
        <f t="shared" si="7"/>
        <v>12.476058440838752</v>
      </c>
      <c r="AL88" s="149">
        <f t="shared" si="7"/>
        <v>12.167127433509471</v>
      </c>
      <c r="AM88" s="149">
        <f t="shared" si="7"/>
        <v>11.762413609729164</v>
      </c>
      <c r="AN88" s="149">
        <f t="shared" si="7"/>
        <v>11.254936902886174</v>
      </c>
      <c r="AO88" s="149">
        <f t="shared" si="7"/>
        <v>10.665032135045207</v>
      </c>
      <c r="AP88" s="149">
        <f t="shared" si="7"/>
        <v>9.6979393680788561</v>
      </c>
      <c r="AQ88" s="149">
        <f t="shared" si="7"/>
        <v>9.1002575230104394</v>
      </c>
    </row>
    <row r="89" spans="2:43" ht="15" customHeight="1">
      <c r="E89" s="163" t="s">
        <v>158</v>
      </c>
      <c r="G89" s="158" t="s">
        <v>844</v>
      </c>
      <c r="AJ89" s="149">
        <f t="shared" si="7"/>
        <v>80.825846459184433</v>
      </c>
      <c r="AK89" s="149">
        <f t="shared" si="7"/>
        <v>80.922609301820756</v>
      </c>
      <c r="AL89" s="149">
        <f t="shared" si="7"/>
        <v>79.858632955291384</v>
      </c>
      <c r="AM89" s="149">
        <f t="shared" si="7"/>
        <v>80.018192210078723</v>
      </c>
      <c r="AN89" s="149">
        <f t="shared" si="7"/>
        <v>79.048556615351302</v>
      </c>
      <c r="AO89" s="149">
        <f t="shared" si="7"/>
        <v>77.913220051868763</v>
      </c>
      <c r="AP89" s="149">
        <f t="shared" si="7"/>
        <v>77.089081902134112</v>
      </c>
      <c r="AQ89" s="149">
        <f t="shared" si="7"/>
        <v>76.485895790522221</v>
      </c>
    </row>
    <row r="90" spans="2:43" ht="15" customHeight="1">
      <c r="E90" s="158" t="s">
        <v>151</v>
      </c>
      <c r="G90" s="158" t="s">
        <v>844</v>
      </c>
      <c r="AJ90" s="168">
        <f t="shared" ref="AJ90:AQ90" si="8">SUM(AJ83:AJ89)</f>
        <v>231.2216077937116</v>
      </c>
      <c r="AK90" s="168">
        <f t="shared" si="8"/>
        <v>252.77504164187269</v>
      </c>
      <c r="AL90" s="168">
        <f t="shared" si="8"/>
        <v>246.51489310790544</v>
      </c>
      <c r="AM90" s="168">
        <f t="shared" si="8"/>
        <v>238.44905957376415</v>
      </c>
      <c r="AN90" s="168">
        <f t="shared" si="8"/>
        <v>231.20022918347053</v>
      </c>
      <c r="AO90" s="168">
        <f t="shared" si="8"/>
        <v>224.06138369795406</v>
      </c>
      <c r="AP90" s="168">
        <f t="shared" si="8"/>
        <v>224.70436881726494</v>
      </c>
      <c r="AQ90" s="168">
        <f t="shared" si="8"/>
        <v>218.92582025466305</v>
      </c>
    </row>
    <row r="91" spans="2:43" ht="15" customHeight="1"/>
    <row r="92" spans="2:43" ht="15" customHeight="1">
      <c r="B92" s="84" t="s">
        <v>53</v>
      </c>
      <c r="C92" s="84"/>
      <c r="D92" s="84"/>
      <c r="E92" s="84"/>
      <c r="F92" s="84"/>
      <c r="G92" s="84"/>
      <c r="H92" s="84"/>
      <c r="I92" s="84"/>
      <c r="J92" s="84"/>
      <c r="K92" s="84"/>
      <c r="L92" s="84"/>
      <c r="M92" s="84"/>
      <c r="N92" s="84"/>
      <c r="O92" s="84"/>
      <c r="P92" s="84"/>
      <c r="Q92" s="84"/>
      <c r="R92" s="84"/>
      <c r="S92" s="84"/>
      <c r="T92" s="84"/>
      <c r="U92" s="84"/>
      <c r="V92" s="84"/>
      <c r="W92" s="84"/>
      <c r="X92" s="84"/>
      <c r="Y92" s="84"/>
      <c r="Z92" s="84"/>
      <c r="AA92" s="84"/>
      <c r="AB92" s="84"/>
      <c r="AC92" s="84"/>
      <c r="AD92" s="84"/>
      <c r="AE92" s="84"/>
      <c r="AF92" s="84"/>
      <c r="AG92" s="84"/>
      <c r="AH92" s="84"/>
      <c r="AI92" s="84"/>
      <c r="AJ92" s="84"/>
      <c r="AK92" s="84"/>
      <c r="AL92" s="84"/>
      <c r="AM92" s="84"/>
      <c r="AN92" s="84"/>
      <c r="AO92" s="84"/>
      <c r="AP92" s="84"/>
      <c r="AQ92" s="84"/>
    </row>
    <row r="93" spans="2:43" ht="15" customHeight="1"/>
    <row r="94" spans="2:43" ht="15" customHeight="1">
      <c r="AJ94" s="158">
        <f>(Totex!AJ90 - Totex!AJ89 - Totex!AJ85)</f>
        <v>136.40454629967411</v>
      </c>
    </row>
    <row r="95" spans="2:43" ht="15" customHeight="1"/>
    <row r="96" spans="2:43" ht="15"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row r="110" ht="15" hidden="1" customHeight="1"/>
    <row r="111" ht="15" hidden="1" customHeight="1"/>
    <row r="112" ht="15" hidden="1" customHeight="1"/>
    <row r="113" ht="15" hidden="1" customHeight="1"/>
    <row r="114" ht="15" hidden="1" customHeight="1"/>
    <row r="115" ht="15" hidden="1" customHeight="1"/>
    <row r="116" ht="15" hidden="1" customHeight="1"/>
    <row r="117" ht="15" hidden="1" customHeight="1"/>
    <row r="118" ht="15" hidden="1" customHeight="1"/>
    <row r="119" ht="15" hidden="1" customHeight="1"/>
    <row r="120" ht="15" hidden="1" customHeight="1"/>
    <row r="121" ht="15" hidden="1" customHeight="1"/>
    <row r="122" ht="15" hidden="1" customHeight="1"/>
    <row r="123" ht="15" hidden="1" customHeight="1"/>
    <row r="124" ht="15" hidden="1" customHeight="1"/>
    <row r="125" ht="15" hidden="1" customHeight="1"/>
    <row r="126" ht="15" hidden="1" customHeight="1"/>
    <row r="127" ht="15" hidden="1" customHeight="1"/>
    <row r="128" ht="15" hidden="1" customHeight="1"/>
    <row r="129" ht="15" hidden="1" customHeight="1"/>
    <row r="130" ht="15" hidden="1" customHeight="1"/>
    <row r="131" ht="15" hidden="1" customHeight="1"/>
    <row r="132" ht="15" hidden="1" customHeight="1"/>
    <row r="133" ht="15" hidden="1" customHeight="1"/>
    <row r="134" ht="15" hidden="1" customHeight="1"/>
    <row r="135" ht="15" hidden="1" customHeight="1"/>
    <row r="136" ht="15" hidden="1" customHeight="1"/>
    <row r="137" ht="15" hidden="1" customHeight="1"/>
    <row r="138" ht="15" hidden="1" customHeight="1"/>
    <row r="139" ht="15" hidden="1" customHeight="1"/>
    <row r="140" ht="15" hidden="1" customHeight="1"/>
    <row r="141" ht="15" hidden="1" customHeight="1"/>
    <row r="142" ht="15" hidden="1" customHeight="1"/>
    <row r="143" ht="15" hidden="1" customHeight="1"/>
    <row r="144"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hidden="1" customHeight="1"/>
    <row r="167" ht="15" hidden="1" customHeight="1"/>
    <row r="168" ht="15" hidden="1" customHeight="1"/>
    <row r="169" ht="15" hidden="1" customHeight="1"/>
    <row r="170" ht="15" hidden="1" customHeight="1"/>
    <row r="171" ht="15" hidden="1" customHeight="1"/>
    <row r="172" ht="15" hidden="1" customHeight="1"/>
    <row r="173" ht="15" hidden="1" customHeight="1"/>
    <row r="174" ht="15" hidden="1" customHeight="1"/>
    <row r="175" ht="15" hidden="1" customHeight="1"/>
    <row r="176" ht="15" hidden="1" customHeight="1"/>
    <row r="177" ht="15" hidden="1" customHeight="1"/>
    <row r="178" ht="15" hidden="1" customHeight="1"/>
    <row r="179" ht="15" hidden="1" customHeight="1"/>
    <row r="180" ht="15" hidden="1" customHeight="1"/>
    <row r="181" ht="15" hidden="1" customHeight="1"/>
    <row r="182" ht="15" hidden="1" customHeight="1"/>
    <row r="183" ht="15" hidden="1" customHeight="1"/>
    <row r="184" ht="15" hidden="1" customHeight="1"/>
    <row r="185" ht="15" hidden="1" customHeight="1"/>
    <row r="186" ht="15" hidden="1" customHeight="1"/>
    <row r="187" ht="15" hidden="1" customHeight="1"/>
    <row r="188" ht="15" hidden="1" customHeight="1"/>
    <row r="189" ht="15" hidden="1" customHeight="1"/>
    <row r="190" ht="15" hidden="1" customHeight="1"/>
    <row r="191" ht="15" hidden="1" customHeight="1"/>
    <row r="192" ht="15" hidden="1" customHeight="1"/>
    <row r="193" ht="15" hidden="1" customHeight="1"/>
    <row r="194" ht="15" hidden="1" customHeight="1"/>
    <row r="195" ht="15" hidden="1" customHeight="1"/>
    <row r="196" ht="15" hidden="1" customHeight="1"/>
    <row r="197" ht="15" hidden="1" customHeight="1"/>
    <row r="198" ht="15" hidden="1" customHeight="1"/>
    <row r="199" ht="15" hidden="1" customHeight="1"/>
    <row r="200" ht="15" hidden="1" customHeight="1"/>
    <row r="201" ht="15" hidden="1" customHeight="1"/>
    <row r="202" ht="15" hidden="1" customHeight="1"/>
    <row r="203" ht="15" hidden="1" customHeight="1"/>
    <row r="204" ht="15" hidden="1" customHeight="1"/>
    <row r="205" ht="15" hidden="1" customHeight="1"/>
    <row r="206" ht="15" hidden="1" customHeight="1"/>
    <row r="207" ht="15" hidden="1" customHeight="1"/>
    <row r="208"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hidden="1" customHeight="1"/>
    <row r="272" ht="15" hidden="1" customHeight="1"/>
    <row r="273" ht="15" hidden="1" customHeight="1"/>
    <row r="274" ht="15" hidden="1" customHeight="1"/>
    <row r="275" ht="15" hidden="1" customHeight="1"/>
    <row r="276" ht="15" hidden="1" customHeight="1"/>
    <row r="277" ht="15" hidden="1" customHeight="1"/>
    <row r="278" ht="15" hidden="1" customHeight="1"/>
    <row r="279" ht="15" hidden="1" customHeight="1"/>
    <row r="280" ht="15" hidden="1" customHeight="1"/>
    <row r="281" ht="15" hidden="1" customHeight="1"/>
    <row r="282" ht="15" hidden="1" customHeight="1"/>
    <row r="283" ht="15" hidden="1" customHeight="1"/>
    <row r="284" ht="15" hidden="1" customHeight="1"/>
    <row r="285" ht="15" hidden="1" customHeight="1"/>
    <row r="286" ht="15" hidden="1" customHeight="1"/>
    <row r="287" ht="15" hidden="1" customHeight="1"/>
    <row r="288" ht="15" hidden="1" customHeight="1"/>
    <row r="289" ht="15" hidden="1" customHeight="1"/>
    <row r="290" ht="15" hidden="1" customHeight="1"/>
    <row r="291" ht="15" hidden="1" customHeight="1"/>
    <row r="292" ht="15" hidden="1" customHeight="1"/>
    <row r="293" ht="15" hidden="1" customHeight="1"/>
    <row r="294" ht="15" hidden="1" customHeight="1"/>
    <row r="295" ht="15" hidden="1" customHeight="1"/>
    <row r="296" ht="15" hidden="1" customHeight="1"/>
    <row r="297" ht="15" hidden="1" customHeight="1"/>
    <row r="298" ht="15" hidden="1" customHeight="1"/>
    <row r="299" ht="15" hidden="1" customHeight="1"/>
    <row r="300" ht="15" hidden="1" customHeight="1"/>
    <row r="301" ht="15" hidden="1" customHeight="1"/>
    <row r="302" ht="15" hidden="1" customHeight="1"/>
    <row r="303" ht="15" hidden="1" customHeight="1"/>
    <row r="304" ht="15" hidden="1" customHeight="1"/>
    <row r="305" ht="15" hidden="1" customHeight="1"/>
    <row r="306" ht="15" hidden="1" customHeight="1"/>
    <row r="307" ht="15" hidden="1" customHeight="1"/>
    <row r="308" ht="15" hidden="1" customHeight="1"/>
    <row r="309" ht="15" hidden="1" customHeight="1"/>
    <row r="310" ht="15" hidden="1" customHeight="1"/>
    <row r="311" ht="15" hidden="1" customHeight="1"/>
    <row r="312" ht="15" hidden="1" customHeight="1"/>
    <row r="313" ht="15" hidden="1" customHeight="1"/>
    <row r="314" ht="15" hidden="1" customHeight="1"/>
    <row r="315" ht="15" hidden="1" customHeight="1"/>
    <row r="316" ht="15" hidden="1" customHeight="1"/>
    <row r="317" ht="15" hidden="1" customHeight="1"/>
    <row r="318" ht="15" hidden="1" customHeight="1"/>
    <row r="319" ht="15" hidden="1" customHeight="1"/>
    <row r="320" ht="15" hidden="1" customHeight="1"/>
    <row r="321" ht="15" hidden="1" customHeight="1"/>
    <row r="322" ht="15" hidden="1" customHeight="1"/>
    <row r="323" ht="15" hidden="1" customHeight="1"/>
    <row r="324" ht="15" hidden="1" customHeight="1"/>
    <row r="325" ht="15" hidden="1" customHeight="1"/>
    <row r="326" ht="15" hidden="1" customHeight="1"/>
    <row r="327" ht="15" hidden="1" customHeight="1"/>
    <row r="328" ht="15" hidden="1" customHeight="1"/>
    <row r="329" ht="15" hidden="1" customHeight="1"/>
    <row r="330" ht="15" hidden="1" customHeight="1"/>
    <row r="331" ht="15" hidden="1" customHeight="1"/>
    <row r="332" ht="15" hidden="1" customHeight="1"/>
    <row r="333" ht="15" hidden="1" customHeight="1"/>
    <row r="334" ht="15" hidden="1" customHeight="1"/>
    <row r="335" ht="15" hidden="1" customHeight="1"/>
    <row r="336" ht="15" hidden="1" customHeight="1"/>
    <row r="337" ht="15" hidden="1" customHeight="1"/>
    <row r="338" ht="15" hidden="1" customHeight="1"/>
    <row r="339" ht="15" hidden="1" customHeight="1"/>
    <row r="340" ht="15" hidden="1" customHeight="1"/>
    <row r="341" ht="15" hidden="1" customHeight="1"/>
    <row r="342" ht="15" hidden="1" customHeight="1"/>
    <row r="343" ht="15" hidden="1" customHeight="1"/>
    <row r="344" ht="15" hidden="1" customHeight="1"/>
    <row r="345" ht="15" hidden="1" customHeight="1"/>
    <row r="346" ht="15" hidden="1" customHeight="1"/>
    <row r="347" ht="15" hidden="1" customHeight="1"/>
    <row r="348" ht="15" hidden="1" customHeight="1"/>
    <row r="349" ht="15" hidden="1" customHeight="1"/>
    <row r="350" ht="15" hidden="1" customHeight="1"/>
    <row r="351" ht="15" hidden="1" customHeight="1"/>
    <row r="352" ht="15" hidden="1" customHeight="1"/>
    <row r="353" ht="15" hidden="1" customHeight="1"/>
    <row r="354" ht="15" hidden="1" customHeight="1"/>
    <row r="355" ht="15" hidden="1" customHeight="1"/>
    <row r="356" ht="15" hidden="1" customHeight="1"/>
    <row r="357" ht="15" hidden="1" customHeight="1"/>
    <row r="358" ht="15" hidden="1" customHeight="1"/>
    <row r="359" ht="15" hidden="1" customHeight="1"/>
    <row r="360" ht="15" hidden="1" customHeight="1"/>
    <row r="361" ht="15" hidden="1" customHeight="1"/>
    <row r="362" ht="15" hidden="1" customHeight="1"/>
    <row r="363" ht="15" hidden="1" customHeight="1"/>
    <row r="364" ht="15" hidden="1" customHeight="1"/>
    <row r="365" ht="15" hidden="1" customHeight="1"/>
    <row r="366" ht="15" hidden="1" customHeight="1"/>
    <row r="367" ht="15" hidden="1" customHeight="1"/>
    <row r="368" ht="15" hidden="1" customHeight="1"/>
    <row r="369" ht="15" hidden="1" customHeight="1"/>
    <row r="370" ht="15" hidden="1" customHeight="1"/>
    <row r="371" ht="15" hidden="1" customHeight="1"/>
    <row r="372" ht="15" hidden="1" customHeight="1"/>
    <row r="373" ht="15" hidden="1" customHeight="1"/>
    <row r="374" ht="15" hidden="1" customHeight="1"/>
    <row r="375" ht="15" hidden="1" customHeight="1"/>
    <row r="376" ht="15" hidden="1" customHeight="1"/>
    <row r="377" ht="15" hidden="1" customHeight="1"/>
    <row r="378" ht="15" hidden="1" customHeight="1"/>
    <row r="379" ht="15" hidden="1" customHeight="1"/>
    <row r="380" ht="15" hidden="1" customHeight="1"/>
    <row r="381" ht="15" hidden="1" customHeight="1"/>
    <row r="382" ht="15" hidden="1" customHeight="1"/>
    <row r="383" ht="15" hidden="1" customHeight="1"/>
    <row r="384" ht="15" hidden="1" customHeight="1"/>
    <row r="385" ht="15" hidden="1" customHeight="1"/>
    <row r="386" ht="15" hidden="1" customHeight="1"/>
    <row r="387" ht="15" hidden="1" customHeight="1"/>
    <row r="388" ht="15" hidden="1" customHeight="1"/>
    <row r="389" ht="15" hidden="1" customHeight="1"/>
    <row r="390" ht="15" hidden="1" customHeight="1"/>
    <row r="391" ht="15" hidden="1" customHeight="1"/>
    <row r="392" ht="15" hidden="1" customHeight="1"/>
    <row r="393" ht="15" hidden="1" customHeight="1"/>
    <row r="394" ht="15" hidden="1" customHeight="1"/>
    <row r="395" ht="15" hidden="1" customHeight="1"/>
    <row r="396" ht="15" hidden="1" customHeight="1"/>
    <row r="397" ht="15" hidden="1" customHeight="1"/>
    <row r="398" ht="15" hidden="1" customHeight="1"/>
    <row r="399" ht="15" hidden="1" customHeight="1"/>
    <row r="400" ht="15" hidden="1" customHeight="1"/>
    <row r="401" ht="15" hidden="1" customHeight="1"/>
    <row r="402" ht="15" hidden="1" customHeight="1"/>
    <row r="403" ht="15" hidden="1" customHeight="1"/>
    <row r="404" ht="15" hidden="1" customHeight="1"/>
    <row r="405" ht="15" hidden="1" customHeight="1"/>
    <row r="406" ht="15" hidden="1" customHeight="1"/>
    <row r="407" ht="15" hidden="1" customHeight="1"/>
    <row r="408" ht="15" hidden="1" customHeight="1"/>
    <row r="409" ht="15" hidden="1" customHeight="1"/>
    <row r="410" ht="15" hidden="1" customHeight="1"/>
    <row r="411" ht="15" hidden="1" customHeight="1"/>
    <row r="412" ht="15" hidden="1" customHeight="1"/>
    <row r="413" ht="15" hidden="1" customHeight="1"/>
    <row r="414" ht="15" hidden="1" customHeight="1"/>
    <row r="415" ht="15" hidden="1" customHeight="1"/>
    <row r="416" ht="15" hidden="1" customHeight="1"/>
    <row r="417" ht="15" hidden="1" customHeight="1"/>
    <row r="418" ht="15" hidden="1" customHeight="1"/>
    <row r="419" ht="15" hidden="1" customHeight="1"/>
    <row r="420" ht="15" hidden="1" customHeight="1"/>
    <row r="421" ht="15" hidden="1" customHeight="1"/>
    <row r="422" ht="15" hidden="1" customHeight="1"/>
    <row r="423" ht="15" hidden="1" customHeight="1"/>
    <row r="424" ht="15" hidden="1" customHeight="1"/>
    <row r="425" ht="15" hidden="1" customHeight="1"/>
    <row r="426" ht="15" hidden="1" customHeight="1"/>
    <row r="427" ht="15" hidden="1" customHeight="1"/>
    <row r="428" ht="15" hidden="1" customHeight="1"/>
    <row r="429" ht="15" hidden="1" customHeight="1"/>
    <row r="430" ht="15" hidden="1" customHeight="1"/>
    <row r="431" ht="15" hidden="1" customHeight="1"/>
    <row r="432" ht="15" hidden="1" customHeight="1"/>
    <row r="433" ht="15" hidden="1" customHeight="1"/>
    <row r="434" ht="15" hidden="1" customHeight="1"/>
    <row r="435" ht="15" hidden="1" customHeight="1"/>
    <row r="436" ht="15" hidden="1" customHeight="1"/>
    <row r="437" ht="15" hidden="1" customHeight="1"/>
    <row r="438" ht="15" hidden="1" customHeight="1"/>
    <row r="439" ht="15" hidden="1" customHeight="1"/>
    <row r="440" ht="15" hidden="1" customHeight="1"/>
    <row r="441" ht="15" hidden="1" customHeight="1"/>
    <row r="442" ht="15" hidden="1" customHeight="1"/>
    <row r="443" ht="15" hidden="1" customHeight="1"/>
    <row r="444" ht="15" hidden="1" customHeight="1"/>
    <row r="445" ht="15" hidden="1" customHeight="1"/>
    <row r="446" ht="15" hidden="1" customHeight="1"/>
    <row r="447" ht="15" hidden="1" customHeight="1"/>
    <row r="448" ht="15" hidden="1" customHeight="1"/>
    <row r="449" ht="15" hidden="1" customHeight="1"/>
    <row r="450" ht="15" hidden="1" customHeight="1"/>
    <row r="451" ht="15" hidden="1" customHeight="1"/>
    <row r="452" ht="15" hidden="1" customHeight="1"/>
    <row r="453" ht="15" hidden="1" customHeight="1"/>
    <row r="454" ht="15" hidden="1" customHeight="1"/>
    <row r="455" ht="15" hidden="1" customHeight="1"/>
    <row r="456" ht="15" hidden="1" customHeight="1"/>
    <row r="457" ht="15" hidden="1" customHeight="1"/>
    <row r="458" ht="15" hidden="1" customHeight="1"/>
    <row r="459" ht="15" hidden="1" customHeight="1"/>
    <row r="460" ht="15" hidden="1" customHeight="1"/>
    <row r="461" ht="15" hidden="1" customHeight="1"/>
    <row r="462" ht="15" hidden="1" customHeight="1"/>
    <row r="463" ht="15" hidden="1" customHeight="1"/>
    <row r="464" ht="15" hidden="1" customHeight="1"/>
    <row r="465" ht="15" hidden="1" customHeight="1"/>
    <row r="466" ht="15" hidden="1" customHeight="1"/>
    <row r="467" ht="15" hidden="1" customHeight="1"/>
    <row r="468" ht="15" hidden="1" customHeight="1"/>
    <row r="469" ht="15" hidden="1" customHeight="1"/>
    <row r="470" ht="15" hidden="1" customHeight="1"/>
    <row r="471" ht="15" hidden="1" customHeight="1"/>
    <row r="472" ht="15" hidden="1" customHeight="1"/>
    <row r="473" ht="15" hidden="1" customHeight="1"/>
    <row r="474" ht="15" hidden="1" customHeight="1"/>
    <row r="475" ht="15" hidden="1" customHeight="1"/>
    <row r="476" ht="15" hidden="1" customHeight="1"/>
    <row r="477" ht="15" hidden="1" customHeight="1"/>
    <row r="478" ht="15" hidden="1" customHeight="1"/>
    <row r="479" ht="15" hidden="1" customHeight="1"/>
    <row r="480" ht="15" hidden="1" customHeight="1"/>
    <row r="481" ht="15" hidden="1" customHeight="1"/>
    <row r="482" ht="15" hidden="1" customHeight="1"/>
    <row r="483" ht="15" hidden="1" customHeight="1"/>
    <row r="484" ht="15" hidden="1" customHeight="1"/>
    <row r="485" ht="15" hidden="1" customHeight="1"/>
    <row r="486" ht="15" hidden="1" customHeight="1"/>
    <row r="487" ht="15" hidden="1" customHeight="1"/>
    <row r="488" ht="15" hidden="1" customHeight="1"/>
    <row r="489" ht="15" hidden="1" customHeight="1"/>
    <row r="490" ht="15" hidden="1" customHeight="1"/>
    <row r="491" ht="15" hidden="1" customHeight="1"/>
    <row r="492" ht="15" hidden="1" customHeight="1"/>
    <row r="493" ht="15" hidden="1" customHeight="1"/>
    <row r="494" ht="15" hidden="1" customHeight="1"/>
    <row r="495" ht="15" hidden="1" customHeight="1"/>
    <row r="496" ht="15" hidden="1" customHeight="1"/>
    <row r="497" ht="15" hidden="1" customHeight="1"/>
    <row r="498" ht="15" hidden="1" customHeight="1"/>
    <row r="499" ht="15" hidden="1" customHeight="1"/>
    <row r="500" ht="15" hidden="1" customHeight="1"/>
    <row r="501" ht="15" hidden="1" customHeight="1"/>
    <row r="502" ht="15" hidden="1" customHeight="1"/>
    <row r="503" ht="15" hidden="1" customHeight="1"/>
    <row r="504" ht="15" hidden="1" customHeight="1"/>
    <row r="505" ht="15" hidden="1" customHeight="1"/>
    <row r="506" ht="15" hidden="1" customHeight="1"/>
    <row r="507" ht="15" hidden="1" customHeight="1"/>
    <row r="508" ht="15" hidden="1" customHeight="1"/>
    <row r="509" ht="15" hidden="1" customHeight="1"/>
    <row r="510" ht="15" hidden="1" customHeight="1"/>
    <row r="511" ht="15" hidden="1" customHeight="1"/>
    <row r="512" ht="15" hidden="1" customHeight="1"/>
    <row r="513" ht="15" hidden="1" customHeight="1"/>
    <row r="514" ht="15" hidden="1" customHeight="1"/>
    <row r="515" ht="15" hidden="1" customHeight="1"/>
    <row r="516" ht="15" hidden="1" customHeight="1"/>
    <row r="517" ht="15" hidden="1" customHeight="1"/>
    <row r="518" ht="15" hidden="1" customHeight="1"/>
    <row r="519" ht="15" hidden="1" customHeight="1"/>
    <row r="520" ht="15" hidden="1" customHeight="1"/>
    <row r="521" ht="15" hidden="1" customHeight="1"/>
    <row r="522" ht="15" hidden="1" customHeight="1"/>
    <row r="523" ht="15" hidden="1" customHeight="1"/>
    <row r="524" ht="15" hidden="1" customHeight="1"/>
    <row r="525" ht="15" hidden="1" customHeight="1"/>
    <row r="526" ht="15" hidden="1" customHeight="1"/>
    <row r="527" ht="15" hidden="1" customHeight="1"/>
    <row r="528" ht="15" hidden="1" customHeight="1"/>
    <row r="529" ht="15" hidden="1" customHeight="1"/>
    <row r="530" ht="15" hidden="1" customHeight="1"/>
    <row r="531" ht="15" hidden="1" customHeight="1"/>
    <row r="532" ht="15" hidden="1" customHeight="1"/>
    <row r="533" ht="15" hidden="1" customHeight="1"/>
    <row r="534" ht="15" hidden="1" customHeight="1"/>
    <row r="535" ht="15" hidden="1" customHeight="1"/>
    <row r="536" ht="15" hidden="1" customHeight="1"/>
    <row r="537" ht="15" hidden="1" customHeight="1"/>
    <row r="538" ht="15" hidden="1" customHeight="1"/>
    <row r="539" ht="15" hidden="1" customHeight="1"/>
    <row r="540" ht="15" hidden="1" customHeight="1"/>
    <row r="541" ht="15" hidden="1" customHeight="1"/>
    <row r="542" ht="15" hidden="1" customHeight="1"/>
    <row r="543" ht="15" hidden="1" customHeight="1"/>
    <row r="544" ht="15" hidden="1" customHeight="1"/>
    <row r="545" ht="15" hidden="1" customHeight="1"/>
    <row r="546" ht="15" hidden="1" customHeight="1"/>
    <row r="547" ht="15" hidden="1" customHeight="1"/>
    <row r="548" ht="15" hidden="1" customHeight="1"/>
    <row r="549" ht="15" hidden="1" customHeight="1"/>
    <row r="550" ht="15" hidden="1" customHeight="1"/>
    <row r="551" ht="15" hidden="1" customHeight="1"/>
    <row r="552" ht="15" hidden="1" customHeight="1"/>
    <row r="553" ht="15" hidden="1" customHeight="1"/>
    <row r="554" ht="15" hidden="1" customHeight="1"/>
    <row r="555" ht="15" hidden="1" customHeight="1"/>
    <row r="556" ht="15" hidden="1" customHeight="1"/>
    <row r="557" ht="15" hidden="1" customHeight="1"/>
    <row r="558" ht="15" hidden="1" customHeight="1"/>
    <row r="559" ht="15" hidden="1" customHeight="1"/>
    <row r="560" ht="15" hidden="1" customHeight="1"/>
    <row r="561" ht="15" hidden="1" customHeight="1"/>
    <row r="562" ht="15" hidden="1" customHeight="1"/>
    <row r="563" ht="15" hidden="1" customHeight="1"/>
    <row r="564" ht="15" hidden="1" customHeight="1"/>
    <row r="565" ht="15" hidden="1" customHeight="1"/>
    <row r="566" ht="15" hidden="1" customHeight="1"/>
    <row r="567" ht="15" hidden="1" customHeight="1"/>
    <row r="568" ht="15" hidden="1" customHeight="1"/>
    <row r="569" ht="15" hidden="1" customHeight="1"/>
    <row r="570" ht="15" hidden="1" customHeight="1"/>
    <row r="571" ht="15" hidden="1" customHeight="1"/>
    <row r="572" ht="15" hidden="1" customHeight="1"/>
    <row r="573" ht="15" hidden="1" customHeight="1"/>
    <row r="574" ht="15" hidden="1" customHeight="1"/>
    <row r="575" ht="15" hidden="1" customHeight="1"/>
    <row r="576" ht="15" hidden="1" customHeight="1"/>
    <row r="577" ht="15" hidden="1" customHeight="1"/>
    <row r="578" ht="15" hidden="1" customHeight="1"/>
    <row r="579" ht="15" hidden="1" customHeight="1"/>
    <row r="580" ht="15" hidden="1" customHeight="1"/>
    <row r="581" ht="15" hidden="1" customHeight="1"/>
    <row r="582" ht="15" hidden="1" customHeight="1"/>
    <row r="583" ht="15" hidden="1" customHeight="1"/>
    <row r="584" ht="15" hidden="1" customHeight="1"/>
    <row r="585" ht="15" hidden="1" customHeight="1"/>
    <row r="586" ht="15" hidden="1" customHeight="1"/>
    <row r="587" ht="15" hidden="1" customHeight="1"/>
    <row r="588" ht="15" hidden="1" customHeight="1"/>
    <row r="589" ht="15" hidden="1" customHeight="1"/>
    <row r="590" ht="15" hidden="1" customHeight="1"/>
    <row r="591" ht="15" hidden="1" customHeight="1"/>
    <row r="592" ht="15" hidden="1" customHeight="1"/>
    <row r="593" ht="15" hidden="1" customHeight="1"/>
    <row r="594" ht="15" hidden="1" customHeight="1"/>
    <row r="595" ht="15" hidden="1" customHeight="1"/>
    <row r="596" ht="15" hidden="1" customHeight="1"/>
    <row r="597" ht="15" hidden="1" customHeight="1"/>
    <row r="598" ht="15" hidden="1" customHeight="1"/>
    <row r="599" ht="15" hidden="1" customHeight="1"/>
    <row r="600" ht="15" hidden="1" customHeight="1"/>
    <row r="601" ht="15" hidden="1" customHeight="1"/>
    <row r="602" ht="15" hidden="1" customHeight="1"/>
    <row r="603" ht="15" hidden="1" customHeight="1"/>
    <row r="604" ht="15" hidden="1" customHeight="1"/>
    <row r="605" ht="15" hidden="1" customHeight="1"/>
    <row r="606" ht="15" hidden="1" customHeight="1"/>
    <row r="607" ht="15" hidden="1" customHeight="1"/>
    <row r="608" ht="15" hidden="1" customHeight="1"/>
    <row r="609" ht="15" hidden="1" customHeight="1"/>
    <row r="610" ht="15" hidden="1" customHeight="1"/>
    <row r="611" ht="15" hidden="1" customHeight="1"/>
    <row r="612" ht="15" hidden="1" customHeight="1"/>
    <row r="613" ht="15" hidden="1" customHeight="1"/>
    <row r="614" ht="15" hidden="1" customHeight="1"/>
    <row r="615" ht="15" hidden="1" customHeight="1"/>
    <row r="616" ht="15" hidden="1" customHeight="1"/>
    <row r="617" ht="15" hidden="1" customHeight="1"/>
    <row r="618" ht="15" hidden="1" customHeight="1"/>
    <row r="619" ht="15" hidden="1" customHeight="1"/>
    <row r="620" ht="15" hidden="1" customHeight="1"/>
    <row r="621" ht="15" hidden="1" customHeight="1"/>
    <row r="622" ht="15" hidden="1" customHeight="1"/>
    <row r="623" ht="15" hidden="1" customHeight="1"/>
    <row r="624" ht="15" hidden="1" customHeight="1"/>
    <row r="625" ht="15" hidden="1" customHeight="1"/>
    <row r="626" ht="15" hidden="1" customHeight="1"/>
    <row r="627" ht="15" hidden="1" customHeight="1"/>
    <row r="628" ht="15" hidden="1" customHeight="1"/>
    <row r="629" ht="15" hidden="1" customHeight="1"/>
    <row r="630" ht="15" hidden="1" customHeight="1"/>
    <row r="631" ht="15" hidden="1" customHeight="1"/>
    <row r="632" ht="15" hidden="1" customHeight="1"/>
    <row r="633" ht="15" hidden="1" customHeight="1"/>
    <row r="634" ht="15" hidden="1" customHeight="1"/>
    <row r="635" ht="15" hidden="1" customHeight="1"/>
    <row r="636" ht="15" hidden="1" customHeight="1"/>
    <row r="637" ht="15" hidden="1" customHeight="1"/>
    <row r="638" ht="15" hidden="1" customHeight="1"/>
    <row r="639" ht="15" hidden="1" customHeight="1"/>
    <row r="640" ht="15" hidden="1" customHeight="1"/>
    <row r="641" ht="15" hidden="1" customHeight="1"/>
    <row r="642" ht="15" hidden="1" customHeight="1"/>
    <row r="643" ht="15" hidden="1" customHeight="1"/>
    <row r="644" ht="15" hidden="1" customHeight="1"/>
    <row r="645" ht="15" hidden="1" customHeight="1"/>
    <row r="646" ht="15" hidden="1" customHeight="1"/>
    <row r="647" ht="15" hidden="1" customHeight="1"/>
    <row r="648" ht="15" hidden="1" customHeight="1"/>
    <row r="649" ht="15" hidden="1" customHeight="1"/>
    <row r="650" ht="15" hidden="1" customHeight="1"/>
    <row r="651" ht="15" hidden="1" customHeight="1"/>
    <row r="652" ht="15" hidden="1" customHeight="1"/>
    <row r="653" ht="15" hidden="1" customHeight="1"/>
    <row r="654" ht="15" hidden="1" customHeight="1"/>
    <row r="655" ht="15" hidden="1" customHeight="1"/>
    <row r="656" ht="15" hidden="1" customHeight="1"/>
    <row r="657" ht="15" hidden="1" customHeight="1"/>
    <row r="658" ht="15" hidden="1" customHeight="1"/>
    <row r="659" ht="15" hidden="1"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sheetData>
  <conditionalFormatting sqref="AJ56:AQ57">
    <cfRule type="cellIs" dxfId="92" priority="4" operator="equal">
      <formula>FALSE()</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theme="7" tint="0.59999389629810485"/>
    <pageSetUpPr fitToPage="1"/>
  </sheetPr>
  <dimension ref="A1:AR156"/>
  <sheetViews>
    <sheetView zoomScale="75" zoomScaleNormal="75" workbookViewId="0">
      <pane xSplit="10" ySplit="7" topLeftCell="AJ8" activePane="bottomRight" state="frozen"/>
      <selection activeCell="F444" sqref="F444"/>
      <selection pane="topRight" activeCell="F444" sqref="F444"/>
      <selection pane="bottomLeft" activeCell="F444" sqref="F444"/>
      <selection pane="bottomRight"/>
    </sheetView>
  </sheetViews>
  <sheetFormatPr defaultColWidth="0" defaultRowHeight="12.75" zeroHeight="1" outlineLevelCol="1"/>
  <cols>
    <col min="1" max="4" width="1.625" style="16" customWidth="1"/>
    <col min="5" max="5" width="50.625" style="16" customWidth="1"/>
    <col min="6" max="6" width="1.625" style="16" customWidth="1"/>
    <col min="7" max="7" width="12.625" style="16" bestFit="1" customWidth="1"/>
    <col min="8" max="8" width="1.625" style="16" customWidth="1"/>
    <col min="9" max="9" width="10.625" style="16" customWidth="1"/>
    <col min="10" max="10" width="1.625" style="16" customWidth="1"/>
    <col min="11" max="30" width="10.625" style="16" hidden="1" customWidth="1" outlineLevel="1"/>
    <col min="31" max="32" width="10.625" style="195" hidden="1" customWidth="1" outlineLevel="1"/>
    <col min="33" max="35" width="10.625" style="16" hidden="1" customWidth="1" outlineLevel="1"/>
    <col min="36" max="36" width="10.625" style="16" customWidth="1" collapsed="1"/>
    <col min="37" max="43" width="10.625" style="16" customWidth="1"/>
    <col min="44" max="44" width="1.625" style="16" customWidth="1"/>
    <col min="45" max="16384" width="9" style="16" hidden="1"/>
  </cols>
  <sheetData>
    <row r="1" spans="1:44" s="7" customFormat="1" ht="15">
      <c r="A1" s="5" t="s">
        <v>248</v>
      </c>
      <c r="B1" s="6"/>
      <c r="C1" s="6"/>
      <c r="D1" s="6"/>
      <c r="E1" s="6"/>
      <c r="F1" s="6"/>
      <c r="G1" s="6"/>
      <c r="H1" s="6"/>
      <c r="I1" s="6"/>
      <c r="J1" s="46"/>
      <c r="K1" s="46"/>
      <c r="L1" s="46"/>
      <c r="M1" s="46"/>
      <c r="N1" s="46"/>
      <c r="O1" s="46"/>
      <c r="P1" s="46"/>
      <c r="Q1" s="46"/>
      <c r="R1" s="46"/>
      <c r="S1" s="46"/>
      <c r="T1" s="46"/>
      <c r="U1" s="46"/>
      <c r="V1" s="46"/>
      <c r="W1" s="46"/>
      <c r="X1" s="46"/>
      <c r="Y1" s="6"/>
      <c r="Z1" s="6"/>
      <c r="AA1" s="6"/>
      <c r="AB1" s="6"/>
      <c r="AC1" s="6"/>
      <c r="AD1" s="6"/>
      <c r="AE1" s="6"/>
      <c r="AF1" s="6"/>
      <c r="AG1" s="6"/>
      <c r="AH1" s="6"/>
      <c r="AI1" s="6"/>
      <c r="AJ1" s="6"/>
      <c r="AK1" s="6"/>
      <c r="AL1" s="6"/>
      <c r="AM1" s="6"/>
      <c r="AN1" s="6"/>
      <c r="AO1" s="6"/>
      <c r="AP1" s="6"/>
      <c r="AQ1" s="6"/>
      <c r="AR1" s="47"/>
    </row>
    <row r="2" spans="1:44" s="7" customForma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7" customForma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7" customForma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7" customForma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7" customFormat="1">
      <c r="A6" s="6"/>
      <c r="B6" s="6"/>
      <c r="C6" s="6"/>
      <c r="D6" s="6"/>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6"/>
      <c r="AL6" s="6"/>
      <c r="AM6" s="6"/>
      <c r="AN6" s="6"/>
      <c r="AO6" s="6"/>
      <c r="AP6" s="6"/>
      <c r="AQ6" s="6"/>
      <c r="AR6" s="6"/>
    </row>
    <row r="7" spans="1:44" s="7" customFormat="1">
      <c r="A7" s="6"/>
      <c r="B7" s="6"/>
      <c r="C7" s="6"/>
      <c r="D7" s="6"/>
      <c r="E7" s="6" t="s">
        <v>236</v>
      </c>
      <c r="F7" s="6"/>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c r="AR7" s="6"/>
    </row>
    <row r="8" spans="1:44" s="158" customFormat="1"/>
    <row r="9" spans="1:44" s="158" customFormat="1">
      <c r="B9" s="15" t="s">
        <v>89</v>
      </c>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row>
    <row r="10" spans="1:44" s="158" customFormat="1"/>
    <row r="11" spans="1:44" s="158" customFormat="1">
      <c r="C11" s="17" t="s">
        <v>423</v>
      </c>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row>
    <row r="12" spans="1:44" s="158" customFormat="1"/>
    <row r="13" spans="1:44" s="158" customFormat="1">
      <c r="E13" s="158" t="s">
        <v>423</v>
      </c>
      <c r="G13" s="158" t="s">
        <v>49</v>
      </c>
      <c r="I13" s="260">
        <f>Input!I68</f>
        <v>0</v>
      </c>
    </row>
    <row r="14" spans="1:44" s="158" customFormat="1">
      <c r="G14" s="99"/>
      <c r="I14" s="149"/>
    </row>
    <row r="15" spans="1:44" s="158" customFormat="1">
      <c r="C15" s="17" t="s">
        <v>23</v>
      </c>
      <c r="D15" s="17"/>
      <c r="E15" s="17"/>
      <c r="F15" s="17"/>
      <c r="G15" s="17"/>
      <c r="H15" s="17"/>
      <c r="I15" s="332"/>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row>
    <row r="16" spans="1:44" s="158" customFormat="1">
      <c r="E16" s="99"/>
      <c r="F16" s="99"/>
      <c r="G16" s="99"/>
      <c r="H16" s="99"/>
      <c r="I16" s="341"/>
    </row>
    <row r="17" spans="2:43" s="158" customFormat="1">
      <c r="E17" s="53" t="s">
        <v>22</v>
      </c>
      <c r="F17" s="99"/>
      <c r="G17" s="99" t="s">
        <v>49</v>
      </c>
      <c r="H17" s="99"/>
      <c r="I17" s="330">
        <f>Input!I70</f>
        <v>0.75</v>
      </c>
    </row>
    <row r="18" spans="2:43" s="158" customFormat="1">
      <c r="E18" s="53" t="s">
        <v>36</v>
      </c>
      <c r="F18" s="99"/>
      <c r="G18" s="99" t="s">
        <v>49</v>
      </c>
      <c r="H18" s="99"/>
      <c r="I18" s="330">
        <f>Input!I71</f>
        <v>0.25</v>
      </c>
    </row>
    <row r="19" spans="2:43" s="158" customFormat="1">
      <c r="E19" s="53"/>
      <c r="F19" s="99"/>
      <c r="G19" s="99"/>
      <c r="H19" s="99"/>
      <c r="I19" s="342"/>
    </row>
    <row r="20" spans="2:43" s="158" customFormat="1">
      <c r="E20" s="158" t="s">
        <v>502</v>
      </c>
      <c r="F20" s="99"/>
      <c r="G20" s="195" t="s">
        <v>844</v>
      </c>
      <c r="H20" s="99"/>
      <c r="I20" s="339">
        <f>Input!I76</f>
        <v>6608.1484301111032</v>
      </c>
    </row>
    <row r="21" spans="2:43" s="158" customFormat="1">
      <c r="I21" s="149"/>
    </row>
    <row r="22" spans="2:43" s="158" customFormat="1">
      <c r="E22" s="99" t="s">
        <v>736</v>
      </c>
      <c r="F22" s="99"/>
      <c r="G22" s="99" t="s">
        <v>49</v>
      </c>
      <c r="H22" s="99"/>
      <c r="I22" s="260">
        <f>Input!I66</f>
        <v>0</v>
      </c>
    </row>
    <row r="23" spans="2:43" s="158" customFormat="1">
      <c r="E23" s="99"/>
      <c r="F23" s="99"/>
      <c r="G23" s="99"/>
      <c r="H23" s="99"/>
      <c r="I23" s="53"/>
    </row>
    <row r="24" spans="2:43" s="158" customFormat="1">
      <c r="E24" s="158" t="s">
        <v>21</v>
      </c>
      <c r="G24" s="195" t="s">
        <v>844</v>
      </c>
      <c r="I24" s="32">
        <f>I20*I22</f>
        <v>0</v>
      </c>
    </row>
    <row r="25" spans="2:43" s="158" customFormat="1">
      <c r="G25" s="195"/>
      <c r="I25" s="149"/>
    </row>
    <row r="26" spans="2:43" s="158" customFormat="1">
      <c r="E26" s="158" t="s">
        <v>503</v>
      </c>
      <c r="G26" s="195" t="s">
        <v>844</v>
      </c>
      <c r="I26" s="339">
        <f>Input!I73*Input!$I$70+Input!I74*Input!$I$71</f>
        <v>1867.8524040706066</v>
      </c>
    </row>
    <row r="27" spans="2:43" s="158" customFormat="1">
      <c r="E27" s="158" t="s">
        <v>500</v>
      </c>
      <c r="G27" s="195" t="s">
        <v>844</v>
      </c>
      <c r="I27" s="339">
        <f>Input!I76*I17 + Input!I77*I18</f>
        <v>6608.1484301111032</v>
      </c>
    </row>
    <row r="28" spans="2:43" s="158" customFormat="1">
      <c r="E28" s="158" t="s">
        <v>501</v>
      </c>
      <c r="G28" s="195" t="s">
        <v>49</v>
      </c>
      <c r="I28" s="340">
        <f>I26 / I27</f>
        <v>0.28265896624831144</v>
      </c>
    </row>
    <row r="29" spans="2:43" s="158" customFormat="1"/>
    <row r="30" spans="2:43" s="11" customFormat="1" ht="15" customHeight="1">
      <c r="B30" s="15" t="s">
        <v>89</v>
      </c>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row>
    <row r="31" spans="2:43" s="11" customFormat="1" ht="15" customHeight="1">
      <c r="AE31" s="158"/>
      <c r="AF31" s="158"/>
    </row>
    <row r="32" spans="2:43" s="11" customFormat="1" ht="15" customHeight="1">
      <c r="C32" s="17" t="s">
        <v>152</v>
      </c>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row>
    <row r="33" spans="3:44" s="11" customFormat="1" ht="15" customHeight="1">
      <c r="C33" s="171" t="s">
        <v>845</v>
      </c>
      <c r="D33" s="171"/>
      <c r="E33" s="171"/>
      <c r="F33" s="171"/>
      <c r="G33" s="171"/>
      <c r="H33" s="171"/>
      <c r="I33" s="171"/>
      <c r="J33" s="171"/>
      <c r="K33" s="171"/>
      <c r="L33" s="171"/>
      <c r="M33" s="171"/>
      <c r="N33" s="171"/>
      <c r="O33" s="171"/>
      <c r="P33" s="171"/>
      <c r="Q33" s="171"/>
      <c r="R33" s="171"/>
      <c r="S33" s="171"/>
      <c r="T33" s="171"/>
      <c r="U33" s="171"/>
      <c r="V33" s="171"/>
      <c r="W33" s="171"/>
      <c r="X33" s="171"/>
      <c r="Y33" s="171"/>
      <c r="Z33" s="171"/>
      <c r="AA33" s="171"/>
      <c r="AB33" s="171"/>
      <c r="AC33" s="171"/>
      <c r="AD33" s="171"/>
      <c r="AE33" s="171"/>
      <c r="AF33" s="171"/>
      <c r="AG33" s="171"/>
      <c r="AH33" s="171"/>
      <c r="AI33" s="171"/>
      <c r="AJ33" s="171"/>
      <c r="AK33" s="171"/>
      <c r="AL33" s="171"/>
      <c r="AM33" s="171"/>
      <c r="AN33" s="171"/>
      <c r="AO33" s="171"/>
      <c r="AP33" s="171"/>
      <c r="AQ33" s="171"/>
    </row>
    <row r="34" spans="3:44" s="158" customFormat="1" ht="15" customHeight="1"/>
    <row r="35" spans="3:44" s="158" customFormat="1" ht="15" customHeight="1">
      <c r="D35" s="198" t="s">
        <v>846</v>
      </c>
      <c r="E35" s="198"/>
      <c r="F35" s="198"/>
      <c r="G35" s="198"/>
      <c r="H35" s="198"/>
      <c r="I35" s="198"/>
      <c r="J35" s="198"/>
      <c r="K35" s="198"/>
      <c r="L35" s="198"/>
      <c r="M35" s="198"/>
      <c r="N35" s="198"/>
      <c r="O35" s="198"/>
      <c r="P35" s="198"/>
      <c r="Q35" s="198"/>
      <c r="R35" s="198"/>
      <c r="S35" s="198"/>
      <c r="T35" s="198"/>
      <c r="U35" s="198"/>
      <c r="V35" s="198"/>
      <c r="W35" s="198"/>
      <c r="X35" s="198"/>
      <c r="Y35" s="198"/>
      <c r="Z35" s="198"/>
      <c r="AA35" s="198"/>
      <c r="AB35" s="198"/>
      <c r="AC35" s="198"/>
      <c r="AD35" s="198"/>
      <c r="AE35" s="198"/>
      <c r="AF35" s="198"/>
      <c r="AG35" s="198"/>
      <c r="AH35" s="198"/>
      <c r="AI35" s="198"/>
      <c r="AJ35" s="208"/>
      <c r="AK35" s="208"/>
      <c r="AL35" s="208"/>
      <c r="AM35" s="208"/>
      <c r="AN35" s="208"/>
      <c r="AO35" s="208"/>
      <c r="AP35" s="208"/>
      <c r="AQ35" s="208"/>
    </row>
    <row r="36" spans="3:44" s="158" customFormat="1" ht="15" customHeight="1"/>
    <row r="37" spans="3:44" s="11" customFormat="1" ht="15" customHeight="1">
      <c r="E37" s="158" t="s">
        <v>847</v>
      </c>
      <c r="G37" s="158" t="s">
        <v>844</v>
      </c>
      <c r="AE37" s="158"/>
      <c r="AF37" s="158"/>
      <c r="AJ37" s="149">
        <f>Totex!AJ90</f>
        <v>231.2216077937116</v>
      </c>
      <c r="AK37" s="149">
        <f>Totex!AK90</f>
        <v>252.77504164187269</v>
      </c>
      <c r="AL37" s="149">
        <f>Totex!AL90</f>
        <v>246.51489310790544</v>
      </c>
      <c r="AM37" s="149">
        <f>Totex!AM90</f>
        <v>238.44905957376415</v>
      </c>
      <c r="AN37" s="149">
        <f>Totex!AN90</f>
        <v>231.20022918347053</v>
      </c>
      <c r="AO37" s="149">
        <f>Totex!AO90</f>
        <v>224.06138369795406</v>
      </c>
      <c r="AP37" s="149">
        <f>Totex!AP90</f>
        <v>224.70436881726494</v>
      </c>
      <c r="AQ37" s="149">
        <f>Totex!AQ90</f>
        <v>218.92582025466305</v>
      </c>
    </row>
    <row r="38" spans="3:44" s="11" customFormat="1" ht="15" customHeight="1">
      <c r="E38" s="158" t="s">
        <v>848</v>
      </c>
      <c r="G38" s="158" t="s">
        <v>844</v>
      </c>
      <c r="AE38" s="158"/>
      <c r="AF38" s="158"/>
      <c r="AJ38" s="149">
        <f>-Totex!AJ46</f>
        <v>-231.2216077937116</v>
      </c>
      <c r="AK38" s="149">
        <f>-Totex!AK46</f>
        <v>-252.77504164187269</v>
      </c>
      <c r="AL38" s="149">
        <f>-Totex!AL46</f>
        <v>-246.51489310790544</v>
      </c>
      <c r="AM38" s="149">
        <f>-Totex!AM46</f>
        <v>-238.44905957376415</v>
      </c>
      <c r="AN38" s="149">
        <f>-Totex!AN46</f>
        <v>-231.20022918347053</v>
      </c>
      <c r="AO38" s="149">
        <f>-Totex!AO46</f>
        <v>-224.06138369795406</v>
      </c>
      <c r="AP38" s="149">
        <f>-Totex!AP46</f>
        <v>-224.70436881726494</v>
      </c>
      <c r="AQ38" s="149">
        <f>-Totex!AQ46</f>
        <v>-218.92582025466305</v>
      </c>
    </row>
    <row r="39" spans="3:44" s="11" customFormat="1" ht="15" customHeight="1">
      <c r="E39" s="158" t="s">
        <v>849</v>
      </c>
      <c r="G39" s="158" t="s">
        <v>844</v>
      </c>
      <c r="AE39" s="158"/>
      <c r="AF39" s="158"/>
      <c r="AJ39" s="168">
        <f t="shared" ref="AJ39:AQ39" si="0">SUM(AJ37:AJ38)</f>
        <v>0</v>
      </c>
      <c r="AK39" s="168">
        <f t="shared" si="0"/>
        <v>0</v>
      </c>
      <c r="AL39" s="168">
        <f t="shared" si="0"/>
        <v>0</v>
      </c>
      <c r="AM39" s="168">
        <f t="shared" si="0"/>
        <v>0</v>
      </c>
      <c r="AN39" s="168">
        <f t="shared" si="0"/>
        <v>0</v>
      </c>
      <c r="AO39" s="168">
        <f t="shared" si="0"/>
        <v>0</v>
      </c>
      <c r="AP39" s="168">
        <f t="shared" si="0"/>
        <v>0</v>
      </c>
      <c r="AQ39" s="168">
        <f t="shared" si="0"/>
        <v>0</v>
      </c>
    </row>
    <row r="40" spans="3:44" s="11" customFormat="1" ht="15" customHeight="1">
      <c r="AE40" s="158"/>
      <c r="AF40" s="158"/>
      <c r="AJ40" s="147"/>
      <c r="AK40" s="147"/>
      <c r="AL40" s="147"/>
      <c r="AM40" s="147"/>
      <c r="AN40" s="147"/>
      <c r="AO40" s="147"/>
      <c r="AP40" s="147"/>
      <c r="AQ40" s="147"/>
      <c r="AR40" s="12"/>
    </row>
    <row r="41" spans="3:44" s="11" customFormat="1" ht="15" customHeight="1">
      <c r="E41" s="158" t="s">
        <v>544</v>
      </c>
      <c r="G41" s="11" t="s">
        <v>49</v>
      </c>
      <c r="AE41" s="158"/>
      <c r="AF41" s="158"/>
      <c r="AJ41" s="243">
        <f>(1 - $I$13)</f>
        <v>1</v>
      </c>
      <c r="AK41" s="243">
        <f t="shared" ref="AK41:AQ41" si="1">(1 - $I$13)</f>
        <v>1</v>
      </c>
      <c r="AL41" s="243">
        <f t="shared" si="1"/>
        <v>1</v>
      </c>
      <c r="AM41" s="243">
        <f t="shared" si="1"/>
        <v>1</v>
      </c>
      <c r="AN41" s="243">
        <f t="shared" si="1"/>
        <v>1</v>
      </c>
      <c r="AO41" s="243">
        <f t="shared" si="1"/>
        <v>1</v>
      </c>
      <c r="AP41" s="243">
        <f t="shared" si="1"/>
        <v>1</v>
      </c>
      <c r="AQ41" s="243">
        <f t="shared" si="1"/>
        <v>1</v>
      </c>
    </row>
    <row r="42" spans="3:44" s="11" customFormat="1" ht="15" customHeight="1">
      <c r="AE42" s="158"/>
      <c r="AF42" s="158"/>
      <c r="AJ42" s="149"/>
      <c r="AK42" s="149"/>
      <c r="AL42" s="149"/>
      <c r="AM42" s="149"/>
      <c r="AN42" s="149"/>
      <c r="AO42" s="149"/>
      <c r="AP42" s="149"/>
      <c r="AQ42" s="149"/>
    </row>
    <row r="43" spans="3:44" s="11" customFormat="1" ht="15" customHeight="1">
      <c r="E43" s="158" t="s">
        <v>854</v>
      </c>
      <c r="G43" s="158" t="s">
        <v>844</v>
      </c>
      <c r="AE43" s="158"/>
      <c r="AF43" s="158"/>
      <c r="AJ43" s="32">
        <f>AJ$41 * AJ39</f>
        <v>0</v>
      </c>
      <c r="AK43" s="32">
        <f>AK$41 * AK39</f>
        <v>0</v>
      </c>
      <c r="AL43" s="32">
        <f t="shared" ref="AL43:AQ43" si="2">AL$41 * AL39</f>
        <v>0</v>
      </c>
      <c r="AM43" s="32">
        <f t="shared" si="2"/>
        <v>0</v>
      </c>
      <c r="AN43" s="32">
        <f t="shared" si="2"/>
        <v>0</v>
      </c>
      <c r="AO43" s="32">
        <f t="shared" si="2"/>
        <v>0</v>
      </c>
      <c r="AP43" s="32">
        <f t="shared" si="2"/>
        <v>0</v>
      </c>
      <c r="AQ43" s="32">
        <f t="shared" si="2"/>
        <v>0</v>
      </c>
    </row>
    <row r="44" spans="3:44" s="11" customFormat="1" ht="15" customHeight="1">
      <c r="AE44" s="158"/>
      <c r="AF44" s="158"/>
      <c r="AJ44" s="149"/>
      <c r="AK44" s="149"/>
      <c r="AL44" s="149"/>
      <c r="AM44" s="149"/>
      <c r="AN44" s="149"/>
      <c r="AO44" s="149"/>
      <c r="AP44" s="149"/>
      <c r="AQ44" s="149"/>
    </row>
    <row r="45" spans="3:44" s="11" customFormat="1" ht="15" customHeight="1">
      <c r="C45" s="17" t="s">
        <v>98</v>
      </c>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332"/>
      <c r="AK45" s="332"/>
      <c r="AL45" s="332"/>
      <c r="AM45" s="332"/>
      <c r="AN45" s="332"/>
      <c r="AO45" s="332"/>
      <c r="AP45" s="332"/>
      <c r="AQ45" s="332"/>
    </row>
    <row r="46" spans="3:44" s="11" customFormat="1" ht="15" customHeight="1">
      <c r="C46" s="171" t="s">
        <v>198</v>
      </c>
      <c r="D46" s="171"/>
      <c r="E46" s="171"/>
      <c r="F46" s="171"/>
      <c r="G46" s="171"/>
      <c r="H46" s="171"/>
      <c r="I46" s="171"/>
      <c r="J46" s="171"/>
      <c r="K46" s="171"/>
      <c r="L46" s="171"/>
      <c r="M46" s="171"/>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99"/>
      <c r="AK46" s="199"/>
      <c r="AL46" s="199"/>
      <c r="AM46" s="199"/>
      <c r="AN46" s="199"/>
      <c r="AO46" s="199"/>
      <c r="AP46" s="199"/>
      <c r="AQ46" s="199"/>
    </row>
    <row r="47" spans="3:44" s="158" customFormat="1" ht="15" customHeight="1">
      <c r="AJ47" s="149"/>
      <c r="AK47" s="149"/>
      <c r="AL47" s="149"/>
      <c r="AM47" s="149"/>
      <c r="AN47" s="149"/>
      <c r="AO47" s="149"/>
      <c r="AP47" s="149"/>
      <c r="AQ47" s="149"/>
    </row>
    <row r="48" spans="3:44" s="158" customFormat="1" ht="15" customHeight="1">
      <c r="D48" s="198" t="s">
        <v>668</v>
      </c>
      <c r="E48" s="198"/>
      <c r="F48" s="198"/>
      <c r="G48" s="198"/>
      <c r="H48" s="198"/>
      <c r="I48" s="198"/>
      <c r="J48" s="198"/>
      <c r="K48" s="198"/>
      <c r="L48" s="198"/>
      <c r="M48" s="198"/>
      <c r="N48" s="198"/>
      <c r="O48" s="198"/>
      <c r="P48" s="198"/>
      <c r="Q48" s="198"/>
      <c r="R48" s="198"/>
      <c r="S48" s="198"/>
      <c r="T48" s="198"/>
      <c r="U48" s="198"/>
      <c r="V48" s="198"/>
      <c r="W48" s="198"/>
      <c r="X48" s="198"/>
      <c r="Y48" s="198"/>
      <c r="Z48" s="198"/>
      <c r="AA48" s="198"/>
      <c r="AB48" s="198"/>
      <c r="AC48" s="198"/>
      <c r="AD48" s="198"/>
      <c r="AE48" s="198"/>
      <c r="AF48" s="198"/>
      <c r="AG48" s="198"/>
      <c r="AH48" s="198"/>
      <c r="AI48" s="198"/>
      <c r="AJ48" s="208"/>
      <c r="AK48" s="208"/>
      <c r="AL48" s="208"/>
      <c r="AM48" s="208"/>
      <c r="AN48" s="208"/>
      <c r="AO48" s="208"/>
      <c r="AP48" s="208"/>
      <c r="AQ48" s="208"/>
    </row>
    <row r="49" spans="2:43" s="158" customFormat="1" ht="15" customHeight="1">
      <c r="AJ49" s="149"/>
      <c r="AK49" s="149"/>
      <c r="AL49" s="149"/>
      <c r="AM49" s="149"/>
      <c r="AN49" s="149"/>
      <c r="AO49" s="149"/>
      <c r="AP49" s="149"/>
      <c r="AQ49" s="149"/>
    </row>
    <row r="50" spans="2:43" s="11" customFormat="1" ht="15" customHeight="1">
      <c r="E50" s="158" t="s">
        <v>149</v>
      </c>
      <c r="G50" s="158" t="s">
        <v>844</v>
      </c>
      <c r="AE50" s="158"/>
      <c r="AF50" s="158"/>
      <c r="AJ50" s="149">
        <f>-AJ38</f>
        <v>231.2216077937116</v>
      </c>
      <c r="AK50" s="149">
        <f t="shared" ref="AK50:AQ50" si="3">-AK38</f>
        <v>252.77504164187269</v>
      </c>
      <c r="AL50" s="149">
        <f t="shared" si="3"/>
        <v>246.51489310790544</v>
      </c>
      <c r="AM50" s="149">
        <f t="shared" si="3"/>
        <v>238.44905957376415</v>
      </c>
      <c r="AN50" s="149">
        <f t="shared" si="3"/>
        <v>231.20022918347053</v>
      </c>
      <c r="AO50" s="149">
        <f t="shared" si="3"/>
        <v>224.06138369795406</v>
      </c>
      <c r="AP50" s="149">
        <f t="shared" si="3"/>
        <v>224.70436881726494</v>
      </c>
      <c r="AQ50" s="149">
        <f t="shared" si="3"/>
        <v>218.92582025466305</v>
      </c>
    </row>
    <row r="51" spans="2:43" s="11" customFormat="1" ht="15" customHeight="1">
      <c r="E51" s="158" t="s">
        <v>854</v>
      </c>
      <c r="G51" s="158" t="s">
        <v>844</v>
      </c>
      <c r="AE51" s="158"/>
      <c r="AF51" s="158"/>
      <c r="AJ51" s="149">
        <f t="shared" ref="AJ51:AQ51" si="4">AJ43</f>
        <v>0</v>
      </c>
      <c r="AK51" s="149">
        <f t="shared" si="4"/>
        <v>0</v>
      </c>
      <c r="AL51" s="149">
        <f t="shared" si="4"/>
        <v>0</v>
      </c>
      <c r="AM51" s="149">
        <f t="shared" si="4"/>
        <v>0</v>
      </c>
      <c r="AN51" s="149">
        <f t="shared" si="4"/>
        <v>0</v>
      </c>
      <c r="AO51" s="149">
        <f t="shared" si="4"/>
        <v>0</v>
      </c>
      <c r="AP51" s="149">
        <f t="shared" si="4"/>
        <v>0</v>
      </c>
      <c r="AQ51" s="149">
        <f t="shared" si="4"/>
        <v>0</v>
      </c>
    </row>
    <row r="52" spans="2:43" s="11" customFormat="1" ht="15" customHeight="1">
      <c r="E52" s="158" t="s">
        <v>98</v>
      </c>
      <c r="G52" s="158" t="s">
        <v>844</v>
      </c>
      <c r="AE52" s="158"/>
      <c r="AF52" s="158"/>
      <c r="AJ52" s="168">
        <f t="shared" ref="AJ52:AQ52" si="5">SUM(AJ50:AJ51)</f>
        <v>231.2216077937116</v>
      </c>
      <c r="AK52" s="168">
        <f t="shared" si="5"/>
        <v>252.77504164187269</v>
      </c>
      <c r="AL52" s="168">
        <f t="shared" si="5"/>
        <v>246.51489310790544</v>
      </c>
      <c r="AM52" s="168">
        <f t="shared" si="5"/>
        <v>238.44905957376415</v>
      </c>
      <c r="AN52" s="168">
        <f t="shared" si="5"/>
        <v>231.20022918347053</v>
      </c>
      <c r="AO52" s="168">
        <f t="shared" si="5"/>
        <v>224.06138369795406</v>
      </c>
      <c r="AP52" s="168">
        <f t="shared" si="5"/>
        <v>224.70436881726494</v>
      </c>
      <c r="AQ52" s="168">
        <f t="shared" si="5"/>
        <v>218.92582025466305</v>
      </c>
    </row>
    <row r="53" spans="2:43" s="11" customFormat="1" ht="15" customHeight="1">
      <c r="AE53" s="158"/>
      <c r="AF53" s="158"/>
      <c r="AJ53" s="163"/>
      <c r="AK53" s="163"/>
      <c r="AL53" s="163"/>
      <c r="AM53" s="163"/>
      <c r="AN53" s="163"/>
      <c r="AO53" s="163"/>
      <c r="AP53" s="163"/>
      <c r="AQ53" s="163"/>
    </row>
    <row r="54" spans="2:43" s="11" customFormat="1" ht="15" customHeight="1">
      <c r="B54" s="15" t="s">
        <v>88</v>
      </c>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334"/>
      <c r="AK54" s="334"/>
      <c r="AL54" s="334"/>
      <c r="AM54" s="334"/>
      <c r="AN54" s="334"/>
      <c r="AO54" s="334"/>
      <c r="AP54" s="334"/>
      <c r="AQ54" s="334"/>
    </row>
    <row r="55" spans="2:43" s="158" customFormat="1" ht="15" customHeight="1">
      <c r="B55" s="171" t="s">
        <v>853</v>
      </c>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99"/>
      <c r="AK55" s="199"/>
      <c r="AL55" s="199"/>
      <c r="AM55" s="199"/>
      <c r="AN55" s="199"/>
      <c r="AO55" s="199"/>
      <c r="AP55" s="199"/>
      <c r="AQ55" s="199"/>
    </row>
    <row r="56" spans="2:43" s="158" customFormat="1" ht="15" customHeight="1">
      <c r="B56" s="174" t="s">
        <v>194</v>
      </c>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99"/>
      <c r="AK56" s="199"/>
      <c r="AL56" s="199"/>
      <c r="AM56" s="199"/>
      <c r="AN56" s="199"/>
      <c r="AO56" s="199"/>
      <c r="AP56" s="199"/>
      <c r="AQ56" s="199"/>
    </row>
    <row r="57" spans="2:43" s="158" customFormat="1" ht="15" customHeight="1">
      <c r="B57" s="174" t="s">
        <v>196</v>
      </c>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99"/>
      <c r="AK57" s="199"/>
      <c r="AL57" s="199"/>
      <c r="AM57" s="199"/>
      <c r="AN57" s="199"/>
      <c r="AO57" s="199"/>
      <c r="AP57" s="199"/>
      <c r="AQ57" s="199"/>
    </row>
    <row r="58" spans="2:43" s="158" customFormat="1" ht="15" customHeight="1">
      <c r="AJ58" s="163"/>
      <c r="AK58" s="163"/>
      <c r="AL58" s="163"/>
      <c r="AM58" s="163"/>
      <c r="AN58" s="163"/>
      <c r="AO58" s="163"/>
      <c r="AP58" s="163"/>
      <c r="AQ58" s="163"/>
    </row>
    <row r="59" spans="2:43" s="158" customFormat="1" ht="15" customHeight="1">
      <c r="C59" s="17" t="s">
        <v>550</v>
      </c>
      <c r="D59" s="17"/>
      <c r="E59" s="17"/>
      <c r="F59" s="17"/>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332"/>
      <c r="AK59" s="332"/>
      <c r="AL59" s="332"/>
      <c r="AM59" s="332"/>
      <c r="AN59" s="332"/>
      <c r="AO59" s="332"/>
      <c r="AP59" s="332"/>
      <c r="AQ59" s="332"/>
    </row>
    <row r="60" spans="2:43" s="158" customFormat="1" ht="15" customHeight="1">
      <c r="AJ60" s="163"/>
      <c r="AK60" s="163"/>
      <c r="AL60" s="163"/>
      <c r="AM60" s="163"/>
      <c r="AN60" s="163"/>
      <c r="AO60" s="163"/>
      <c r="AP60" s="163"/>
      <c r="AQ60" s="163"/>
    </row>
    <row r="61" spans="2:43" s="158" customFormat="1" ht="15" customHeight="1">
      <c r="D61" s="198" t="s">
        <v>668</v>
      </c>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208"/>
      <c r="AK61" s="208"/>
      <c r="AL61" s="208"/>
      <c r="AM61" s="208"/>
      <c r="AN61" s="208"/>
      <c r="AO61" s="208"/>
      <c r="AP61" s="208"/>
      <c r="AQ61" s="208"/>
    </row>
    <row r="62" spans="2:43" s="158" customFormat="1" ht="15" customHeight="1">
      <c r="AJ62" s="149"/>
      <c r="AK62" s="149"/>
      <c r="AL62" s="149"/>
      <c r="AM62" s="149"/>
      <c r="AN62" s="149"/>
      <c r="AO62" s="149"/>
      <c r="AP62" s="149"/>
      <c r="AQ62" s="149"/>
    </row>
    <row r="63" spans="2:43" s="11" customFormat="1" ht="15" customHeight="1">
      <c r="E63" s="158" t="s">
        <v>98</v>
      </c>
      <c r="G63" s="158" t="s">
        <v>844</v>
      </c>
      <c r="AE63" s="158"/>
      <c r="AF63" s="158"/>
      <c r="AJ63" s="149">
        <f t="shared" ref="AJ63:AQ63" si="6">AJ52</f>
        <v>231.2216077937116</v>
      </c>
      <c r="AK63" s="149">
        <f t="shared" si="6"/>
        <v>252.77504164187269</v>
      </c>
      <c r="AL63" s="149">
        <f t="shared" si="6"/>
        <v>246.51489310790544</v>
      </c>
      <c r="AM63" s="149">
        <f t="shared" si="6"/>
        <v>238.44905957376415</v>
      </c>
      <c r="AN63" s="149">
        <f t="shared" si="6"/>
        <v>231.20022918347053</v>
      </c>
      <c r="AO63" s="149">
        <f t="shared" si="6"/>
        <v>224.06138369795406</v>
      </c>
      <c r="AP63" s="149">
        <f t="shared" si="6"/>
        <v>224.70436881726494</v>
      </c>
      <c r="AQ63" s="149">
        <f t="shared" si="6"/>
        <v>218.92582025466305</v>
      </c>
    </row>
    <row r="64" spans="2:43" s="11" customFormat="1" ht="15" customHeight="1">
      <c r="E64" s="158" t="s">
        <v>850</v>
      </c>
      <c r="G64" s="11" t="s">
        <v>49</v>
      </c>
      <c r="AE64" s="158"/>
      <c r="AF64" s="158"/>
      <c r="AJ64" s="243">
        <f>Input!AJ64</f>
        <v>0.68</v>
      </c>
      <c r="AK64" s="243">
        <f>Input!AK64</f>
        <v>0.68</v>
      </c>
      <c r="AL64" s="243">
        <f>Input!AL64</f>
        <v>0.68</v>
      </c>
      <c r="AM64" s="243">
        <f>Input!AM64</f>
        <v>0.68</v>
      </c>
      <c r="AN64" s="243">
        <f>Input!AN64</f>
        <v>0.68</v>
      </c>
      <c r="AO64" s="243">
        <f>Input!AO64</f>
        <v>0.68</v>
      </c>
      <c r="AP64" s="243">
        <f>Input!AP64</f>
        <v>0.68</v>
      </c>
      <c r="AQ64" s="243">
        <f>Input!AQ64</f>
        <v>0.68</v>
      </c>
    </row>
    <row r="65" spans="2:44" s="158" customFormat="1" ht="15" customHeight="1">
      <c r="E65" s="158" t="s">
        <v>851</v>
      </c>
      <c r="G65" s="158" t="s">
        <v>844</v>
      </c>
      <c r="AJ65" s="168">
        <f t="shared" ref="AJ65:AQ65" si="7">AJ63-AJ66</f>
        <v>73.990914493987702</v>
      </c>
      <c r="AK65" s="168">
        <f t="shared" si="7"/>
        <v>80.888013325399243</v>
      </c>
      <c r="AL65" s="168">
        <f t="shared" si="7"/>
        <v>78.884765794529727</v>
      </c>
      <c r="AM65" s="168">
        <f t="shared" si="7"/>
        <v>76.303699063604512</v>
      </c>
      <c r="AN65" s="168">
        <f t="shared" si="7"/>
        <v>73.984073338710544</v>
      </c>
      <c r="AO65" s="168">
        <f t="shared" si="7"/>
        <v>71.699642783345297</v>
      </c>
      <c r="AP65" s="168">
        <f t="shared" si="7"/>
        <v>71.905398021524775</v>
      </c>
      <c r="AQ65" s="168">
        <f t="shared" si="7"/>
        <v>70.056262481492155</v>
      </c>
    </row>
    <row r="66" spans="2:44" s="158" customFormat="1" ht="15" customHeight="1">
      <c r="E66" s="158" t="s">
        <v>852</v>
      </c>
      <c r="G66" s="158" t="s">
        <v>844</v>
      </c>
      <c r="AJ66" s="149">
        <f>AJ63 * AJ64</f>
        <v>157.2306932997239</v>
      </c>
      <c r="AK66" s="149">
        <f t="shared" ref="AK66:AQ66" si="8">AK63 * AK64</f>
        <v>171.88702831647345</v>
      </c>
      <c r="AL66" s="149">
        <f t="shared" si="8"/>
        <v>167.63012731337571</v>
      </c>
      <c r="AM66" s="149">
        <f t="shared" si="8"/>
        <v>162.14536051015963</v>
      </c>
      <c r="AN66" s="149">
        <f t="shared" si="8"/>
        <v>157.21615584475998</v>
      </c>
      <c r="AO66" s="149">
        <f t="shared" si="8"/>
        <v>152.36174091460876</v>
      </c>
      <c r="AP66" s="149">
        <f t="shared" si="8"/>
        <v>152.79897079574016</v>
      </c>
      <c r="AQ66" s="149">
        <f t="shared" si="8"/>
        <v>148.8695577731709</v>
      </c>
    </row>
    <row r="67" spans="2:44" s="11" customFormat="1" ht="15" customHeight="1">
      <c r="AE67" s="158"/>
      <c r="AF67" s="158"/>
      <c r="AJ67" s="163"/>
      <c r="AK67" s="163"/>
      <c r="AL67" s="163"/>
      <c r="AM67" s="163"/>
      <c r="AN67" s="163"/>
      <c r="AO67" s="163"/>
      <c r="AP67" s="163"/>
      <c r="AQ67" s="163"/>
    </row>
    <row r="68" spans="2:44" s="158" customFormat="1" ht="15" customHeight="1">
      <c r="C68" s="17" t="s">
        <v>69</v>
      </c>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332"/>
      <c r="AK68" s="332"/>
      <c r="AL68" s="332"/>
      <c r="AM68" s="332"/>
      <c r="AN68" s="332"/>
      <c r="AO68" s="332"/>
      <c r="AP68" s="332"/>
      <c r="AQ68" s="332"/>
    </row>
    <row r="69" spans="2:44" s="158" customFormat="1" ht="15" customHeight="1">
      <c r="AJ69" s="163"/>
      <c r="AK69" s="163"/>
      <c r="AL69" s="163"/>
      <c r="AM69" s="163"/>
      <c r="AN69" s="163"/>
      <c r="AO69" s="163"/>
      <c r="AP69" s="163"/>
      <c r="AQ69" s="163"/>
    </row>
    <row r="70" spans="2:44" s="11" customFormat="1" ht="15" customHeight="1">
      <c r="E70" s="158" t="s">
        <v>100</v>
      </c>
      <c r="G70" s="158" t="s">
        <v>844</v>
      </c>
      <c r="AE70" s="158"/>
      <c r="AF70" s="158"/>
      <c r="AJ70" s="32">
        <f>AJ65</f>
        <v>73.990914493987702</v>
      </c>
      <c r="AK70" s="32">
        <f t="shared" ref="AK70:AQ70" si="9">AK65</f>
        <v>80.888013325399243</v>
      </c>
      <c r="AL70" s="32">
        <f t="shared" si="9"/>
        <v>78.884765794529727</v>
      </c>
      <c r="AM70" s="32">
        <f t="shared" si="9"/>
        <v>76.303699063604512</v>
      </c>
      <c r="AN70" s="32">
        <f t="shared" si="9"/>
        <v>73.984073338710544</v>
      </c>
      <c r="AO70" s="32">
        <f t="shared" si="9"/>
        <v>71.699642783345297</v>
      </c>
      <c r="AP70" s="32">
        <f t="shared" si="9"/>
        <v>71.905398021524775</v>
      </c>
      <c r="AQ70" s="32">
        <f t="shared" si="9"/>
        <v>70.056262481492155</v>
      </c>
    </row>
    <row r="71" spans="2:44" s="11" customFormat="1" ht="15" customHeight="1">
      <c r="AE71" s="158"/>
      <c r="AF71" s="158"/>
      <c r="AJ71" s="163"/>
      <c r="AK71" s="163"/>
      <c r="AL71" s="163"/>
      <c r="AM71" s="163"/>
      <c r="AN71" s="163"/>
      <c r="AO71" s="163"/>
      <c r="AP71" s="163"/>
      <c r="AQ71" s="163"/>
    </row>
    <row r="72" spans="2:44" s="11" customFormat="1" ht="15" customHeight="1">
      <c r="E72" s="158" t="s">
        <v>431</v>
      </c>
      <c r="G72" s="158" t="s">
        <v>844</v>
      </c>
      <c r="AE72" s="158"/>
      <c r="AF72" s="158"/>
      <c r="AJ72" s="32">
        <f>AJ66</f>
        <v>157.2306932997239</v>
      </c>
      <c r="AK72" s="32">
        <f t="shared" ref="AK72:AQ72" si="10">AK66</f>
        <v>171.88702831647345</v>
      </c>
      <c r="AL72" s="32">
        <f t="shared" si="10"/>
        <v>167.63012731337571</v>
      </c>
      <c r="AM72" s="32">
        <f t="shared" si="10"/>
        <v>162.14536051015963</v>
      </c>
      <c r="AN72" s="32">
        <f t="shared" si="10"/>
        <v>157.21615584475998</v>
      </c>
      <c r="AO72" s="32">
        <f t="shared" si="10"/>
        <v>152.36174091460876</v>
      </c>
      <c r="AP72" s="32">
        <f t="shared" si="10"/>
        <v>152.79897079574016</v>
      </c>
      <c r="AQ72" s="32">
        <f t="shared" si="10"/>
        <v>148.8695577731709</v>
      </c>
    </row>
    <row r="73" spans="2:44" s="3" customFormat="1">
      <c r="AE73" s="157"/>
      <c r="AF73" s="157"/>
      <c r="AJ73" s="217"/>
      <c r="AK73" s="217"/>
      <c r="AL73" s="217"/>
      <c r="AM73" s="217"/>
      <c r="AN73" s="217"/>
      <c r="AO73" s="217"/>
      <c r="AP73" s="217"/>
      <c r="AQ73" s="217"/>
    </row>
    <row r="74" spans="2:44" s="3" customFormat="1" ht="15" customHeight="1">
      <c r="B74" s="161" t="s">
        <v>23</v>
      </c>
      <c r="C74" s="161"/>
      <c r="D74" s="161"/>
      <c r="E74" s="161"/>
      <c r="F74" s="161"/>
      <c r="G74" s="161"/>
      <c r="H74" s="161"/>
      <c r="I74" s="161"/>
      <c r="J74" s="161"/>
      <c r="K74" s="161"/>
      <c r="L74" s="161"/>
      <c r="M74" s="161"/>
      <c r="N74" s="161"/>
      <c r="O74" s="161"/>
      <c r="P74" s="161"/>
      <c r="Q74" s="161"/>
      <c r="R74" s="161"/>
      <c r="S74" s="161"/>
      <c r="T74" s="161"/>
      <c r="U74" s="161"/>
      <c r="V74" s="161"/>
      <c r="W74" s="161"/>
      <c r="X74" s="161"/>
      <c r="Y74" s="161"/>
      <c r="Z74" s="161"/>
      <c r="AA74" s="161"/>
      <c r="AB74" s="161"/>
      <c r="AC74" s="161"/>
      <c r="AD74" s="161"/>
      <c r="AE74" s="161"/>
      <c r="AF74" s="161"/>
      <c r="AG74" s="161"/>
      <c r="AH74" s="161"/>
      <c r="AI74" s="161"/>
      <c r="AJ74" s="343"/>
      <c r="AK74" s="343"/>
      <c r="AL74" s="343"/>
      <c r="AM74" s="343"/>
      <c r="AN74" s="343"/>
      <c r="AO74" s="343"/>
      <c r="AP74" s="343"/>
      <c r="AQ74" s="343"/>
    </row>
    <row r="75" spans="2:44" s="3" customFormat="1" ht="15" customHeight="1">
      <c r="B75" s="166" t="s">
        <v>417</v>
      </c>
      <c r="C75" s="166"/>
      <c r="D75" s="166"/>
      <c r="E75" s="166"/>
      <c r="F75" s="166"/>
      <c r="G75" s="166"/>
      <c r="H75" s="166"/>
      <c r="I75" s="166"/>
      <c r="J75" s="166"/>
      <c r="K75" s="166"/>
      <c r="L75" s="166"/>
      <c r="M75" s="166"/>
      <c r="N75" s="166"/>
      <c r="O75" s="166"/>
      <c r="P75" s="166"/>
      <c r="Q75" s="166"/>
      <c r="R75" s="166"/>
      <c r="S75" s="166"/>
      <c r="T75" s="166"/>
      <c r="U75" s="166"/>
      <c r="V75" s="166"/>
      <c r="W75" s="166"/>
      <c r="X75" s="166"/>
      <c r="Y75" s="166"/>
      <c r="Z75" s="166"/>
      <c r="AA75" s="166"/>
      <c r="AB75" s="166"/>
      <c r="AC75" s="166"/>
      <c r="AD75" s="166"/>
      <c r="AE75" s="166"/>
      <c r="AF75" s="166"/>
      <c r="AG75" s="166"/>
      <c r="AH75" s="166"/>
      <c r="AI75" s="166"/>
      <c r="AJ75" s="197"/>
      <c r="AK75" s="197"/>
      <c r="AL75" s="197"/>
      <c r="AM75" s="197"/>
      <c r="AN75" s="197"/>
      <c r="AO75" s="197"/>
      <c r="AP75" s="197"/>
      <c r="AQ75" s="197"/>
    </row>
    <row r="76" spans="2:44" s="11" customFormat="1" ht="15" customHeight="1">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157"/>
      <c r="AF76" s="157"/>
      <c r="AG76" s="3"/>
      <c r="AH76" s="3"/>
      <c r="AI76" s="3"/>
      <c r="AJ76" s="157"/>
      <c r="AK76" s="157"/>
      <c r="AL76" s="157"/>
      <c r="AM76" s="157"/>
      <c r="AN76" s="157"/>
      <c r="AO76" s="157"/>
      <c r="AP76" s="157"/>
      <c r="AQ76" s="157"/>
      <c r="AR76" s="3"/>
    </row>
    <row r="77" spans="2:44" s="19" customFormat="1" ht="15" customHeight="1">
      <c r="E77" s="19" t="s">
        <v>23</v>
      </c>
      <c r="G77" s="195" t="s">
        <v>844</v>
      </c>
      <c r="I77" s="19">
        <f>I24*I28</f>
        <v>0</v>
      </c>
      <c r="J77" s="88"/>
      <c r="K77" s="88"/>
      <c r="L77" s="88"/>
      <c r="M77" s="88"/>
      <c r="N77" s="88"/>
      <c r="O77" s="88"/>
      <c r="P77" s="88"/>
      <c r="Q77" s="88"/>
      <c r="R77" s="88"/>
      <c r="S77" s="88"/>
      <c r="T77" s="88"/>
      <c r="U77" s="88"/>
      <c r="V77" s="88"/>
      <c r="W77" s="88"/>
      <c r="X77" s="88"/>
      <c r="AJ77" s="157"/>
      <c r="AK77" s="157"/>
      <c r="AL77" s="157"/>
      <c r="AM77" s="157"/>
      <c r="AN77" s="157"/>
      <c r="AO77" s="157"/>
      <c r="AP77" s="157"/>
      <c r="AQ77" s="157"/>
    </row>
    <row r="78" spans="2:44" s="158" customFormat="1" ht="15" customHeight="1">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157"/>
      <c r="AF78" s="157"/>
      <c r="AG78" s="3"/>
      <c r="AH78" s="3"/>
      <c r="AI78" s="3"/>
      <c r="AJ78" s="157"/>
      <c r="AK78" s="157"/>
      <c r="AL78" s="157"/>
      <c r="AM78" s="157"/>
      <c r="AN78" s="157"/>
      <c r="AO78" s="157"/>
      <c r="AP78" s="157"/>
      <c r="AQ78" s="157"/>
      <c r="AR78" s="3"/>
    </row>
    <row r="79" spans="2:44" s="19" customFormat="1" ht="15" customHeight="1">
      <c r="E79" s="19" t="s">
        <v>346</v>
      </c>
      <c r="G79" s="195" t="s">
        <v>844</v>
      </c>
      <c r="I79" s="90"/>
      <c r="J79" s="88"/>
      <c r="K79" s="88"/>
      <c r="L79" s="88"/>
      <c r="M79" s="88"/>
      <c r="N79" s="88"/>
      <c r="O79" s="88"/>
      <c r="P79" s="88"/>
      <c r="Q79" s="88"/>
      <c r="R79" s="88"/>
      <c r="S79" s="88"/>
      <c r="T79" s="88"/>
      <c r="U79" s="88"/>
      <c r="V79" s="88"/>
      <c r="W79" s="88"/>
      <c r="X79" s="88"/>
      <c r="AJ79" s="157">
        <f>Input!AJ464</f>
        <v>231.2216077937116</v>
      </c>
      <c r="AK79" s="157">
        <f>Input!AK464</f>
        <v>252.77504164187272</v>
      </c>
      <c r="AL79" s="157">
        <f>Input!AL464</f>
        <v>246.51489310790546</v>
      </c>
      <c r="AM79" s="157">
        <f>Input!AM464</f>
        <v>238.4490595737642</v>
      </c>
      <c r="AN79" s="157">
        <f>Input!AN464</f>
        <v>231.2002291834705</v>
      </c>
      <c r="AO79" s="157">
        <f>Input!AO464</f>
        <v>224.06138369795403</v>
      </c>
      <c r="AP79" s="157">
        <f>Input!AP464</f>
        <v>224.70436881726491</v>
      </c>
      <c r="AQ79" s="157">
        <f>Input!AQ464</f>
        <v>218.92582025466305</v>
      </c>
    </row>
    <row r="80" spans="2:44" s="19" customFormat="1" ht="15" customHeight="1">
      <c r="E80" s="19" t="s">
        <v>154</v>
      </c>
      <c r="G80" s="195" t="s">
        <v>844</v>
      </c>
      <c r="I80" s="3">
        <f>SUM($AJ79:$AQ79)</f>
        <v>1867.8524040706063</v>
      </c>
      <c r="J80" s="88"/>
      <c r="K80" s="88"/>
      <c r="L80" s="88"/>
      <c r="M80" s="88"/>
      <c r="N80" s="88"/>
      <c r="O80" s="88"/>
      <c r="P80" s="88"/>
      <c r="Q80" s="88"/>
      <c r="R80" s="88"/>
      <c r="S80" s="88"/>
      <c r="T80" s="88"/>
      <c r="U80" s="88"/>
      <c r="V80" s="88"/>
      <c r="W80" s="88"/>
      <c r="X80" s="88"/>
      <c r="AJ80" s="157"/>
      <c r="AK80" s="157"/>
      <c r="AL80" s="157"/>
      <c r="AM80" s="157"/>
      <c r="AN80" s="157"/>
      <c r="AO80" s="157"/>
      <c r="AP80" s="157"/>
      <c r="AQ80" s="157"/>
    </row>
    <row r="81" spans="2:43" s="19" customFormat="1" ht="15" customHeight="1">
      <c r="I81" s="90"/>
      <c r="J81" s="88"/>
      <c r="K81" s="88"/>
      <c r="L81" s="88"/>
      <c r="M81" s="88"/>
      <c r="N81" s="88"/>
      <c r="O81" s="88"/>
      <c r="P81" s="88"/>
      <c r="Q81" s="88"/>
      <c r="R81" s="88"/>
      <c r="S81" s="88"/>
      <c r="T81" s="88"/>
      <c r="U81" s="88"/>
      <c r="V81" s="88"/>
      <c r="W81" s="88"/>
      <c r="X81" s="88"/>
      <c r="AJ81" s="157"/>
      <c r="AK81" s="157"/>
      <c r="AL81" s="157"/>
      <c r="AM81" s="157"/>
      <c r="AN81" s="157"/>
      <c r="AO81" s="157"/>
      <c r="AP81" s="157"/>
      <c r="AQ81" s="157"/>
    </row>
    <row r="82" spans="2:43" s="11" customFormat="1" ht="15" customHeight="1">
      <c r="E82" s="158" t="s">
        <v>426</v>
      </c>
      <c r="G82" s="11" t="s">
        <v>49</v>
      </c>
      <c r="AE82" s="158"/>
      <c r="AF82" s="158"/>
      <c r="AJ82" s="244">
        <f t="shared" ref="AJ82:AQ82" si="11">AJ79 / $I80</f>
        <v>0.12379008496057338</v>
      </c>
      <c r="AK82" s="244">
        <f t="shared" si="11"/>
        <v>0.13532923751951742</v>
      </c>
      <c r="AL82" s="244">
        <f t="shared" si="11"/>
        <v>0.13197771546117676</v>
      </c>
      <c r="AM82" s="244">
        <f t="shared" si="11"/>
        <v>0.12765947622741108</v>
      </c>
      <c r="AN82" s="244">
        <f t="shared" si="11"/>
        <v>0.12377863940406447</v>
      </c>
      <c r="AO82" s="244">
        <f t="shared" si="11"/>
        <v>0.11995668566191718</v>
      </c>
      <c r="AP82" s="244">
        <f t="shared" si="11"/>
        <v>0.12030092331041103</v>
      </c>
      <c r="AQ82" s="244">
        <f t="shared" si="11"/>
        <v>0.11720723745492874</v>
      </c>
    </row>
    <row r="83" spans="2:43" s="11" customFormat="1" ht="15" customHeight="1">
      <c r="AE83" s="158"/>
      <c r="AF83" s="158"/>
      <c r="AJ83" s="149"/>
      <c r="AK83" s="149"/>
      <c r="AL83" s="149"/>
      <c r="AM83" s="149"/>
      <c r="AN83" s="149"/>
      <c r="AO83" s="149"/>
      <c r="AP83" s="149"/>
      <c r="AQ83" s="149"/>
    </row>
    <row r="84" spans="2:43" s="11" customFormat="1" ht="15" customHeight="1">
      <c r="E84" s="11" t="s">
        <v>23</v>
      </c>
      <c r="G84" s="195" t="s">
        <v>844</v>
      </c>
      <c r="AE84" s="158"/>
      <c r="AF84" s="158"/>
      <c r="AJ84" s="32">
        <f>($I77 * AJ82)</f>
        <v>0</v>
      </c>
      <c r="AK84" s="32">
        <f t="shared" ref="AK84:AQ84" si="12">($I77 * AK82)</f>
        <v>0</v>
      </c>
      <c r="AL84" s="32">
        <f t="shared" si="12"/>
        <v>0</v>
      </c>
      <c r="AM84" s="32">
        <f t="shared" si="12"/>
        <v>0</v>
      </c>
      <c r="AN84" s="32">
        <f t="shared" si="12"/>
        <v>0</v>
      </c>
      <c r="AO84" s="32">
        <f t="shared" si="12"/>
        <v>0</v>
      </c>
      <c r="AP84" s="32">
        <f t="shared" si="12"/>
        <v>0</v>
      </c>
      <c r="AQ84" s="32">
        <f t="shared" si="12"/>
        <v>0</v>
      </c>
    </row>
    <row r="85" spans="2:43" s="11" customFormat="1" ht="15" customHeight="1">
      <c r="AE85" s="158"/>
      <c r="AF85" s="158"/>
    </row>
    <row r="86" spans="2:43">
      <c r="B86" s="15" t="s">
        <v>53</v>
      </c>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row>
    <row r="87" spans="2:43"/>
    <row r="88" spans="2:43"/>
    <row r="89" spans="2:43"/>
    <row r="90" spans="2:43"/>
    <row r="91" spans="2:43" hidden="1"/>
    <row r="92" spans="2:43" hidden="1"/>
    <row r="93" spans="2:43" hidden="1"/>
    <row r="94" spans="2:43" hidden="1"/>
    <row r="95" spans="2:43" hidden="1"/>
    <row r="96" spans="2:43"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row r="128"/>
    <row r="129"/>
    <row r="130"/>
    <row r="131"/>
    <row r="132"/>
    <row r="133"/>
    <row r="134"/>
    <row r="135"/>
    <row r="136"/>
    <row r="137"/>
    <row r="138"/>
    <row r="139"/>
    <row r="140"/>
    <row r="141"/>
    <row r="142"/>
    <row r="143"/>
    <row r="144"/>
    <row r="145"/>
    <row r="146"/>
    <row r="147"/>
    <row r="148"/>
    <row r="149"/>
    <row r="150"/>
    <row r="151"/>
    <row r="152"/>
    <row r="153"/>
    <row r="154"/>
    <row r="155"/>
    <row r="156"/>
  </sheetData>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94561" r:id="rId4" name="Drop Down 1">
              <controlPr defaultSize="0" autoLine="0" autoPict="0">
                <anchor moveWithCells="1">
                  <from>
                    <xdr:col>4</xdr:col>
                    <xdr:colOff>1028700</xdr:colOff>
                    <xdr:row>1</xdr:row>
                    <xdr:rowOff>0</xdr:rowOff>
                  </from>
                  <to>
                    <xdr:col>4</xdr:col>
                    <xdr:colOff>3467100</xdr:colOff>
                    <xdr:row>2</xdr:row>
                    <xdr:rowOff>9525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7" tint="0.59999389629810485"/>
    <pageSetUpPr fitToPage="1"/>
  </sheetPr>
  <dimension ref="A1:AV117"/>
  <sheetViews>
    <sheetView zoomScale="75" zoomScaleNormal="75" workbookViewId="0">
      <pane xSplit="10" ySplit="7" topLeftCell="AJ8" activePane="bottomRight" state="frozen"/>
      <selection activeCell="F444" sqref="F444"/>
      <selection pane="topRight" activeCell="F444" sqref="F444"/>
      <selection pane="bottomLeft" activeCell="F444" sqref="F444"/>
      <selection pane="bottomRight" activeCell="AJ34" sqref="AJ34"/>
    </sheetView>
  </sheetViews>
  <sheetFormatPr defaultColWidth="9" defaultRowHeight="15" customHeight="1" zeroHeight="1" outlineLevelCol="1"/>
  <cols>
    <col min="1" max="4" width="1.625" style="11" customWidth="1"/>
    <col min="5" max="5" width="50.625" style="11" customWidth="1"/>
    <col min="6" max="6" width="1.625" style="11" customWidth="1"/>
    <col min="7" max="7" width="12.625" style="11" customWidth="1"/>
    <col min="8" max="8" width="1.625" style="11" customWidth="1"/>
    <col min="9" max="9" width="10.625" style="11" customWidth="1"/>
    <col min="10" max="10" width="1.625" style="11" customWidth="1"/>
    <col min="11" max="25" width="10.625" style="11" hidden="1" customWidth="1" outlineLevel="1"/>
    <col min="26" max="27" width="10.625" style="158" hidden="1" customWidth="1" outlineLevel="1"/>
    <col min="28" max="35" width="10.625" style="11" hidden="1" customWidth="1" outlineLevel="1"/>
    <col min="36" max="36" width="10.625" style="11" customWidth="1" collapsed="1"/>
    <col min="37" max="42" width="10.625" style="11" customWidth="1"/>
    <col min="43" max="43" width="10.75" style="11" customWidth="1"/>
    <col min="44" max="44" width="1.625" style="11" customWidth="1"/>
    <col min="45" max="16384" width="9" style="11"/>
  </cols>
  <sheetData>
    <row r="1" spans="1:44" s="47" customFormat="1">
      <c r="A1" s="5" t="s">
        <v>229</v>
      </c>
      <c r="B1" s="6"/>
      <c r="C1" s="6"/>
      <c r="D1" s="6"/>
      <c r="E1" s="6"/>
      <c r="F1" s="6"/>
      <c r="G1" s="6"/>
      <c r="H1" s="6"/>
      <c r="I1" s="6"/>
      <c r="J1" s="46"/>
      <c r="K1" s="46"/>
      <c r="L1" s="46"/>
      <c r="M1" s="46"/>
      <c r="N1" s="46"/>
      <c r="O1" s="46"/>
      <c r="P1" s="46"/>
      <c r="Q1" s="46"/>
      <c r="R1" s="46"/>
      <c r="S1" s="46"/>
      <c r="T1" s="46"/>
      <c r="U1" s="46"/>
      <c r="V1" s="46"/>
      <c r="W1" s="46"/>
      <c r="X1" s="46"/>
      <c r="Y1" s="6"/>
      <c r="Z1" s="6"/>
      <c r="AA1" s="6"/>
      <c r="AB1" s="6"/>
      <c r="AC1" s="6"/>
      <c r="AD1" s="6"/>
      <c r="AE1" s="6"/>
      <c r="AF1" s="6"/>
      <c r="AG1" s="6"/>
      <c r="AH1" s="6"/>
      <c r="AI1" s="6"/>
      <c r="AJ1" s="6"/>
      <c r="AM1" s="6"/>
      <c r="AN1" s="6"/>
      <c r="AO1" s="6"/>
      <c r="AP1" s="6"/>
      <c r="AQ1" s="6"/>
    </row>
    <row r="2" spans="1:44" s="47" customFormat="1" ht="15" customHeight="1">
      <c r="A2" s="6"/>
      <c r="B2" s="8" t="str">
        <f>UserInterface!G24</f>
        <v>SPN</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301" t="s">
        <v>639</v>
      </c>
      <c r="AK2" s="6"/>
      <c r="AL2" s="6"/>
      <c r="AM2" s="6"/>
      <c r="AN2" s="6"/>
      <c r="AO2" s="6"/>
      <c r="AP2" s="6"/>
      <c r="AQ2" s="6"/>
      <c r="AR2" s="6"/>
    </row>
    <row r="3" spans="1:44" s="142" customFormat="1" ht="15" customHeight="1">
      <c r="A3" s="6"/>
      <c r="B3" s="8"/>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301"/>
      <c r="AK3" s="6"/>
      <c r="AL3" s="6"/>
      <c r="AM3" s="6"/>
      <c r="AN3" s="6"/>
      <c r="AO3" s="6"/>
      <c r="AP3" s="6"/>
      <c r="AQ3" s="6"/>
      <c r="AR3" s="6"/>
    </row>
    <row r="4" spans="1:44" s="142" customFormat="1" ht="15" customHeight="1">
      <c r="A4" s="6"/>
      <c r="B4" s="8"/>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301"/>
      <c r="AK4" s="6"/>
      <c r="AL4" s="6"/>
      <c r="AM4" s="6"/>
      <c r="AN4" s="6"/>
      <c r="AO4" s="6"/>
      <c r="AP4" s="6"/>
      <c r="AQ4" s="6"/>
      <c r="AR4" s="6"/>
    </row>
    <row r="5" spans="1:44" s="142" customFormat="1" ht="15" customHeight="1">
      <c r="A5" s="6"/>
      <c r="B5" s="8"/>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301"/>
      <c r="AK5" s="6"/>
      <c r="AL5" s="6"/>
      <c r="AM5" s="6"/>
      <c r="AN5" s="6"/>
      <c r="AO5" s="6"/>
      <c r="AP5" s="6"/>
      <c r="AQ5" s="6"/>
      <c r="AR5" s="6"/>
    </row>
    <row r="6" spans="1:44" s="47" customFormat="1" ht="15" customHeight="1">
      <c r="A6" s="6"/>
      <c r="B6" s="6"/>
      <c r="C6" s="6"/>
      <c r="D6" s="6"/>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6"/>
      <c r="AL6" s="6"/>
      <c r="AM6" s="6"/>
      <c r="AN6" s="6"/>
      <c r="AO6" s="6"/>
      <c r="AP6" s="6"/>
      <c r="AQ6" s="6"/>
      <c r="AR6" s="6"/>
    </row>
    <row r="7" spans="1:44" s="47" customFormat="1" ht="15" customHeight="1">
      <c r="A7" s="6"/>
      <c r="B7" s="6"/>
      <c r="C7" s="6"/>
      <c r="D7" s="6"/>
      <c r="E7" s="6" t="s">
        <v>236</v>
      </c>
      <c r="F7" s="6"/>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c r="AR7" s="6"/>
    </row>
    <row r="8" spans="1:44" s="158" customFormat="1" ht="15" customHeight="1"/>
    <row r="9" spans="1:44" ht="15" customHeight="1">
      <c r="B9" s="15" t="s">
        <v>225</v>
      </c>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row>
    <row r="10" spans="1:44" s="158" customFormat="1" ht="15" customHeight="1">
      <c r="B10" s="166" t="s">
        <v>340</v>
      </c>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6"/>
      <c r="AO10" s="166"/>
      <c r="AP10" s="166"/>
      <c r="AQ10" s="166"/>
    </row>
    <row r="11" spans="1:44" s="158" customFormat="1" ht="15" customHeight="1">
      <c r="B11" s="166" t="s">
        <v>341</v>
      </c>
      <c r="C11" s="166"/>
      <c r="D11" s="166"/>
      <c r="E11" s="166"/>
      <c r="F11" s="166"/>
      <c r="G11" s="166"/>
      <c r="H11" s="166"/>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c r="AL11" s="166"/>
      <c r="AM11" s="166"/>
      <c r="AN11" s="166"/>
      <c r="AO11" s="166"/>
      <c r="AP11" s="166"/>
      <c r="AQ11" s="166"/>
    </row>
    <row r="12" spans="1:44" s="158" customFormat="1" ht="15" customHeight="1">
      <c r="B12" s="166" t="s">
        <v>339</v>
      </c>
      <c r="C12" s="166"/>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row>
    <row r="13" spans="1:44" s="158" customFormat="1" ht="15" customHeight="1">
      <c r="B13" s="166" t="s">
        <v>586</v>
      </c>
      <c r="C13" s="166"/>
      <c r="D13" s="166"/>
      <c r="E13" s="166"/>
      <c r="F13" s="166"/>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row>
    <row r="14" spans="1:44" s="158" customFormat="1" ht="15" customHeight="1"/>
    <row r="15" spans="1:44" s="158" customFormat="1" ht="15" customHeight="1">
      <c r="C15" s="160" t="s">
        <v>37</v>
      </c>
      <c r="D15" s="160"/>
      <c r="E15" s="160"/>
      <c r="F15" s="160"/>
      <c r="G15" s="160"/>
      <c r="H15" s="160"/>
      <c r="I15" s="160"/>
      <c r="J15" s="160"/>
      <c r="K15" s="160"/>
      <c r="L15" s="160"/>
      <c r="M15" s="160"/>
      <c r="N15" s="160"/>
      <c r="O15" s="16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row>
    <row r="16" spans="1:44" s="158" customFormat="1" ht="15" customHeight="1"/>
    <row r="17" spans="1:46" s="158" customFormat="1" ht="15" customHeight="1">
      <c r="D17" s="162" t="s">
        <v>800</v>
      </c>
      <c r="E17" s="162"/>
      <c r="F17" s="162"/>
      <c r="G17" s="162"/>
      <c r="H17" s="162"/>
      <c r="I17" s="162"/>
      <c r="J17" s="162"/>
      <c r="K17" s="162"/>
      <c r="L17" s="162"/>
      <c r="M17" s="162"/>
      <c r="N17" s="162"/>
      <c r="O17" s="162"/>
      <c r="P17" s="162"/>
      <c r="Q17" s="162"/>
      <c r="R17" s="162"/>
      <c r="S17" s="162"/>
      <c r="T17" s="162"/>
      <c r="U17" s="162"/>
      <c r="V17" s="162"/>
      <c r="W17" s="162"/>
      <c r="X17" s="162"/>
      <c r="Y17" s="162"/>
      <c r="Z17" s="162"/>
      <c r="AA17" s="162"/>
      <c r="AB17" s="162"/>
      <c r="AC17" s="162"/>
      <c r="AD17" s="162"/>
      <c r="AE17" s="162"/>
      <c r="AF17" s="162"/>
      <c r="AG17" s="162"/>
      <c r="AH17" s="162"/>
      <c r="AI17" s="162"/>
      <c r="AJ17" s="198"/>
      <c r="AK17" s="198"/>
      <c r="AL17" s="198"/>
      <c r="AM17" s="198"/>
      <c r="AN17" s="198"/>
      <c r="AO17" s="198"/>
      <c r="AP17" s="198"/>
      <c r="AQ17" s="198"/>
    </row>
    <row r="18" spans="1:46" s="158" customFormat="1" ht="15" customHeight="1">
      <c r="AJ18" s="149"/>
      <c r="AK18" s="149"/>
      <c r="AL18" s="149"/>
      <c r="AM18" s="149"/>
      <c r="AN18" s="149"/>
      <c r="AO18" s="149"/>
      <c r="AP18" s="149"/>
      <c r="AQ18" s="149"/>
    </row>
    <row r="19" spans="1:46" s="158" customFormat="1" ht="15" customHeight="1">
      <c r="E19" s="157" t="s">
        <v>410</v>
      </c>
      <c r="F19" s="149"/>
      <c r="G19" s="163" t="s">
        <v>844</v>
      </c>
      <c r="AJ19" s="152">
        <f>Input!AJ239</f>
        <v>31.195491306318768</v>
      </c>
      <c r="AK19" s="152">
        <f>Input!AK239</f>
        <v>31.195491306318768</v>
      </c>
      <c r="AL19" s="152">
        <f>Input!AL239</f>
        <v>31.195491306318768</v>
      </c>
      <c r="AM19" s="152">
        <f>Input!AM239</f>
        <v>31.195491306318768</v>
      </c>
      <c r="AN19" s="152">
        <f>Input!AN239</f>
        <v>31.195491306318768</v>
      </c>
      <c r="AO19" s="152">
        <f>Input!AO239</f>
        <v>31.195491306318768</v>
      </c>
      <c r="AP19" s="152">
        <f>Input!AP239</f>
        <v>31.195491306318768</v>
      </c>
      <c r="AQ19" s="152">
        <f>Input!AQ239</f>
        <v>31.195491306318768</v>
      </c>
    </row>
    <row r="20" spans="1:46" ht="15" customHeight="1">
      <c r="A20" s="158"/>
      <c r="E20" s="19" t="s">
        <v>412</v>
      </c>
      <c r="F20" s="149"/>
      <c r="G20" s="163" t="s">
        <v>844</v>
      </c>
      <c r="AJ20" s="168">
        <f t="shared" ref="AJ20:AQ20" si="0">SUM(AJ19:AJ19)</f>
        <v>31.195491306318768</v>
      </c>
      <c r="AK20" s="168">
        <f t="shared" si="0"/>
        <v>31.195491306318768</v>
      </c>
      <c r="AL20" s="168">
        <f t="shared" si="0"/>
        <v>31.195491306318768</v>
      </c>
      <c r="AM20" s="168">
        <f t="shared" si="0"/>
        <v>31.195491306318768</v>
      </c>
      <c r="AN20" s="168">
        <f t="shared" si="0"/>
        <v>31.195491306318768</v>
      </c>
      <c r="AO20" s="168">
        <f t="shared" si="0"/>
        <v>31.195491306318768</v>
      </c>
      <c r="AP20" s="168">
        <f t="shared" si="0"/>
        <v>31.195491306318768</v>
      </c>
      <c r="AQ20" s="168">
        <f t="shared" si="0"/>
        <v>31.195491306318768</v>
      </c>
    </row>
    <row r="21" spans="1:46" s="19" customFormat="1" ht="15" customHeight="1">
      <c r="J21" s="88"/>
      <c r="K21" s="88"/>
      <c r="L21" s="88"/>
      <c r="M21" s="88"/>
      <c r="N21" s="88"/>
      <c r="O21" s="88"/>
      <c r="P21" s="88"/>
      <c r="Q21" s="88"/>
      <c r="R21" s="88"/>
      <c r="S21" s="88"/>
      <c r="T21" s="88"/>
      <c r="U21" s="88"/>
      <c r="V21" s="88"/>
      <c r="W21" s="88"/>
      <c r="X21" s="88"/>
      <c r="AJ21" s="157"/>
      <c r="AK21" s="157"/>
      <c r="AL21" s="157"/>
      <c r="AM21" s="157"/>
      <c r="AN21" s="157"/>
      <c r="AO21" s="157"/>
      <c r="AP21" s="157"/>
      <c r="AQ21" s="157"/>
    </row>
    <row r="22" spans="1:46" s="19" customFormat="1" ht="15" customHeight="1">
      <c r="D22" s="162" t="s">
        <v>799</v>
      </c>
      <c r="E22" s="198"/>
      <c r="F22" s="198"/>
      <c r="G22" s="198"/>
      <c r="H22" s="162"/>
      <c r="I22" s="162"/>
      <c r="J22" s="162"/>
      <c r="K22" s="162"/>
      <c r="L22" s="162"/>
      <c r="M22" s="162"/>
      <c r="N22" s="162"/>
      <c r="O22" s="162"/>
      <c r="P22" s="162"/>
      <c r="Q22" s="162"/>
      <c r="R22" s="162"/>
      <c r="S22" s="162"/>
      <c r="T22" s="162"/>
      <c r="U22" s="162"/>
      <c r="V22" s="162"/>
      <c r="W22" s="162"/>
      <c r="X22" s="162"/>
      <c r="Y22" s="162"/>
      <c r="Z22" s="162"/>
      <c r="AA22" s="162"/>
      <c r="AB22" s="162"/>
      <c r="AC22" s="162"/>
      <c r="AD22" s="162"/>
      <c r="AE22" s="162"/>
      <c r="AF22" s="162"/>
      <c r="AG22" s="162"/>
      <c r="AH22" s="162"/>
      <c r="AI22" s="162"/>
      <c r="AJ22" s="198"/>
      <c r="AK22" s="198"/>
      <c r="AL22" s="198"/>
      <c r="AM22" s="198"/>
      <c r="AN22" s="198"/>
      <c r="AO22" s="198"/>
      <c r="AP22" s="198"/>
      <c r="AQ22" s="198"/>
    </row>
    <row r="23" spans="1:46" s="19" customFormat="1" ht="15" customHeight="1">
      <c r="J23" s="88"/>
      <c r="K23" s="88"/>
      <c r="L23" s="88"/>
      <c r="M23" s="88"/>
      <c r="N23" s="88"/>
      <c r="O23" s="88"/>
      <c r="P23" s="88"/>
      <c r="Q23" s="88"/>
      <c r="R23" s="88"/>
      <c r="S23" s="88"/>
      <c r="T23" s="88"/>
      <c r="U23" s="88"/>
      <c r="V23" s="88"/>
      <c r="W23" s="88"/>
      <c r="X23" s="88"/>
      <c r="AJ23" s="157"/>
      <c r="AK23" s="157"/>
      <c r="AL23" s="157"/>
      <c r="AM23" s="157"/>
      <c r="AN23" s="157"/>
      <c r="AO23" s="157"/>
      <c r="AP23" s="157"/>
      <c r="AQ23" s="157"/>
    </row>
    <row r="24" spans="1:46" ht="15" customHeight="1">
      <c r="B24" s="3"/>
      <c r="C24" s="3"/>
      <c r="D24" s="3"/>
      <c r="E24" s="157" t="s">
        <v>411</v>
      </c>
      <c r="F24" s="195"/>
      <c r="G24" s="195" t="s">
        <v>844</v>
      </c>
      <c r="H24" s="3"/>
      <c r="I24" s="3"/>
      <c r="J24" s="3"/>
      <c r="K24" s="3"/>
      <c r="L24" s="3"/>
      <c r="M24" s="3"/>
      <c r="N24" s="3"/>
      <c r="O24" s="3"/>
      <c r="P24" s="3"/>
      <c r="Q24" s="3"/>
      <c r="R24" s="3"/>
      <c r="S24" s="3"/>
      <c r="T24" s="3"/>
      <c r="U24" s="3"/>
      <c r="V24" s="3"/>
      <c r="W24" s="3"/>
      <c r="X24" s="3"/>
      <c r="Y24" s="3"/>
      <c r="Z24" s="157"/>
      <c r="AA24" s="157"/>
      <c r="AB24" s="3"/>
      <c r="AC24" s="3"/>
      <c r="AD24" s="3"/>
      <c r="AE24" s="3"/>
      <c r="AF24" s="3"/>
      <c r="AG24" s="3"/>
      <c r="AH24" s="3"/>
      <c r="AI24" s="3"/>
      <c r="AJ24" s="157">
        <f>Input!AJ241</f>
        <v>0</v>
      </c>
      <c r="AK24" s="157">
        <f>Input!AK241</f>
        <v>0</v>
      </c>
      <c r="AL24" s="157">
        <f>Input!AL241</f>
        <v>0</v>
      </c>
      <c r="AM24" s="157">
        <f>Input!AM241</f>
        <v>0</v>
      </c>
      <c r="AN24" s="157">
        <f>Input!AN241</f>
        <v>0</v>
      </c>
      <c r="AO24" s="157">
        <f>Input!AO241</f>
        <v>0</v>
      </c>
      <c r="AP24" s="157">
        <f>Input!AP241</f>
        <v>0</v>
      </c>
      <c r="AQ24" s="157">
        <f>Input!AQ241</f>
        <v>0</v>
      </c>
      <c r="AR24" s="3"/>
    </row>
    <row r="25" spans="1:46" ht="15" customHeight="1">
      <c r="E25" s="19" t="s">
        <v>413</v>
      </c>
      <c r="F25" s="149"/>
      <c r="G25" s="163" t="s">
        <v>844</v>
      </c>
      <c r="AJ25" s="168">
        <f t="shared" ref="AJ25:AQ25" si="1">SUM(AJ24:AJ24)</f>
        <v>0</v>
      </c>
      <c r="AK25" s="168">
        <f t="shared" si="1"/>
        <v>0</v>
      </c>
      <c r="AL25" s="168">
        <f t="shared" si="1"/>
        <v>0</v>
      </c>
      <c r="AM25" s="168">
        <f t="shared" si="1"/>
        <v>0</v>
      </c>
      <c r="AN25" s="168">
        <f t="shared" si="1"/>
        <v>0</v>
      </c>
      <c r="AO25" s="168">
        <f t="shared" si="1"/>
        <v>0</v>
      </c>
      <c r="AP25" s="168">
        <f t="shared" si="1"/>
        <v>0</v>
      </c>
      <c r="AQ25" s="168">
        <f t="shared" si="1"/>
        <v>0</v>
      </c>
    </row>
    <row r="26" spans="1:46" s="158" customFormat="1" ht="15" customHeight="1">
      <c r="E26" s="149"/>
      <c r="F26" s="149"/>
      <c r="G26" s="149"/>
      <c r="AJ26" s="149"/>
      <c r="AK26" s="149"/>
      <c r="AL26" s="149"/>
      <c r="AM26" s="149"/>
      <c r="AN26" s="149"/>
      <c r="AO26" s="149"/>
      <c r="AP26" s="149"/>
      <c r="AQ26" s="149"/>
    </row>
    <row r="27" spans="1:46" s="158" customFormat="1" ht="15" customHeight="1">
      <c r="D27" s="162" t="s">
        <v>797</v>
      </c>
      <c r="E27" s="198"/>
      <c r="F27" s="198"/>
      <c r="G27" s="198"/>
      <c r="H27" s="162"/>
      <c r="I27" s="162"/>
      <c r="J27" s="162"/>
      <c r="K27" s="162"/>
      <c r="L27" s="162"/>
      <c r="M27" s="162"/>
      <c r="N27" s="162"/>
      <c r="O27" s="162"/>
      <c r="P27" s="162"/>
      <c r="Q27" s="162"/>
      <c r="R27" s="162"/>
      <c r="S27" s="162"/>
      <c r="T27" s="162"/>
      <c r="U27" s="162"/>
      <c r="V27" s="162"/>
      <c r="W27" s="162"/>
      <c r="X27" s="162"/>
      <c r="Y27" s="162"/>
      <c r="Z27" s="162"/>
      <c r="AA27" s="162"/>
      <c r="AB27" s="162"/>
      <c r="AC27" s="162"/>
      <c r="AD27" s="162"/>
      <c r="AE27" s="162"/>
      <c r="AF27" s="162"/>
      <c r="AG27" s="162"/>
      <c r="AH27" s="162"/>
      <c r="AI27" s="162"/>
      <c r="AJ27" s="198"/>
      <c r="AK27" s="198"/>
      <c r="AL27" s="198"/>
      <c r="AM27" s="198"/>
      <c r="AN27" s="198"/>
      <c r="AO27" s="198"/>
      <c r="AP27" s="198"/>
      <c r="AQ27" s="198"/>
    </row>
    <row r="28" spans="1:46" s="158" customFormat="1" ht="15" customHeight="1">
      <c r="E28" s="149"/>
      <c r="F28" s="149"/>
      <c r="G28" s="149"/>
      <c r="AJ28" s="149"/>
      <c r="AK28" s="149"/>
      <c r="AL28" s="149"/>
      <c r="AM28" s="149"/>
      <c r="AN28" s="149"/>
      <c r="AO28" s="149"/>
      <c r="AP28" s="149"/>
      <c r="AQ28" s="149"/>
    </row>
    <row r="29" spans="1:46" ht="15" customHeight="1">
      <c r="B29" s="3"/>
      <c r="C29" s="3"/>
      <c r="D29" s="3"/>
      <c r="E29" s="157" t="s">
        <v>726</v>
      </c>
      <c r="F29" s="195"/>
      <c r="G29" s="195" t="s">
        <v>844</v>
      </c>
      <c r="H29" s="3"/>
      <c r="I29" s="3"/>
      <c r="J29" s="3"/>
      <c r="K29" s="3"/>
      <c r="L29" s="3"/>
      <c r="M29" s="3"/>
      <c r="N29" s="3"/>
      <c r="O29" s="3"/>
      <c r="P29" s="3"/>
      <c r="Q29" s="3"/>
      <c r="R29" s="3"/>
      <c r="S29" s="3"/>
      <c r="T29" s="3"/>
      <c r="U29" s="3"/>
      <c r="V29" s="3"/>
      <c r="W29" s="3"/>
      <c r="X29" s="3"/>
      <c r="Y29" s="3"/>
      <c r="Z29" s="157"/>
      <c r="AA29" s="157"/>
      <c r="AB29" s="3"/>
      <c r="AC29" s="3"/>
      <c r="AD29" s="3"/>
      <c r="AE29" s="3"/>
      <c r="AF29" s="3"/>
      <c r="AG29" s="3"/>
      <c r="AH29" s="3"/>
      <c r="AI29" s="3"/>
      <c r="AJ29" s="157">
        <f>Input!AJ245+Input!AJ249</f>
        <v>2.0026303805180206</v>
      </c>
      <c r="AK29" s="157">
        <f>Input!AK245+Input!AK249</f>
        <v>2.0964536138452896</v>
      </c>
      <c r="AL29" s="157">
        <f>Input!AL245+Input!AL249</f>
        <v>2.1946724656539418</v>
      </c>
      <c r="AM29" s="157">
        <f>Input!AM245+Input!AM249</f>
        <v>2.2974928706698288</v>
      </c>
      <c r="AN29" s="157">
        <f>Input!AN245+Input!AN249</f>
        <v>2.4051304116607106</v>
      </c>
      <c r="AO29" s="157">
        <f>Input!AO245+Input!AO249</f>
        <v>2.5178107714470155</v>
      </c>
      <c r="AP29" s="157">
        <f>Input!AP245+Input!AP249</f>
        <v>2.6357702060893073</v>
      </c>
      <c r="AQ29" s="157">
        <f>Input!AQ245+Input!AQ249</f>
        <v>2.7592560402445914</v>
      </c>
      <c r="AR29" s="3"/>
    </row>
    <row r="30" spans="1:46" ht="15" customHeight="1">
      <c r="E30" s="19" t="s">
        <v>414</v>
      </c>
      <c r="F30" s="149"/>
      <c r="G30" s="195" t="s">
        <v>844</v>
      </c>
      <c r="AJ30" s="168">
        <f>SUM(AJ29:AJ29)</f>
        <v>2.0026303805180206</v>
      </c>
      <c r="AK30" s="168">
        <f t="shared" ref="AK30:AQ30" si="2">SUM(AK29:AK29)</f>
        <v>2.0964536138452896</v>
      </c>
      <c r="AL30" s="168">
        <f t="shared" si="2"/>
        <v>2.1946724656539418</v>
      </c>
      <c r="AM30" s="168">
        <f t="shared" si="2"/>
        <v>2.2974928706698288</v>
      </c>
      <c r="AN30" s="168">
        <f t="shared" si="2"/>
        <v>2.4051304116607106</v>
      </c>
      <c r="AO30" s="168">
        <f t="shared" si="2"/>
        <v>2.5178107714470155</v>
      </c>
      <c r="AP30" s="168">
        <f t="shared" si="2"/>
        <v>2.6357702060893073</v>
      </c>
      <c r="AQ30" s="168">
        <f t="shared" si="2"/>
        <v>2.7592560402445914</v>
      </c>
      <c r="AT30" s="158"/>
    </row>
    <row r="31" spans="1:46" s="158" customFormat="1" ht="15" customHeight="1">
      <c r="E31" s="19"/>
      <c r="F31" s="149"/>
      <c r="G31" s="195"/>
      <c r="AJ31" s="147"/>
      <c r="AK31" s="147"/>
      <c r="AL31" s="147"/>
      <c r="AM31" s="147"/>
      <c r="AN31" s="147"/>
      <c r="AO31" s="147"/>
      <c r="AP31" s="147"/>
      <c r="AQ31" s="147"/>
    </row>
    <row r="32" spans="1:46" s="19" customFormat="1" ht="15" customHeight="1">
      <c r="D32" s="162" t="s">
        <v>799</v>
      </c>
      <c r="E32" s="198"/>
      <c r="F32" s="198"/>
      <c r="G32" s="198"/>
      <c r="H32" s="162"/>
      <c r="I32" s="162"/>
      <c r="J32" s="162"/>
      <c r="K32" s="162"/>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c r="AI32" s="162"/>
      <c r="AJ32" s="198"/>
      <c r="AK32" s="198"/>
      <c r="AL32" s="198"/>
      <c r="AM32" s="198"/>
      <c r="AN32" s="198"/>
      <c r="AO32" s="198"/>
      <c r="AP32" s="198"/>
      <c r="AQ32" s="198"/>
    </row>
    <row r="33" spans="2:44" s="19" customFormat="1" ht="15" customHeight="1">
      <c r="J33" s="88"/>
      <c r="K33" s="88"/>
      <c r="L33" s="88"/>
      <c r="M33" s="88"/>
      <c r="N33" s="88"/>
      <c r="O33" s="88"/>
      <c r="P33" s="88"/>
      <c r="Q33" s="88"/>
      <c r="R33" s="88"/>
      <c r="S33" s="88"/>
      <c r="T33" s="88"/>
      <c r="U33" s="88"/>
      <c r="V33" s="88"/>
      <c r="W33" s="88"/>
      <c r="X33" s="88"/>
      <c r="AJ33" s="157"/>
      <c r="AK33" s="157"/>
      <c r="AL33" s="157"/>
      <c r="AM33" s="157"/>
      <c r="AN33" s="157"/>
      <c r="AO33" s="157"/>
      <c r="AP33" s="157"/>
      <c r="AQ33" s="157"/>
    </row>
    <row r="34" spans="2:44" s="158" customFormat="1" ht="15" customHeight="1">
      <c r="B34" s="157"/>
      <c r="C34" s="157"/>
      <c r="D34" s="157"/>
      <c r="E34" s="157" t="s">
        <v>810</v>
      </c>
      <c r="F34" s="195"/>
      <c r="G34" s="195" t="s">
        <v>844</v>
      </c>
      <c r="H34" s="157"/>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7"/>
      <c r="AJ34" s="157">
        <f>Input!AJ446</f>
        <v>-14.172919552740399</v>
      </c>
      <c r="AK34" s="157">
        <f>Input!AK446</f>
        <v>-19.866422081235399</v>
      </c>
      <c r="AL34" s="157">
        <f>Input!AL446</f>
        <v>-16.878180515210499</v>
      </c>
      <c r="AM34" s="157">
        <f>Input!AM446</f>
        <v>-11.843635642291668</v>
      </c>
      <c r="AN34" s="157">
        <f>Input!AN446</f>
        <v>3.0408866672822299</v>
      </c>
      <c r="AO34" s="157">
        <f>Input!AO446</f>
        <v>10.327768072408599</v>
      </c>
      <c r="AP34" s="157">
        <f>Input!AP446</f>
        <v>18.978692725747198</v>
      </c>
      <c r="AQ34" s="157">
        <f>Input!AQ446</f>
        <v>30.647284058307616</v>
      </c>
      <c r="AR34" s="157"/>
    </row>
    <row r="35" spans="2:44" s="158" customFormat="1" ht="15" customHeight="1">
      <c r="B35" s="157"/>
      <c r="C35" s="157"/>
      <c r="D35" s="157"/>
      <c r="E35" s="157" t="s">
        <v>816</v>
      </c>
      <c r="F35" s="149"/>
      <c r="G35" s="163" t="s">
        <v>844</v>
      </c>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c r="AE35" s="157"/>
      <c r="AF35" s="157"/>
      <c r="AG35" s="157"/>
      <c r="AH35" s="157"/>
      <c r="AI35" s="157"/>
      <c r="AJ35" s="157">
        <f>Input!AJ447</f>
        <v>0.34294617009704814</v>
      </c>
      <c r="AK35" s="157">
        <f>Input!AK447</f>
        <v>1.1671313577041902</v>
      </c>
      <c r="AL35" s="157">
        <f>Input!AL447</f>
        <v>2.0579457308493807</v>
      </c>
      <c r="AM35" s="157">
        <f>Input!AM447</f>
        <v>2.7556747450008379</v>
      </c>
      <c r="AN35" s="157">
        <f>Input!AN447</f>
        <v>2.9719155427727109</v>
      </c>
      <c r="AO35" s="157">
        <f>Input!AO447</f>
        <v>2.651229030358099</v>
      </c>
      <c r="AP35" s="157">
        <f>Input!AP447</f>
        <v>1.9435571234994955</v>
      </c>
      <c r="AQ35" s="157">
        <f>Input!AQ447</f>
        <v>0.74235651819556048</v>
      </c>
      <c r="AR35" s="157"/>
    </row>
    <row r="36" spans="2:44" s="158" customFormat="1" ht="15" customHeight="1">
      <c r="B36" s="157"/>
      <c r="C36" s="157"/>
      <c r="D36" s="157"/>
      <c r="E36" s="157" t="s">
        <v>817</v>
      </c>
      <c r="F36" s="149"/>
      <c r="G36" s="163" t="s">
        <v>844</v>
      </c>
      <c r="H36" s="157"/>
      <c r="I36" s="157"/>
      <c r="J36" s="157"/>
      <c r="K36" s="157"/>
      <c r="L36" s="157"/>
      <c r="M36" s="157"/>
      <c r="N36" s="157"/>
      <c r="O36" s="157"/>
      <c r="P36" s="157"/>
      <c r="Q36" s="157"/>
      <c r="R36" s="157"/>
      <c r="S36" s="157"/>
      <c r="T36" s="157"/>
      <c r="U36" s="157"/>
      <c r="V36" s="157"/>
      <c r="W36" s="157"/>
      <c r="X36" s="157"/>
      <c r="Y36" s="157"/>
      <c r="Z36" s="157"/>
      <c r="AA36" s="157"/>
      <c r="AB36" s="157"/>
      <c r="AC36" s="157"/>
      <c r="AD36" s="157"/>
      <c r="AE36" s="157"/>
      <c r="AF36" s="157"/>
      <c r="AG36" s="157"/>
      <c r="AH36" s="157"/>
      <c r="AI36" s="157"/>
      <c r="AJ36" s="157">
        <f>Input!AJ448</f>
        <v>0</v>
      </c>
      <c r="AK36" s="157">
        <f>Input!AK448</f>
        <v>0</v>
      </c>
      <c r="AL36" s="157">
        <f>Input!AL448</f>
        <v>0</v>
      </c>
      <c r="AM36" s="157">
        <f>Input!AM448</f>
        <v>0</v>
      </c>
      <c r="AN36" s="157">
        <f>Input!AN448</f>
        <v>0</v>
      </c>
      <c r="AO36" s="157">
        <f>Input!AO448</f>
        <v>0</v>
      </c>
      <c r="AP36" s="157">
        <f>Input!AP448</f>
        <v>0</v>
      </c>
      <c r="AQ36" s="157">
        <f>Input!AQ448</f>
        <v>0</v>
      </c>
      <c r="AR36" s="157"/>
    </row>
    <row r="37" spans="2:44" s="158" customFormat="1" ht="15" customHeight="1">
      <c r="E37" s="19" t="s">
        <v>413</v>
      </c>
      <c r="F37" s="149"/>
      <c r="G37" s="163" t="s">
        <v>844</v>
      </c>
      <c r="AJ37" s="168">
        <f>SUM(AJ34:AJ36)</f>
        <v>-13.829973382643351</v>
      </c>
      <c r="AK37" s="168">
        <f t="shared" ref="AK37:AQ37" si="3">SUM(AK34:AK36)</f>
        <v>-18.69929072353121</v>
      </c>
      <c r="AL37" s="168">
        <f t="shared" si="3"/>
        <v>-14.820234784361118</v>
      </c>
      <c r="AM37" s="168">
        <f t="shared" si="3"/>
        <v>-9.0879608972908308</v>
      </c>
      <c r="AN37" s="168">
        <f t="shared" si="3"/>
        <v>6.0128022100549412</v>
      </c>
      <c r="AO37" s="168">
        <f t="shared" si="3"/>
        <v>12.978997102766698</v>
      </c>
      <c r="AP37" s="168">
        <f t="shared" si="3"/>
        <v>20.922249849246693</v>
      </c>
      <c r="AQ37" s="168">
        <f t="shared" si="3"/>
        <v>31.389640576503176</v>
      </c>
    </row>
    <row r="38" spans="2:44" s="158" customFormat="1" ht="15" customHeight="1">
      <c r="E38" s="19"/>
      <c r="F38" s="149"/>
      <c r="G38" s="195"/>
      <c r="AJ38" s="147"/>
      <c r="AK38" s="147"/>
      <c r="AL38" s="147"/>
      <c r="AM38" s="147"/>
      <c r="AN38" s="147"/>
      <c r="AO38" s="147"/>
      <c r="AP38" s="147"/>
      <c r="AQ38" s="147"/>
    </row>
    <row r="39" spans="2:44" s="158" customFormat="1" ht="15" customHeight="1">
      <c r="C39" s="160" t="s">
        <v>732</v>
      </c>
      <c r="D39" s="160"/>
      <c r="E39" s="160"/>
      <c r="F39" s="160"/>
      <c r="G39" s="160"/>
      <c r="H39" s="160"/>
      <c r="I39" s="160"/>
      <c r="J39" s="160"/>
      <c r="K39" s="160"/>
      <c r="L39" s="160"/>
      <c r="M39" s="160"/>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331"/>
      <c r="AK39" s="331"/>
      <c r="AL39" s="331"/>
      <c r="AM39" s="331"/>
      <c r="AN39" s="331"/>
      <c r="AO39" s="331"/>
      <c r="AP39" s="331"/>
      <c r="AQ39" s="331"/>
    </row>
    <row r="40" spans="2:44" s="158" customFormat="1" ht="15" customHeight="1">
      <c r="AJ40" s="149"/>
      <c r="AK40" s="149"/>
      <c r="AL40" s="149"/>
      <c r="AM40" s="149"/>
      <c r="AN40" s="149"/>
      <c r="AO40" s="149"/>
      <c r="AP40" s="149"/>
      <c r="AQ40" s="149"/>
    </row>
    <row r="41" spans="2:44" s="158" customFormat="1" ht="15" customHeight="1">
      <c r="D41" s="162" t="s">
        <v>798</v>
      </c>
      <c r="E41" s="162"/>
      <c r="F41" s="162"/>
      <c r="G41" s="162"/>
      <c r="H41" s="162"/>
      <c r="I41" s="162"/>
      <c r="J41" s="162"/>
      <c r="K41" s="162"/>
      <c r="L41" s="162"/>
      <c r="M41" s="162"/>
      <c r="N41" s="162"/>
      <c r="O41" s="162"/>
      <c r="P41" s="162"/>
      <c r="Q41" s="162"/>
      <c r="R41" s="162"/>
      <c r="S41" s="162"/>
      <c r="T41" s="162"/>
      <c r="U41" s="162"/>
      <c r="V41" s="162"/>
      <c r="W41" s="162"/>
      <c r="X41" s="162"/>
      <c r="Y41" s="162"/>
      <c r="Z41" s="162"/>
      <c r="AA41" s="162"/>
      <c r="AB41" s="162"/>
      <c r="AC41" s="162"/>
      <c r="AD41" s="162"/>
      <c r="AE41" s="162"/>
      <c r="AF41" s="162"/>
      <c r="AG41" s="162"/>
      <c r="AH41" s="162"/>
      <c r="AI41" s="162"/>
      <c r="AJ41" s="198"/>
      <c r="AK41" s="198"/>
      <c r="AL41" s="198"/>
      <c r="AM41" s="198"/>
      <c r="AN41" s="198"/>
      <c r="AO41" s="198"/>
      <c r="AP41" s="198"/>
      <c r="AQ41" s="198"/>
    </row>
    <row r="42" spans="2:44" s="158" customFormat="1" ht="15" customHeight="1">
      <c r="AJ42" s="149"/>
      <c r="AK42" s="149"/>
      <c r="AL42" s="149"/>
      <c r="AM42" s="149"/>
      <c r="AN42" s="149"/>
      <c r="AO42" s="149"/>
      <c r="AP42" s="149"/>
      <c r="AQ42" s="149"/>
    </row>
    <row r="43" spans="2:44" s="158" customFormat="1" ht="15" customHeight="1">
      <c r="E43" s="19" t="str">
        <f>Input!E253</f>
        <v>ES7 (Miscellaneous) revenue</v>
      </c>
      <c r="G43" s="158" t="s">
        <v>844</v>
      </c>
      <c r="AJ43" s="147">
        <f>Input!AJ253</f>
        <v>0</v>
      </c>
      <c r="AK43" s="147">
        <f>Input!AK253</f>
        <v>0</v>
      </c>
      <c r="AL43" s="147">
        <f>Input!AL253</f>
        <v>0</v>
      </c>
      <c r="AM43" s="147">
        <f>Input!AM253</f>
        <v>0</v>
      </c>
      <c r="AN43" s="147">
        <f>Input!AN253</f>
        <v>0</v>
      </c>
      <c r="AO43" s="147">
        <f>Input!AO253</f>
        <v>0</v>
      </c>
      <c r="AP43" s="147">
        <f>Input!AP253</f>
        <v>0</v>
      </c>
      <c r="AQ43" s="147">
        <f>Input!AQ253</f>
        <v>0</v>
      </c>
    </row>
    <row r="44" spans="2:44" s="158" customFormat="1" ht="15" customHeight="1">
      <c r="E44" s="19" t="str">
        <f>Input!E254</f>
        <v>ES7 (Miscellaneous) assumed costs</v>
      </c>
      <c r="G44" s="158" t="s">
        <v>844</v>
      </c>
      <c r="AJ44" s="147">
        <f>Input!AJ254</f>
        <v>0</v>
      </c>
      <c r="AK44" s="147">
        <f>Input!AK254</f>
        <v>0</v>
      </c>
      <c r="AL44" s="147">
        <f>Input!AL254</f>
        <v>0</v>
      </c>
      <c r="AM44" s="147">
        <f>Input!AM254</f>
        <v>0</v>
      </c>
      <c r="AN44" s="147">
        <f>Input!AN254</f>
        <v>0</v>
      </c>
      <c r="AO44" s="147">
        <f>Input!AO254</f>
        <v>0</v>
      </c>
      <c r="AP44" s="147">
        <f>Input!AP254</f>
        <v>0</v>
      </c>
      <c r="AQ44" s="147">
        <f>Input!AQ254</f>
        <v>0</v>
      </c>
    </row>
    <row r="45" spans="2:44" s="158" customFormat="1" ht="15" customHeight="1">
      <c r="E45" s="19" t="str">
        <f>Input!E255</f>
        <v>ES7 (Miscellaneous) net position</v>
      </c>
      <c r="G45" s="158" t="s">
        <v>844</v>
      </c>
      <c r="AJ45" s="168">
        <f>Input!AJ255</f>
        <v>0</v>
      </c>
      <c r="AK45" s="168">
        <f>Input!AK255</f>
        <v>0</v>
      </c>
      <c r="AL45" s="168">
        <f>Input!AL255</f>
        <v>0</v>
      </c>
      <c r="AM45" s="168">
        <f>Input!AM255</f>
        <v>0</v>
      </c>
      <c r="AN45" s="168">
        <f>Input!AN255</f>
        <v>0</v>
      </c>
      <c r="AO45" s="168">
        <f>Input!AO255</f>
        <v>0</v>
      </c>
      <c r="AP45" s="168">
        <f>Input!AP255</f>
        <v>0</v>
      </c>
      <c r="AQ45" s="168">
        <f>Input!AQ255</f>
        <v>0</v>
      </c>
    </row>
    <row r="46" spans="2:44" s="158" customFormat="1" ht="15" customHeight="1">
      <c r="AJ46" s="149"/>
      <c r="AK46" s="149"/>
      <c r="AL46" s="149"/>
      <c r="AM46" s="149"/>
      <c r="AN46" s="149"/>
      <c r="AO46" s="149"/>
      <c r="AP46" s="149"/>
      <c r="AQ46" s="149"/>
    </row>
    <row r="47" spans="2:44" s="158" customFormat="1" ht="15" customHeight="1">
      <c r="C47" s="160" t="str">
        <f>Input!E257</f>
        <v>Directly Remunerated Services</v>
      </c>
      <c r="D47" s="160"/>
      <c r="E47" s="160"/>
      <c r="F47" s="160"/>
      <c r="G47" s="160"/>
      <c r="H47" s="16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331"/>
      <c r="AK47" s="331"/>
      <c r="AL47" s="331"/>
      <c r="AM47" s="331"/>
      <c r="AN47" s="331"/>
      <c r="AO47" s="331"/>
      <c r="AP47" s="331"/>
      <c r="AQ47" s="331"/>
    </row>
    <row r="48" spans="2:44" s="158" customFormat="1" ht="15" customHeight="1">
      <c r="AJ48" s="149"/>
      <c r="AK48" s="149"/>
      <c r="AL48" s="149"/>
      <c r="AM48" s="149"/>
      <c r="AN48" s="149"/>
      <c r="AO48" s="149"/>
      <c r="AP48" s="149"/>
      <c r="AQ48" s="149"/>
    </row>
    <row r="49" spans="3:43" s="158" customFormat="1" ht="15" customHeight="1">
      <c r="D49" s="162" t="s">
        <v>797</v>
      </c>
      <c r="E49" s="162"/>
      <c r="F49" s="162"/>
      <c r="G49" s="162"/>
      <c r="H49" s="162"/>
      <c r="I49" s="162"/>
      <c r="J49" s="162"/>
      <c r="K49" s="162"/>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98"/>
      <c r="AK49" s="198"/>
      <c r="AL49" s="198"/>
      <c r="AM49" s="198"/>
      <c r="AN49" s="198"/>
      <c r="AO49" s="198"/>
      <c r="AP49" s="198"/>
      <c r="AQ49" s="198"/>
    </row>
    <row r="50" spans="3:43" s="158" customFormat="1" ht="15" customHeight="1">
      <c r="AJ50" s="149"/>
      <c r="AK50" s="149"/>
      <c r="AL50" s="149"/>
      <c r="AM50" s="149"/>
      <c r="AN50" s="149"/>
      <c r="AO50" s="149"/>
      <c r="AP50" s="149"/>
      <c r="AQ50" s="149"/>
    </row>
    <row r="51" spans="3:43" s="158" customFormat="1" ht="15" customHeight="1">
      <c r="E51" s="158" t="str">
        <f>Input!E311</f>
        <v>Overall net income of Directly Remunerated Services</v>
      </c>
      <c r="G51" s="158" t="s">
        <v>844</v>
      </c>
      <c r="AJ51" s="168">
        <f>Input!AJ311</f>
        <v>6.2777070121585181</v>
      </c>
      <c r="AK51" s="168">
        <f>Input!AK311</f>
        <v>5.4998776564961647</v>
      </c>
      <c r="AL51" s="168">
        <f>Input!AL311</f>
        <v>4.5187519694192337</v>
      </c>
      <c r="AM51" s="168">
        <f>Input!AM311</f>
        <v>3.6541326982796019</v>
      </c>
      <c r="AN51" s="168">
        <f>Input!AN311</f>
        <v>2.9168245187739217</v>
      </c>
      <c r="AO51" s="168">
        <f>Input!AO311</f>
        <v>2.3844989542891049</v>
      </c>
      <c r="AP51" s="168">
        <f>Input!AP311</f>
        <v>2.2608632488224418</v>
      </c>
      <c r="AQ51" s="168">
        <f>Input!AQ311</f>
        <v>2.2668838721306548</v>
      </c>
    </row>
    <row r="52" spans="3:43" s="158" customFormat="1" ht="15" customHeight="1">
      <c r="AJ52" s="147"/>
      <c r="AK52" s="147"/>
      <c r="AL52" s="147"/>
      <c r="AM52" s="147"/>
      <c r="AN52" s="147"/>
      <c r="AO52" s="147"/>
      <c r="AP52" s="147"/>
      <c r="AQ52" s="147"/>
    </row>
    <row r="53" spans="3:43" s="158" customFormat="1" ht="15" customHeight="1">
      <c r="C53" s="160" t="s">
        <v>727</v>
      </c>
      <c r="D53" s="160"/>
      <c r="E53" s="160"/>
      <c r="F53" s="160"/>
      <c r="G53" s="160"/>
      <c r="H53" s="16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331"/>
      <c r="AK53" s="331"/>
      <c r="AL53" s="331"/>
      <c r="AM53" s="331"/>
      <c r="AN53" s="331"/>
      <c r="AO53" s="331"/>
      <c r="AP53" s="331"/>
      <c r="AQ53" s="331"/>
    </row>
    <row r="54" spans="3:43" s="158" customFormat="1" ht="15" customHeight="1">
      <c r="AJ54" s="149"/>
      <c r="AK54" s="149"/>
      <c r="AL54" s="149"/>
      <c r="AM54" s="149"/>
      <c r="AN54" s="149"/>
      <c r="AO54" s="149"/>
      <c r="AP54" s="149"/>
      <c r="AQ54" s="149"/>
    </row>
    <row r="55" spans="3:43" s="158" customFormat="1" ht="15" customHeight="1">
      <c r="D55" s="162" t="s">
        <v>797</v>
      </c>
      <c r="E55" s="162"/>
      <c r="F55" s="162"/>
      <c r="G55" s="162"/>
      <c r="H55" s="162"/>
      <c r="I55" s="162"/>
      <c r="J55" s="162"/>
      <c r="K55" s="162"/>
      <c r="L55" s="162"/>
      <c r="M55" s="162"/>
      <c r="N55" s="162"/>
      <c r="O55" s="162"/>
      <c r="P55" s="162"/>
      <c r="Q55" s="162"/>
      <c r="R55" s="162"/>
      <c r="S55" s="162"/>
      <c r="T55" s="162"/>
      <c r="U55" s="162"/>
      <c r="V55" s="162"/>
      <c r="W55" s="162"/>
      <c r="X55" s="162"/>
      <c r="Y55" s="162"/>
      <c r="Z55" s="162"/>
      <c r="AA55" s="162"/>
      <c r="AB55" s="162"/>
      <c r="AC55" s="162"/>
      <c r="AD55" s="162"/>
      <c r="AE55" s="162"/>
      <c r="AF55" s="162"/>
      <c r="AG55" s="162"/>
      <c r="AH55" s="162"/>
      <c r="AI55" s="162"/>
      <c r="AJ55" s="198"/>
      <c r="AK55" s="198"/>
      <c r="AL55" s="198"/>
      <c r="AM55" s="198"/>
      <c r="AN55" s="198"/>
      <c r="AO55" s="198"/>
      <c r="AP55" s="198"/>
      <c r="AQ55" s="198"/>
    </row>
    <row r="56" spans="3:43" s="158" customFormat="1" ht="15" customHeight="1">
      <c r="AJ56" s="149"/>
      <c r="AK56" s="149"/>
      <c r="AL56" s="149"/>
      <c r="AM56" s="149"/>
      <c r="AN56" s="149"/>
      <c r="AO56" s="149"/>
      <c r="AP56" s="149"/>
      <c r="AQ56" s="149"/>
    </row>
    <row r="57" spans="3:43" s="158" customFormat="1" ht="15" customHeight="1">
      <c r="E57" s="158" t="s">
        <v>727</v>
      </c>
      <c r="G57" s="158" t="s">
        <v>844</v>
      </c>
      <c r="AJ57" s="168">
        <f>Input!AJ251</f>
        <v>0</v>
      </c>
      <c r="AK57" s="168">
        <f>Input!AK251</f>
        <v>0</v>
      </c>
      <c r="AL57" s="168">
        <f>Input!AL251</f>
        <v>0</v>
      </c>
      <c r="AM57" s="168">
        <f>Input!AM251</f>
        <v>0</v>
      </c>
      <c r="AN57" s="168">
        <f>Input!AN251</f>
        <v>0</v>
      </c>
      <c r="AO57" s="168">
        <f>Input!AO251</f>
        <v>0</v>
      </c>
      <c r="AP57" s="168">
        <f>Input!AP251</f>
        <v>0</v>
      </c>
      <c r="AQ57" s="168">
        <f>Input!AQ251</f>
        <v>0</v>
      </c>
    </row>
    <row r="58" spans="3:43" s="158" customFormat="1" ht="15" customHeight="1">
      <c r="AJ58" s="147"/>
      <c r="AK58" s="147"/>
      <c r="AL58" s="147"/>
      <c r="AM58" s="147"/>
      <c r="AN58" s="147"/>
      <c r="AO58" s="147"/>
      <c r="AP58" s="147"/>
      <c r="AQ58" s="147"/>
    </row>
    <row r="59" spans="3:43" s="158" customFormat="1" ht="15" customHeight="1">
      <c r="C59" s="160" t="s">
        <v>223</v>
      </c>
      <c r="D59" s="160"/>
      <c r="E59" s="160"/>
      <c r="F59" s="160"/>
      <c r="G59" s="160"/>
      <c r="H59" s="160"/>
      <c r="I59" s="160"/>
      <c r="J59" s="160"/>
      <c r="K59" s="160"/>
      <c r="L59" s="160"/>
      <c r="M59" s="160"/>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331"/>
      <c r="AK59" s="331"/>
      <c r="AL59" s="331"/>
      <c r="AM59" s="331"/>
      <c r="AN59" s="331"/>
      <c r="AO59" s="331"/>
      <c r="AP59" s="331"/>
      <c r="AQ59" s="331"/>
    </row>
    <row r="60" spans="3:43" s="158" customFormat="1" ht="15" customHeight="1">
      <c r="C60" s="432" t="s">
        <v>733</v>
      </c>
      <c r="D60" s="166"/>
      <c r="E60" s="166"/>
      <c r="F60" s="166"/>
      <c r="G60" s="166"/>
      <c r="H60" s="166"/>
      <c r="I60" s="166"/>
      <c r="J60" s="166"/>
      <c r="K60" s="166"/>
      <c r="L60" s="166"/>
      <c r="M60" s="166"/>
      <c r="N60" s="166"/>
      <c r="O60" s="166"/>
      <c r="P60" s="166"/>
      <c r="Q60" s="166"/>
      <c r="R60" s="166"/>
      <c r="S60" s="166"/>
      <c r="T60" s="166"/>
      <c r="U60" s="166"/>
      <c r="V60" s="166"/>
      <c r="W60" s="166"/>
      <c r="X60" s="166"/>
      <c r="Y60" s="166"/>
      <c r="Z60" s="166"/>
      <c r="AA60" s="166"/>
      <c r="AB60" s="166"/>
      <c r="AC60" s="166"/>
      <c r="AD60" s="166"/>
      <c r="AE60" s="166"/>
      <c r="AF60" s="166"/>
      <c r="AG60" s="166"/>
      <c r="AH60" s="166"/>
      <c r="AI60" s="166"/>
      <c r="AJ60" s="197"/>
      <c r="AK60" s="197"/>
      <c r="AL60" s="197"/>
      <c r="AM60" s="197"/>
      <c r="AN60" s="197"/>
      <c r="AO60" s="197"/>
      <c r="AP60" s="197"/>
      <c r="AQ60" s="197"/>
    </row>
    <row r="61" spans="3:43" s="158" customFormat="1" ht="15" customHeight="1">
      <c r="C61" s="166"/>
      <c r="D61" s="166"/>
      <c r="E61" s="166"/>
      <c r="F61" s="166"/>
      <c r="G61" s="166"/>
      <c r="H61" s="166"/>
      <c r="I61" s="166"/>
      <c r="J61" s="166"/>
      <c r="K61" s="166"/>
      <c r="L61" s="166"/>
      <c r="M61" s="166"/>
      <c r="N61" s="166"/>
      <c r="O61" s="166"/>
      <c r="P61" s="166"/>
      <c r="Q61" s="166"/>
      <c r="R61" s="166"/>
      <c r="S61" s="166"/>
      <c r="T61" s="166"/>
      <c r="U61" s="166"/>
      <c r="V61" s="166"/>
      <c r="W61" s="166"/>
      <c r="X61" s="166"/>
      <c r="Y61" s="166"/>
      <c r="Z61" s="166"/>
      <c r="AA61" s="166"/>
      <c r="AB61" s="166"/>
      <c r="AC61" s="166"/>
      <c r="AD61" s="166"/>
      <c r="AE61" s="166"/>
      <c r="AF61" s="166"/>
      <c r="AG61" s="166"/>
      <c r="AH61" s="166"/>
      <c r="AI61" s="166"/>
      <c r="AJ61" s="197"/>
      <c r="AK61" s="197"/>
      <c r="AL61" s="197"/>
      <c r="AM61" s="197"/>
      <c r="AN61" s="197"/>
      <c r="AO61" s="197"/>
      <c r="AP61" s="197"/>
      <c r="AQ61" s="197"/>
    </row>
    <row r="62" spans="3:43" s="158" customFormat="1" ht="15" customHeight="1">
      <c r="C62" s="166"/>
      <c r="D62" s="166"/>
      <c r="E62" s="166"/>
      <c r="F62" s="166"/>
      <c r="G62" s="166"/>
      <c r="H62" s="166"/>
      <c r="I62" s="166"/>
      <c r="J62" s="166"/>
      <c r="K62" s="166"/>
      <c r="L62" s="166"/>
      <c r="M62" s="166"/>
      <c r="N62" s="166"/>
      <c r="O62" s="166"/>
      <c r="P62" s="166"/>
      <c r="Q62" s="166"/>
      <c r="R62" s="166"/>
      <c r="S62" s="166"/>
      <c r="T62" s="166"/>
      <c r="U62" s="166"/>
      <c r="V62" s="166"/>
      <c r="W62" s="166"/>
      <c r="X62" s="166"/>
      <c r="Y62" s="166"/>
      <c r="Z62" s="166"/>
      <c r="AA62" s="166"/>
      <c r="AB62" s="166"/>
      <c r="AC62" s="166"/>
      <c r="AD62" s="166"/>
      <c r="AE62" s="166"/>
      <c r="AF62" s="166"/>
      <c r="AG62" s="166"/>
      <c r="AH62" s="166"/>
      <c r="AI62" s="166"/>
      <c r="AJ62" s="197"/>
      <c r="AK62" s="197"/>
      <c r="AL62" s="197"/>
      <c r="AM62" s="197"/>
      <c r="AN62" s="197"/>
      <c r="AO62" s="197"/>
      <c r="AP62" s="197"/>
      <c r="AQ62" s="197"/>
    </row>
    <row r="63" spans="3:43" s="158" customFormat="1" ht="15" customHeight="1">
      <c r="C63" s="166"/>
      <c r="D63" s="166"/>
      <c r="E63" s="166"/>
      <c r="F63" s="166"/>
      <c r="G63" s="166"/>
      <c r="H63" s="166"/>
      <c r="I63" s="166"/>
      <c r="J63" s="166"/>
      <c r="K63" s="166"/>
      <c r="L63" s="166"/>
      <c r="M63" s="166"/>
      <c r="N63" s="166"/>
      <c r="O63" s="166"/>
      <c r="P63" s="166"/>
      <c r="Q63" s="166"/>
      <c r="R63" s="166"/>
      <c r="S63" s="166"/>
      <c r="T63" s="166"/>
      <c r="U63" s="166"/>
      <c r="V63" s="166"/>
      <c r="W63" s="166"/>
      <c r="X63" s="166"/>
      <c r="Y63" s="166"/>
      <c r="Z63" s="166"/>
      <c r="AA63" s="166"/>
      <c r="AB63" s="166"/>
      <c r="AC63" s="166"/>
      <c r="AD63" s="166"/>
      <c r="AE63" s="166"/>
      <c r="AF63" s="166"/>
      <c r="AG63" s="166"/>
      <c r="AH63" s="166"/>
      <c r="AI63" s="166"/>
      <c r="AJ63" s="197"/>
      <c r="AK63" s="197"/>
      <c r="AL63" s="197"/>
      <c r="AM63" s="197"/>
      <c r="AN63" s="197"/>
      <c r="AO63" s="197"/>
      <c r="AP63" s="197"/>
      <c r="AQ63" s="197"/>
    </row>
    <row r="64" spans="3:43" s="158" customFormat="1" ht="15" customHeight="1">
      <c r="AJ64" s="149"/>
      <c r="AK64" s="149"/>
      <c r="AL64" s="149"/>
      <c r="AM64" s="149"/>
      <c r="AN64" s="149"/>
      <c r="AO64" s="149"/>
      <c r="AP64" s="149"/>
      <c r="AQ64" s="149"/>
    </row>
    <row r="65" spans="2:48" s="158" customFormat="1" ht="15" customHeight="1">
      <c r="E65" s="158" t="s">
        <v>338</v>
      </c>
      <c r="G65" s="158" t="s">
        <v>844</v>
      </c>
      <c r="AJ65" s="149">
        <f xml:space="preserve"> AJ20 + AJ25 + AJ30 +AJ37  + AJ44</f>
        <v>19.368148304193433</v>
      </c>
      <c r="AK65" s="149">
        <f t="shared" ref="AK65:AP65" si="4" xml:space="preserve"> AK20 + AK25 + AK30 +AK37  + AK44</f>
        <v>14.592654196632846</v>
      </c>
      <c r="AL65" s="149">
        <f t="shared" si="4"/>
        <v>18.56992898761159</v>
      </c>
      <c r="AM65" s="149">
        <f t="shared" si="4"/>
        <v>24.405023279697769</v>
      </c>
      <c r="AN65" s="149">
        <f t="shared" si="4"/>
        <v>39.613423928034422</v>
      </c>
      <c r="AO65" s="149">
        <f t="shared" si="4"/>
        <v>46.69229918053248</v>
      </c>
      <c r="AP65" s="149">
        <f t="shared" si="4"/>
        <v>54.753511361654773</v>
      </c>
      <c r="AQ65" s="149">
        <f xml:space="preserve"> AQ20 + AQ25 + AQ30 +AQ37  + AQ44</f>
        <v>65.344387923066535</v>
      </c>
    </row>
    <row r="66" spans="2:48" s="158" customFormat="1" ht="15" customHeight="1">
      <c r="AJ66" s="149"/>
      <c r="AK66" s="149"/>
      <c r="AL66" s="149"/>
      <c r="AM66" s="149"/>
      <c r="AN66" s="149"/>
      <c r="AO66" s="149"/>
      <c r="AP66" s="149"/>
      <c r="AQ66" s="149"/>
    </row>
    <row r="67" spans="2:48" s="158" customFormat="1" ht="15" customHeight="1">
      <c r="E67" s="158" t="s">
        <v>337</v>
      </c>
      <c r="G67" s="158" t="s">
        <v>844</v>
      </c>
      <c r="AJ67" s="152">
        <f xml:space="preserve">  AJ43+AJ51+AJ57</f>
        <v>6.2777070121585181</v>
      </c>
      <c r="AK67" s="152">
        <f t="shared" ref="AK67:AQ67" si="5" xml:space="preserve">  AK43+AK51+AK57</f>
        <v>5.4998776564961647</v>
      </c>
      <c r="AL67" s="152">
        <f t="shared" si="5"/>
        <v>4.5187519694192337</v>
      </c>
      <c r="AM67" s="152">
        <f t="shared" si="5"/>
        <v>3.6541326982796019</v>
      </c>
      <c r="AN67" s="152">
        <f t="shared" si="5"/>
        <v>2.9168245187739217</v>
      </c>
      <c r="AO67" s="152">
        <f t="shared" si="5"/>
        <v>2.3844989542891049</v>
      </c>
      <c r="AP67" s="152">
        <f t="shared" si="5"/>
        <v>2.2608632488224418</v>
      </c>
      <c r="AQ67" s="152">
        <f t="shared" si="5"/>
        <v>2.2668838721306548</v>
      </c>
    </row>
    <row r="68" spans="2:48" s="158" customFormat="1" ht="15" customHeight="1">
      <c r="AJ68" s="149"/>
      <c r="AK68" s="149"/>
      <c r="AL68" s="149"/>
      <c r="AM68" s="149"/>
      <c r="AN68" s="149"/>
      <c r="AO68" s="149"/>
      <c r="AP68" s="149"/>
      <c r="AQ68" s="149"/>
    </row>
    <row r="69" spans="2:48" s="158" customFormat="1" ht="15" customHeight="1">
      <c r="E69" s="158" t="s">
        <v>258</v>
      </c>
      <c r="G69" s="158" t="s">
        <v>844</v>
      </c>
      <c r="AJ69" s="152">
        <f t="shared" ref="AJ69" si="6">-AJ20-AJ44+AJ45+AJ51+AJ57</f>
        <v>-24.917784294160249</v>
      </c>
      <c r="AK69" s="152">
        <f>-AK20-AK44+AK45+AK51+AK57</f>
        <v>-25.695613649822604</v>
      </c>
      <c r="AL69" s="152">
        <f t="shared" ref="AL69:AQ69" si="7">-AL20-AL44+AL45+AL51+AL57</f>
        <v>-26.676739336899534</v>
      </c>
      <c r="AM69" s="152">
        <f t="shared" si="7"/>
        <v>-27.541358608039168</v>
      </c>
      <c r="AN69" s="152">
        <f t="shared" si="7"/>
        <v>-28.278666787544847</v>
      </c>
      <c r="AO69" s="152">
        <f t="shared" si="7"/>
        <v>-28.810992352029665</v>
      </c>
      <c r="AP69" s="152">
        <f t="shared" si="7"/>
        <v>-28.934628057496326</v>
      </c>
      <c r="AQ69" s="152">
        <f t="shared" si="7"/>
        <v>-28.928607434188113</v>
      </c>
      <c r="AR69" s="81"/>
      <c r="AS69" s="81"/>
      <c r="AT69" s="81"/>
      <c r="AU69" s="81"/>
      <c r="AV69" s="81"/>
    </row>
    <row r="70" spans="2:48" s="158" customFormat="1" ht="15" customHeight="1">
      <c r="AJ70" s="149"/>
      <c r="AK70" s="149"/>
      <c r="AL70" s="149"/>
      <c r="AM70" s="149"/>
      <c r="AN70" s="149"/>
      <c r="AO70" s="149"/>
      <c r="AP70" s="149"/>
      <c r="AQ70" s="149"/>
    </row>
    <row r="71" spans="2:48" s="158" customFormat="1" ht="15" customHeight="1">
      <c r="E71" s="158" t="s">
        <v>257</v>
      </c>
      <c r="G71" s="158" t="s">
        <v>844</v>
      </c>
      <c r="AJ71" s="149">
        <f t="shared" ref="AJ71" si="8" xml:space="preserve"> - AJ20 - AJ30 - AJ44</f>
        <v>-33.198121686836785</v>
      </c>
      <c r="AK71" s="149">
        <f xml:space="preserve"> - AK20 - AK30 - AK44</f>
        <v>-33.291944920164056</v>
      </c>
      <c r="AL71" s="149">
        <f t="shared" ref="AL71:AQ71" si="9" xml:space="preserve"> - AL20 - AL30 - AL44</f>
        <v>-33.390163771972709</v>
      </c>
      <c r="AM71" s="149">
        <f t="shared" si="9"/>
        <v>-33.4929841769886</v>
      </c>
      <c r="AN71" s="149">
        <f t="shared" si="9"/>
        <v>-33.600621717979479</v>
      </c>
      <c r="AO71" s="149">
        <f t="shared" si="9"/>
        <v>-33.713302077765782</v>
      </c>
      <c r="AP71" s="149">
        <f t="shared" si="9"/>
        <v>-33.831261512408076</v>
      </c>
      <c r="AQ71" s="149">
        <f t="shared" si="9"/>
        <v>-33.954747346563359</v>
      </c>
    </row>
    <row r="72" spans="2:48" s="158" customFormat="1" ht="15" customHeight="1"/>
    <row r="73" spans="2:48" ht="15" customHeight="1">
      <c r="B73" s="15" t="s">
        <v>53</v>
      </c>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row>
    <row r="74" spans="2:48" ht="15" customHeight="1"/>
    <row r="75" spans="2:48" ht="15" customHeight="1"/>
    <row r="76" spans="2:48" ht="15" customHeight="1"/>
    <row r="77" spans="2:48" ht="15" customHeight="1"/>
    <row r="78" spans="2:48" ht="15" hidden="1" customHeight="1"/>
    <row r="79" spans="2:48" ht="15" hidden="1" customHeight="1"/>
    <row r="80" spans="2:48" ht="15" hidden="1" customHeight="1"/>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customHeight="1"/>
    <row r="110" ht="15" customHeight="1"/>
    <row r="111" ht="15" customHeight="1"/>
    <row r="112" ht="15" customHeight="1"/>
    <row r="113" ht="15" customHeight="1"/>
    <row r="114" ht="15" customHeight="1"/>
    <row r="115" ht="15" customHeight="1"/>
    <row r="116" ht="15" customHeight="1"/>
    <row r="117" ht="15" customHeight="1"/>
  </sheetData>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7">
    <tabColor theme="7" tint="0.59999389629810485"/>
  </sheetPr>
  <dimension ref="A1:BV258"/>
  <sheetViews>
    <sheetView zoomScale="75" zoomScaleNormal="75" workbookViewId="0">
      <pane xSplit="10" ySplit="7" topLeftCell="K8" activePane="bottomRight" state="frozen"/>
      <selection activeCell="F444" sqref="F444"/>
      <selection pane="topRight" activeCell="F444" sqref="F444"/>
      <selection pane="bottomLeft" activeCell="F444" sqref="F444"/>
      <selection pane="bottomRight"/>
    </sheetView>
  </sheetViews>
  <sheetFormatPr defaultColWidth="9" defaultRowHeight="15" customHeight="1" outlineLevelCol="1"/>
  <cols>
    <col min="1" max="1" width="1.625" style="158" customWidth="1"/>
    <col min="2" max="2" width="9.25" style="158" customWidth="1"/>
    <col min="3" max="3" width="7.625" style="158" customWidth="1"/>
    <col min="4" max="4" width="1.625" style="158" customWidth="1"/>
    <col min="5" max="5" width="39.375" style="158" customWidth="1"/>
    <col min="6" max="6" width="1.625" style="158" customWidth="1"/>
    <col min="7" max="7" width="12.625" style="158" customWidth="1"/>
    <col min="8" max="8" width="2.375" style="158" customWidth="1"/>
    <col min="9" max="9" width="10.625" style="158" customWidth="1"/>
    <col min="10" max="10" width="1.625" style="22" customWidth="1"/>
    <col min="11" max="35" width="10.625" style="158" customWidth="1" outlineLevel="1"/>
    <col min="36" max="43" width="10.625" style="158" customWidth="1"/>
    <col min="44" max="44" width="1.625" style="158" customWidth="1"/>
    <col min="45" max="16384" width="9" style="158"/>
  </cols>
  <sheetData>
    <row r="1" spans="1:44" s="6" customFormat="1">
      <c r="A1" s="5" t="s">
        <v>244</v>
      </c>
      <c r="J1" s="46"/>
      <c r="K1" s="46"/>
      <c r="L1" s="46"/>
      <c r="M1" s="46"/>
      <c r="N1" s="46"/>
      <c r="O1" s="46"/>
      <c r="P1" s="46"/>
      <c r="Q1" s="46"/>
      <c r="R1" s="46"/>
      <c r="S1" s="46"/>
      <c r="T1" s="46"/>
      <c r="U1" s="46"/>
      <c r="V1" s="46"/>
      <c r="W1" s="46"/>
      <c r="X1" s="46"/>
      <c r="Y1" s="46"/>
      <c r="Z1" s="46"/>
      <c r="AR1" s="142"/>
    </row>
    <row r="2" spans="1:44" s="6" customFormat="1" ht="15" customHeight="1">
      <c r="B2" s="8" t="str">
        <f>UserInterface!G24</f>
        <v>SPN</v>
      </c>
      <c r="AJ2" s="301" t="s">
        <v>639</v>
      </c>
    </row>
    <row r="3" spans="1:44" s="6" customFormat="1" ht="15" customHeight="1">
      <c r="B3" s="8"/>
      <c r="AJ3" s="301"/>
    </row>
    <row r="4" spans="1:44" s="6" customFormat="1" ht="15" customHeight="1">
      <c r="B4" s="8"/>
      <c r="AJ4" s="301"/>
    </row>
    <row r="5" spans="1:44" s="6" customFormat="1" ht="15" customHeight="1">
      <c r="B5" s="8"/>
      <c r="AJ5" s="301"/>
    </row>
    <row r="6" spans="1:44" s="6" customFormat="1" ht="15" customHeight="1">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row>
    <row r="7" spans="1:44" s="6" customFormat="1" ht="15" customHeight="1">
      <c r="E7" s="6" t="s">
        <v>236</v>
      </c>
      <c r="G7" s="182"/>
      <c r="H7" s="182"/>
      <c r="I7" s="183">
        <f>UserInterface!$G$17</f>
        <v>42460</v>
      </c>
      <c r="J7" s="182"/>
      <c r="K7" s="181">
        <v>33328</v>
      </c>
      <c r="L7" s="181">
        <v>33694</v>
      </c>
      <c r="M7" s="181">
        <v>34059</v>
      </c>
      <c r="N7" s="181">
        <v>34424</v>
      </c>
      <c r="O7" s="181">
        <v>34789</v>
      </c>
      <c r="P7" s="181">
        <v>35155</v>
      </c>
      <c r="Q7" s="181">
        <v>35520</v>
      </c>
      <c r="R7" s="181">
        <v>35885</v>
      </c>
      <c r="S7" s="181">
        <v>36250</v>
      </c>
      <c r="T7" s="181">
        <v>36616</v>
      </c>
      <c r="U7" s="181">
        <v>36981</v>
      </c>
      <c r="V7" s="181">
        <v>37346</v>
      </c>
      <c r="W7" s="181">
        <v>37711</v>
      </c>
      <c r="X7" s="181">
        <v>38077</v>
      </c>
      <c r="Y7" s="181">
        <v>38442</v>
      </c>
      <c r="Z7" s="181">
        <v>38807</v>
      </c>
      <c r="AA7" s="181">
        <v>39172</v>
      </c>
      <c r="AB7" s="181">
        <v>39538</v>
      </c>
      <c r="AC7" s="181">
        <v>39903</v>
      </c>
      <c r="AD7" s="181">
        <v>40268</v>
      </c>
      <c r="AE7" s="181">
        <v>40633</v>
      </c>
      <c r="AF7" s="181">
        <v>40999</v>
      </c>
      <c r="AG7" s="181">
        <v>41364</v>
      </c>
      <c r="AH7" s="181">
        <v>41729</v>
      </c>
      <c r="AI7" s="181">
        <v>42094</v>
      </c>
      <c r="AJ7" s="181">
        <v>42460</v>
      </c>
      <c r="AK7" s="181">
        <v>42825</v>
      </c>
      <c r="AL7" s="181">
        <v>43190</v>
      </c>
      <c r="AM7" s="181">
        <v>43555</v>
      </c>
      <c r="AN7" s="181">
        <v>43921</v>
      </c>
      <c r="AO7" s="181">
        <v>44286</v>
      </c>
      <c r="AP7" s="181">
        <v>44651</v>
      </c>
      <c r="AQ7" s="181">
        <v>45016</v>
      </c>
    </row>
    <row r="9" spans="1:44" s="151" customFormat="1" ht="15" customHeight="1">
      <c r="B9" s="15" t="s">
        <v>13</v>
      </c>
      <c r="C9" s="15"/>
      <c r="D9" s="15"/>
      <c r="E9" s="15"/>
      <c r="F9" s="15"/>
      <c r="G9" s="15"/>
      <c r="H9" s="15"/>
      <c r="I9" s="15"/>
      <c r="J9" s="302"/>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row>
    <row r="10" spans="1:44" s="151" customFormat="1" ht="15" customHeight="1">
      <c r="B10" s="147"/>
      <c r="D10" s="147"/>
      <c r="E10" s="147"/>
      <c r="F10" s="147"/>
      <c r="G10" s="147"/>
      <c r="H10" s="147"/>
      <c r="I10" s="147"/>
      <c r="J10" s="31"/>
    </row>
    <row r="11" spans="1:44" s="151" customFormat="1" ht="15" customHeight="1">
      <c r="B11" s="147"/>
      <c r="C11" s="17" t="s">
        <v>389</v>
      </c>
      <c r="D11" s="17"/>
      <c r="E11" s="17"/>
      <c r="F11" s="17"/>
      <c r="G11" s="17"/>
      <c r="H11" s="17"/>
      <c r="I11" s="17"/>
      <c r="J11" s="100"/>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row>
    <row r="12" spans="1:44" s="151" customFormat="1" ht="15" customHeight="1">
      <c r="B12" s="147"/>
      <c r="C12" s="166" t="s">
        <v>396</v>
      </c>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row>
    <row r="13" spans="1:44" s="151" customFormat="1" ht="15" customHeight="1">
      <c r="B13" s="147"/>
      <c r="C13" s="166" t="s">
        <v>656</v>
      </c>
      <c r="D13" s="166"/>
      <c r="E13" s="166"/>
      <c r="F13" s="166"/>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row>
    <row r="14" spans="1:44" ht="15" customHeight="1">
      <c r="C14" s="20"/>
      <c r="E14" s="21"/>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row>
    <row r="15" spans="1:44" ht="15" customHeight="1">
      <c r="E15" s="25" t="s">
        <v>70</v>
      </c>
      <c r="F15" s="149"/>
      <c r="G15" s="158" t="s">
        <v>844</v>
      </c>
      <c r="H15" s="149"/>
      <c r="I15" s="149"/>
      <c r="J15" s="153"/>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107"/>
      <c r="AJ15" s="152">
        <f>TIM!AJ72</f>
        <v>157.2306932997239</v>
      </c>
      <c r="AK15" s="152">
        <f>TIM!AK72</f>
        <v>171.88702831647345</v>
      </c>
      <c r="AL15" s="152">
        <f>TIM!AL72</f>
        <v>167.63012731337571</v>
      </c>
      <c r="AM15" s="152">
        <f>TIM!AM72</f>
        <v>162.14536051015963</v>
      </c>
      <c r="AN15" s="152">
        <f>TIM!AN72</f>
        <v>157.21615584475998</v>
      </c>
      <c r="AO15" s="152">
        <f>TIM!AO72</f>
        <v>152.36174091460876</v>
      </c>
      <c r="AP15" s="152">
        <f>TIM!AP72</f>
        <v>152.79897079574016</v>
      </c>
      <c r="AQ15" s="152">
        <f>TIM!AQ72</f>
        <v>148.8695577731709</v>
      </c>
    </row>
    <row r="16" spans="1:44" ht="15" customHeight="1">
      <c r="E16" s="25" t="s">
        <v>488</v>
      </c>
      <c r="F16" s="149"/>
      <c r="G16" s="158" t="s">
        <v>844</v>
      </c>
      <c r="H16" s="149"/>
      <c r="I16" s="149"/>
      <c r="J16" s="153"/>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07"/>
      <c r="AJ16" s="152">
        <f>SUM(Input!AJ332:AJ333)</f>
        <v>0</v>
      </c>
      <c r="AK16" s="152">
        <f>SUM(Input!AK332:AK333)</f>
        <v>0</v>
      </c>
      <c r="AL16" s="152">
        <f>SUM(Input!AL332:AL333)</f>
        <v>0</v>
      </c>
      <c r="AM16" s="152">
        <f>SUM(Input!AM332:AM333)</f>
        <v>0</v>
      </c>
      <c r="AN16" s="152">
        <f>SUM(Input!AN332:AN333)</f>
        <v>0</v>
      </c>
      <c r="AO16" s="152">
        <f>SUM(Input!AO332:AO333)</f>
        <v>0</v>
      </c>
      <c r="AP16" s="152">
        <f>SUM(Input!AP332:AP333)</f>
        <v>0</v>
      </c>
      <c r="AQ16" s="152">
        <f>SUM(Input!AQ332:AQ333)</f>
        <v>0</v>
      </c>
    </row>
    <row r="17" spans="2:43" ht="15" customHeight="1">
      <c r="E17" s="25" t="s">
        <v>390</v>
      </c>
      <c r="F17" s="149"/>
      <c r="G17" s="158" t="s">
        <v>844</v>
      </c>
      <c r="H17" s="149"/>
      <c r="I17" s="149"/>
      <c r="J17" s="153" t="s">
        <v>56</v>
      </c>
      <c r="K17" s="149">
        <f>SUM(Input!K329:K331)</f>
        <v>21.107503804376339</v>
      </c>
      <c r="L17" s="149">
        <f>SUM(Input!L329:L331)</f>
        <v>79.191656609119988</v>
      </c>
      <c r="M17" s="149">
        <f>SUM(Input!M329:M331)</f>
        <v>79.191656609119988</v>
      </c>
      <c r="N17" s="149">
        <f>SUM(Input!N329:N331)</f>
        <v>88.435818859211835</v>
      </c>
      <c r="O17" s="149">
        <f>SUM(Input!O329:O331)</f>
        <v>64.092858267303342</v>
      </c>
      <c r="P17" s="149">
        <f>SUM(Input!P329:P331)</f>
        <v>49.148129296321557</v>
      </c>
      <c r="Q17" s="149">
        <f>SUM(Input!Q329:Q331)</f>
        <v>62.860303300624423</v>
      </c>
      <c r="R17" s="149">
        <f>SUM(Input!R329:R331)</f>
        <v>44.371978800440779</v>
      </c>
      <c r="S17" s="149">
        <f>SUM(Input!S329:S331)</f>
        <v>63.649615795633814</v>
      </c>
      <c r="T17" s="149">
        <f>SUM(Input!T329:T331)</f>
        <v>59.863375413285262</v>
      </c>
      <c r="U17" s="149">
        <f>SUM(Input!U329:U331)</f>
        <v>75.409125401303626</v>
      </c>
      <c r="V17" s="149">
        <f>SUM(Input!V329:V331)</f>
        <v>103.78739782668701</v>
      </c>
      <c r="W17" s="149">
        <f>SUM(Input!W329:W331)</f>
        <v>96.620140606251795</v>
      </c>
      <c r="X17" s="149">
        <f>SUM(Input!X329:X331)</f>
        <v>99.090190437046175</v>
      </c>
      <c r="Y17" s="149">
        <f>SUM(Input!Y329:Y331)</f>
        <v>106.75865775226399</v>
      </c>
      <c r="Z17" s="149">
        <f>SUM(Input!Z329:Z331)</f>
        <v>125.68988489878477</v>
      </c>
      <c r="AA17" s="149">
        <f>SUM(Input!AA329:AA331)</f>
        <v>99.791717315630706</v>
      </c>
      <c r="AB17" s="149">
        <f>SUM(Input!AB329:AB331)</f>
        <v>139.35065489182935</v>
      </c>
      <c r="AC17" s="149">
        <f>SUM(Input!AC329:AC331)</f>
        <v>165.06591526344377</v>
      </c>
      <c r="AD17" s="149">
        <f>SUM(Input!AD329:AD331)</f>
        <v>196.1644111927435</v>
      </c>
      <c r="AE17" s="149">
        <f>SUM(Input!AE329:AE331)</f>
        <v>181.68144275863403</v>
      </c>
      <c r="AF17" s="149">
        <f>SUM(Input!AF329:AF331)</f>
        <v>157.62844612449771</v>
      </c>
      <c r="AG17" s="149">
        <f>SUM(Input!AG329:AG331)</f>
        <v>154.3742917688794</v>
      </c>
      <c r="AH17" s="149">
        <f>SUM(Input!AH329:AH331)</f>
        <v>169.1468192161847</v>
      </c>
      <c r="AI17" s="107">
        <f>SUM(Input!AI329:AI331)</f>
        <v>181.50568328158491</v>
      </c>
      <c r="AJ17" s="157"/>
      <c r="AK17" s="157"/>
      <c r="AL17" s="157"/>
      <c r="AM17" s="157"/>
      <c r="AN17" s="157"/>
      <c r="AO17" s="157"/>
      <c r="AP17" s="157"/>
      <c r="AQ17" s="157"/>
    </row>
    <row r="18" spans="2:43" s="151" customFormat="1" ht="15" customHeight="1">
      <c r="B18" s="147"/>
      <c r="D18" s="147"/>
      <c r="E18" s="147" t="s">
        <v>389</v>
      </c>
      <c r="F18" s="147"/>
      <c r="G18" s="158" t="s">
        <v>844</v>
      </c>
      <c r="H18" s="147"/>
      <c r="I18" s="147"/>
      <c r="J18" s="153" t="s">
        <v>56</v>
      </c>
      <c r="K18" s="167">
        <f>SUM(K15:K17)</f>
        <v>21.107503804376339</v>
      </c>
      <c r="L18" s="167">
        <f t="shared" ref="L18:AQ18" si="0">SUM(L15:L17)</f>
        <v>79.191656609119988</v>
      </c>
      <c r="M18" s="167">
        <f t="shared" si="0"/>
        <v>79.191656609119988</v>
      </c>
      <c r="N18" s="167">
        <f t="shared" si="0"/>
        <v>88.435818859211835</v>
      </c>
      <c r="O18" s="167">
        <f t="shared" si="0"/>
        <v>64.092858267303342</v>
      </c>
      <c r="P18" s="167">
        <f t="shared" si="0"/>
        <v>49.148129296321557</v>
      </c>
      <c r="Q18" s="167">
        <f t="shared" si="0"/>
        <v>62.860303300624423</v>
      </c>
      <c r="R18" s="167">
        <f t="shared" si="0"/>
        <v>44.371978800440779</v>
      </c>
      <c r="S18" s="167">
        <f t="shared" si="0"/>
        <v>63.649615795633814</v>
      </c>
      <c r="T18" s="167">
        <f t="shared" si="0"/>
        <v>59.863375413285262</v>
      </c>
      <c r="U18" s="167">
        <f t="shared" si="0"/>
        <v>75.409125401303626</v>
      </c>
      <c r="V18" s="167">
        <f t="shared" si="0"/>
        <v>103.78739782668701</v>
      </c>
      <c r="W18" s="167">
        <f t="shared" si="0"/>
        <v>96.620140606251795</v>
      </c>
      <c r="X18" s="167">
        <f t="shared" si="0"/>
        <v>99.090190437046175</v>
      </c>
      <c r="Y18" s="167">
        <f t="shared" si="0"/>
        <v>106.75865775226399</v>
      </c>
      <c r="Z18" s="167">
        <f t="shared" si="0"/>
        <v>125.68988489878477</v>
      </c>
      <c r="AA18" s="167">
        <f t="shared" si="0"/>
        <v>99.791717315630706</v>
      </c>
      <c r="AB18" s="167">
        <f t="shared" si="0"/>
        <v>139.35065489182935</v>
      </c>
      <c r="AC18" s="167">
        <f t="shared" si="0"/>
        <v>165.06591526344377</v>
      </c>
      <c r="AD18" s="167">
        <f t="shared" si="0"/>
        <v>196.1644111927435</v>
      </c>
      <c r="AE18" s="167">
        <f t="shared" si="0"/>
        <v>181.68144275863403</v>
      </c>
      <c r="AF18" s="167">
        <f t="shared" si="0"/>
        <v>157.62844612449771</v>
      </c>
      <c r="AG18" s="167">
        <f t="shared" si="0"/>
        <v>154.3742917688794</v>
      </c>
      <c r="AH18" s="167">
        <f t="shared" si="0"/>
        <v>169.1468192161847</v>
      </c>
      <c r="AI18" s="311">
        <f t="shared" si="0"/>
        <v>181.50568328158491</v>
      </c>
      <c r="AJ18" s="167">
        <f t="shared" si="0"/>
        <v>157.2306932997239</v>
      </c>
      <c r="AK18" s="167">
        <f t="shared" si="0"/>
        <v>171.88702831647345</v>
      </c>
      <c r="AL18" s="167">
        <f t="shared" si="0"/>
        <v>167.63012731337571</v>
      </c>
      <c r="AM18" s="167">
        <f t="shared" si="0"/>
        <v>162.14536051015963</v>
      </c>
      <c r="AN18" s="167">
        <f t="shared" si="0"/>
        <v>157.21615584475998</v>
      </c>
      <c r="AO18" s="167">
        <f t="shared" si="0"/>
        <v>152.36174091460876</v>
      </c>
      <c r="AP18" s="167">
        <f t="shared" si="0"/>
        <v>152.79897079574016</v>
      </c>
      <c r="AQ18" s="167">
        <f t="shared" si="0"/>
        <v>148.8695577731709</v>
      </c>
    </row>
    <row r="19" spans="2:43" s="151" customFormat="1" ht="15" customHeight="1">
      <c r="B19" s="147"/>
      <c r="D19" s="147"/>
      <c r="E19" s="147"/>
      <c r="F19" s="147"/>
      <c r="G19" s="158"/>
      <c r="H19" s="147"/>
      <c r="I19" s="147"/>
      <c r="J19" s="153"/>
      <c r="K19" s="157"/>
      <c r="L19" s="157"/>
      <c r="M19" s="157"/>
      <c r="N19" s="157"/>
      <c r="O19" s="157"/>
      <c r="P19" s="157"/>
      <c r="Q19" s="157"/>
      <c r="R19" s="157"/>
      <c r="S19" s="157"/>
      <c r="T19" s="157"/>
      <c r="U19" s="157"/>
      <c r="V19" s="157"/>
      <c r="W19" s="157"/>
      <c r="X19" s="157"/>
      <c r="Y19" s="157"/>
      <c r="Z19" s="157"/>
      <c r="AA19" s="157"/>
      <c r="AB19" s="157"/>
      <c r="AC19" s="157"/>
      <c r="AD19" s="157"/>
      <c r="AE19" s="157"/>
      <c r="AF19" s="157"/>
      <c r="AG19" s="157"/>
      <c r="AH19" s="157"/>
      <c r="AI19" s="157"/>
      <c r="AJ19" s="157"/>
      <c r="AK19" s="157"/>
      <c r="AL19" s="157"/>
      <c r="AM19" s="157"/>
      <c r="AN19" s="157"/>
      <c r="AO19" s="157"/>
      <c r="AP19" s="157"/>
      <c r="AQ19" s="157"/>
    </row>
    <row r="20" spans="2:43" s="151" customFormat="1" ht="15" customHeight="1">
      <c r="B20" s="147"/>
      <c r="C20" s="17" t="s">
        <v>433</v>
      </c>
      <c r="D20" s="17"/>
      <c r="E20" s="17"/>
      <c r="F20" s="17"/>
      <c r="G20" s="17"/>
      <c r="H20" s="17"/>
      <c r="I20" s="332"/>
      <c r="J20" s="332"/>
      <c r="K20" s="461"/>
      <c r="L20" s="461"/>
      <c r="M20" s="461"/>
      <c r="N20" s="461"/>
      <c r="O20" s="461"/>
      <c r="P20" s="461"/>
      <c r="Q20" s="461"/>
      <c r="R20" s="461"/>
      <c r="S20" s="461"/>
      <c r="T20" s="461"/>
      <c r="U20" s="461"/>
      <c r="V20" s="461"/>
      <c r="W20" s="461"/>
      <c r="X20" s="461"/>
      <c r="Y20" s="461"/>
      <c r="Z20" s="461"/>
      <c r="AA20" s="461"/>
      <c r="AB20" s="461"/>
      <c r="AC20" s="461"/>
      <c r="AD20" s="461"/>
      <c r="AE20" s="461"/>
      <c r="AF20" s="461"/>
      <c r="AG20" s="344"/>
      <c r="AH20" s="344"/>
      <c r="AI20" s="344"/>
      <c r="AJ20" s="332"/>
      <c r="AK20" s="332"/>
      <c r="AL20" s="332"/>
      <c r="AM20" s="332"/>
      <c r="AN20" s="332"/>
      <c r="AO20" s="332"/>
      <c r="AP20" s="332"/>
      <c r="AQ20" s="332"/>
    </row>
    <row r="21" spans="2:43" s="151" customFormat="1" ht="15" customHeight="1">
      <c r="B21" s="147"/>
      <c r="C21" s="196" t="s">
        <v>434</v>
      </c>
      <c r="D21" s="166"/>
      <c r="E21" s="166"/>
      <c r="F21" s="166"/>
      <c r="G21" s="166"/>
      <c r="H21" s="166"/>
      <c r="I21" s="197"/>
      <c r="J21" s="197"/>
      <c r="K21" s="197"/>
      <c r="L21" s="197"/>
      <c r="M21" s="197"/>
      <c r="N21" s="197"/>
      <c r="O21" s="197"/>
      <c r="P21" s="197"/>
      <c r="Q21" s="197"/>
      <c r="R21" s="197"/>
      <c r="S21" s="197"/>
      <c r="T21" s="197"/>
      <c r="U21" s="197"/>
      <c r="V21" s="197"/>
      <c r="W21" s="197"/>
      <c r="X21" s="197"/>
      <c r="Y21" s="197"/>
      <c r="Z21" s="197"/>
      <c r="AA21" s="197"/>
      <c r="AB21" s="197"/>
      <c r="AC21" s="197"/>
      <c r="AD21" s="197"/>
      <c r="AE21" s="197"/>
      <c r="AF21" s="197"/>
      <c r="AG21" s="197"/>
      <c r="AH21" s="197"/>
      <c r="AI21" s="197"/>
      <c r="AJ21" s="197"/>
      <c r="AK21" s="197"/>
      <c r="AL21" s="197"/>
      <c r="AM21" s="197"/>
      <c r="AN21" s="197"/>
      <c r="AO21" s="197"/>
      <c r="AP21" s="197"/>
      <c r="AQ21" s="197"/>
    </row>
    <row r="22" spans="2:43" s="151" customFormat="1" ht="15" customHeight="1">
      <c r="B22" s="147"/>
      <c r="D22" s="147"/>
      <c r="E22" s="147"/>
      <c r="F22" s="147"/>
      <c r="G22" s="147"/>
      <c r="H22" s="147"/>
      <c r="I22" s="147"/>
      <c r="J22" s="147"/>
      <c r="K22" s="147"/>
      <c r="L22" s="147"/>
      <c r="M22" s="147"/>
      <c r="N22" s="147"/>
      <c r="O22" s="147"/>
      <c r="P22" s="147"/>
      <c r="Q22" s="147"/>
      <c r="R22" s="147"/>
      <c r="S22" s="147"/>
      <c r="T22" s="147"/>
      <c r="U22" s="147"/>
      <c r="V22" s="147"/>
      <c r="W22" s="147"/>
      <c r="X22" s="147"/>
      <c r="Y22" s="147"/>
      <c r="Z22" s="147"/>
      <c r="AA22" s="147"/>
      <c r="AB22" s="147"/>
      <c r="AC22" s="147"/>
      <c r="AD22" s="147"/>
      <c r="AE22" s="147"/>
      <c r="AF22" s="147"/>
      <c r="AG22" s="147"/>
      <c r="AH22" s="147"/>
      <c r="AI22" s="147"/>
      <c r="AJ22" s="147"/>
      <c r="AK22" s="147"/>
      <c r="AL22" s="147"/>
      <c r="AM22" s="147"/>
      <c r="AN22" s="147"/>
      <c r="AO22" s="147"/>
      <c r="AP22" s="147"/>
      <c r="AQ22" s="147"/>
    </row>
    <row r="23" spans="2:43" s="151" customFormat="1" ht="15" customHeight="1">
      <c r="B23" s="147"/>
      <c r="D23" s="147"/>
      <c r="E23" s="147" t="s">
        <v>432</v>
      </c>
      <c r="F23" s="147"/>
      <c r="G23" s="158" t="s">
        <v>844</v>
      </c>
      <c r="H23" s="147"/>
      <c r="I23" s="147"/>
      <c r="J23" s="153" t="s">
        <v>56</v>
      </c>
      <c r="K23" s="152">
        <f>Input!K334</f>
        <v>0</v>
      </c>
      <c r="L23" s="152">
        <f>Input!L334</f>
        <v>0</v>
      </c>
      <c r="M23" s="152">
        <f>Input!M334</f>
        <v>0</v>
      </c>
      <c r="N23" s="152">
        <f>Input!N334</f>
        <v>0</v>
      </c>
      <c r="O23" s="152">
        <f>Input!O334</f>
        <v>0</v>
      </c>
      <c r="P23" s="152">
        <f>Input!P334</f>
        <v>0</v>
      </c>
      <c r="Q23" s="152">
        <f>Input!Q334</f>
        <v>0</v>
      </c>
      <c r="R23" s="152">
        <f>Input!R334</f>
        <v>0</v>
      </c>
      <c r="S23" s="152">
        <f>Input!S334</f>
        <v>0</v>
      </c>
      <c r="T23" s="152">
        <f>Input!T334</f>
        <v>0</v>
      </c>
      <c r="U23" s="152">
        <f>Input!U334</f>
        <v>0</v>
      </c>
      <c r="V23" s="152">
        <f>Input!V334</f>
        <v>0</v>
      </c>
      <c r="W23" s="152">
        <f>Input!W334</f>
        <v>0</v>
      </c>
      <c r="X23" s="152">
        <f>Input!X334</f>
        <v>0</v>
      </c>
      <c r="Y23" s="152">
        <f>Input!Y334</f>
        <v>0</v>
      </c>
      <c r="Z23" s="152">
        <f>Input!Z334</f>
        <v>0</v>
      </c>
      <c r="AA23" s="152">
        <f>Input!AA334</f>
        <v>0</v>
      </c>
      <c r="AB23" s="152">
        <f>Input!AB334</f>
        <v>0</v>
      </c>
      <c r="AC23" s="152">
        <f>Input!AC334</f>
        <v>0</v>
      </c>
      <c r="AD23" s="152">
        <f>Input!AD334</f>
        <v>0</v>
      </c>
      <c r="AE23" s="152">
        <f>Input!AE334</f>
        <v>0</v>
      </c>
      <c r="AF23" s="152">
        <f>Input!AF334</f>
        <v>0</v>
      </c>
      <c r="AG23" s="152">
        <f>Input!AG334</f>
        <v>0</v>
      </c>
      <c r="AH23" s="152">
        <f>Input!AH334</f>
        <v>0</v>
      </c>
      <c r="AI23" s="152">
        <f>Input!AI334</f>
        <v>0</v>
      </c>
      <c r="AJ23" s="228"/>
      <c r="AK23" s="157"/>
      <c r="AL23" s="157"/>
      <c r="AM23" s="157"/>
      <c r="AN23" s="157"/>
      <c r="AO23" s="157"/>
      <c r="AP23" s="157"/>
      <c r="AQ23" s="157"/>
    </row>
    <row r="24" spans="2:43" s="151" customFormat="1" ht="15" customHeight="1">
      <c r="B24" s="147"/>
      <c r="D24" s="147"/>
      <c r="E24" s="147"/>
      <c r="F24" s="147"/>
      <c r="G24" s="158"/>
      <c r="H24" s="147"/>
      <c r="I24" s="147"/>
      <c r="J24" s="153"/>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row>
    <row r="25" spans="2:43" s="151" customFormat="1" ht="15" customHeight="1">
      <c r="B25" s="147"/>
      <c r="C25" s="17" t="s">
        <v>148</v>
      </c>
      <c r="D25" s="17"/>
      <c r="E25" s="17"/>
      <c r="F25" s="17"/>
      <c r="G25" s="17"/>
      <c r="H25" s="17"/>
      <c r="I25" s="332"/>
      <c r="J25" s="345"/>
      <c r="K25" s="332"/>
      <c r="L25" s="332"/>
      <c r="M25" s="332"/>
      <c r="N25" s="332"/>
      <c r="O25" s="332"/>
      <c r="P25" s="332"/>
      <c r="Q25" s="332"/>
      <c r="R25" s="332"/>
      <c r="S25" s="332"/>
      <c r="T25" s="33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row>
    <row r="26" spans="2:43" s="151" customFormat="1" ht="15" customHeight="1">
      <c r="B26" s="147"/>
      <c r="C26" s="166" t="s">
        <v>397</v>
      </c>
      <c r="D26" s="166"/>
      <c r="E26" s="166"/>
      <c r="F26" s="166"/>
      <c r="G26" s="166"/>
      <c r="H26" s="166"/>
      <c r="I26" s="197"/>
      <c r="J26" s="197"/>
      <c r="K26" s="197"/>
      <c r="L26" s="197"/>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7"/>
      <c r="AN26" s="197"/>
      <c r="AO26" s="197"/>
      <c r="AP26" s="197"/>
      <c r="AQ26" s="197"/>
    </row>
    <row r="27" spans="2:43" s="151" customFormat="1" ht="15" customHeight="1">
      <c r="B27" s="147"/>
      <c r="D27" s="147"/>
      <c r="E27" s="147"/>
      <c r="F27" s="147"/>
      <c r="G27" s="147"/>
      <c r="H27" s="147"/>
      <c r="I27" s="147"/>
      <c r="J27" s="31"/>
      <c r="K27" s="157"/>
      <c r="L27" s="157"/>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row>
    <row r="28" spans="2:43" ht="15" customHeight="1">
      <c r="E28" s="147" t="s">
        <v>655</v>
      </c>
      <c r="F28" s="147"/>
      <c r="G28" s="158" t="s">
        <v>241</v>
      </c>
      <c r="I28" s="307">
        <f>Input!I328</f>
        <v>33328</v>
      </c>
      <c r="J28" s="153"/>
      <c r="K28" s="153"/>
      <c r="L28" s="153"/>
      <c r="M28" s="153"/>
      <c r="N28" s="153"/>
      <c r="O28" s="153"/>
      <c r="P28" s="153"/>
      <c r="Q28" s="153"/>
      <c r="R28" s="153"/>
      <c r="S28" s="153"/>
      <c r="T28" s="153"/>
      <c r="U28" s="153"/>
      <c r="V28" s="153"/>
      <c r="W28" s="153"/>
      <c r="X28" s="153"/>
      <c r="Y28" s="153"/>
      <c r="Z28" s="153"/>
      <c r="AA28" s="149"/>
      <c r="AB28" s="149"/>
      <c r="AC28" s="149"/>
      <c r="AD28" s="149"/>
      <c r="AE28" s="149"/>
      <c r="AF28" s="149"/>
      <c r="AG28" s="149"/>
      <c r="AH28" s="149"/>
      <c r="AI28" s="149"/>
      <c r="AJ28" s="149"/>
      <c r="AK28" s="149"/>
      <c r="AL28" s="149"/>
      <c r="AM28" s="149"/>
      <c r="AN28" s="149"/>
      <c r="AO28" s="149"/>
      <c r="AP28" s="149"/>
      <c r="AQ28" s="149"/>
    </row>
    <row r="29" spans="2:43" s="151" customFormat="1" ht="15" customHeight="1">
      <c r="E29" s="13" t="s">
        <v>5</v>
      </c>
      <c r="G29" s="151" t="s">
        <v>51</v>
      </c>
      <c r="I29" s="346">
        <f>Input!I317</f>
        <v>13</v>
      </c>
      <c r="J29" s="31"/>
      <c r="K29" s="31"/>
      <c r="L29" s="31"/>
      <c r="M29" s="31"/>
      <c r="N29" s="31"/>
      <c r="O29" s="31"/>
      <c r="P29" s="31"/>
      <c r="Q29" s="31"/>
      <c r="R29" s="31"/>
      <c r="S29" s="31"/>
      <c r="T29" s="31"/>
      <c r="U29" s="31"/>
      <c r="V29" s="31"/>
      <c r="W29" s="31"/>
      <c r="X29" s="31"/>
      <c r="Y29" s="31"/>
      <c r="Z29" s="31"/>
      <c r="AA29" s="147"/>
      <c r="AB29" s="147"/>
      <c r="AC29" s="147"/>
      <c r="AD29" s="147"/>
      <c r="AE29" s="147"/>
      <c r="AF29" s="147"/>
      <c r="AG29" s="147"/>
      <c r="AH29" s="147"/>
      <c r="AI29" s="147"/>
      <c r="AJ29" s="147"/>
      <c r="AK29" s="147"/>
      <c r="AL29" s="147"/>
      <c r="AM29" s="147"/>
      <c r="AN29" s="147"/>
      <c r="AO29" s="147"/>
      <c r="AP29" s="147"/>
      <c r="AQ29" s="147"/>
    </row>
    <row r="30" spans="2:43" s="151" customFormat="1" ht="15" customHeight="1">
      <c r="B30" s="147"/>
      <c r="D30" s="147"/>
      <c r="E30" s="147" t="s">
        <v>669</v>
      </c>
      <c r="F30" s="147"/>
      <c r="G30" s="158" t="s">
        <v>670</v>
      </c>
      <c r="H30" s="147"/>
      <c r="I30" s="152">
        <f>Input!I318</f>
        <v>3.5</v>
      </c>
      <c r="J30" s="31"/>
      <c r="K30" s="157"/>
      <c r="L30" s="157"/>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41"/>
      <c r="AK30" s="41"/>
      <c r="AL30" s="41"/>
      <c r="AM30" s="41"/>
      <c r="AN30" s="41"/>
      <c r="AO30" s="41"/>
      <c r="AP30" s="41"/>
      <c r="AQ30" s="41"/>
    </row>
    <row r="31" spans="2:43" s="151" customFormat="1" ht="15" customHeight="1">
      <c r="B31" s="147"/>
      <c r="D31" s="147"/>
      <c r="E31" s="156"/>
      <c r="F31" s="156"/>
      <c r="G31" s="156"/>
      <c r="H31" s="156"/>
      <c r="I31" s="157"/>
      <c r="J31" s="33"/>
      <c r="K31" s="157"/>
      <c r="L31" s="157"/>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row>
    <row r="32" spans="2:43" s="151" customFormat="1" ht="15" customHeight="1">
      <c r="C32" s="17" t="s">
        <v>654</v>
      </c>
      <c r="D32" s="17"/>
      <c r="E32" s="17"/>
      <c r="F32" s="17"/>
      <c r="G32" s="17"/>
      <c r="H32" s="17"/>
      <c r="I32" s="332"/>
      <c r="J32" s="345"/>
      <c r="K32" s="332"/>
      <c r="L32" s="332"/>
      <c r="M32" s="332"/>
      <c r="N32" s="332"/>
      <c r="O32" s="332"/>
      <c r="P32" s="332"/>
      <c r="Q32" s="332"/>
      <c r="R32" s="332"/>
      <c r="S32" s="332"/>
      <c r="T32" s="332"/>
      <c r="U32" s="332"/>
      <c r="V32" s="332"/>
      <c r="W32" s="332"/>
      <c r="X32" s="332"/>
      <c r="Y32" s="332"/>
      <c r="Z32" s="332"/>
      <c r="AA32" s="332"/>
      <c r="AB32" s="332"/>
      <c r="AC32" s="332"/>
      <c r="AD32" s="332"/>
      <c r="AE32" s="332"/>
      <c r="AF32" s="332"/>
      <c r="AG32" s="332"/>
      <c r="AH32" s="332"/>
      <c r="AI32" s="332"/>
      <c r="AJ32" s="332"/>
      <c r="AK32" s="332"/>
      <c r="AL32" s="332"/>
      <c r="AM32" s="332"/>
      <c r="AN32" s="332"/>
      <c r="AO32" s="332"/>
      <c r="AP32" s="332"/>
      <c r="AQ32" s="332"/>
    </row>
    <row r="33" spans="2:47" s="151" customFormat="1" ht="15" customHeight="1">
      <c r="B33" s="147"/>
      <c r="C33" s="166" t="s">
        <v>653</v>
      </c>
      <c r="D33" s="166"/>
      <c r="E33" s="166"/>
      <c r="F33" s="166"/>
      <c r="G33" s="166"/>
      <c r="H33" s="166"/>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7"/>
      <c r="AI33" s="197"/>
      <c r="AJ33" s="197"/>
      <c r="AK33" s="197"/>
      <c r="AL33" s="197"/>
      <c r="AM33" s="197"/>
      <c r="AN33" s="197"/>
      <c r="AO33" s="197"/>
      <c r="AP33" s="197"/>
      <c r="AQ33" s="197"/>
    </row>
    <row r="34" spans="2:47" s="151" customFormat="1" ht="15" customHeight="1">
      <c r="B34" s="147"/>
      <c r="D34" s="147"/>
      <c r="E34" s="147"/>
      <c r="F34" s="147"/>
      <c r="G34" s="147"/>
      <c r="H34" s="147"/>
      <c r="I34" s="147"/>
      <c r="J34" s="31"/>
      <c r="K34" s="147"/>
      <c r="L34" s="147"/>
      <c r="M34" s="147"/>
      <c r="N34" s="147"/>
      <c r="O34" s="147"/>
      <c r="P34" s="147"/>
      <c r="Q34" s="147"/>
      <c r="R34" s="147"/>
      <c r="S34" s="147"/>
      <c r="T34" s="147"/>
      <c r="U34" s="147"/>
      <c r="V34" s="147"/>
      <c r="W34" s="147"/>
      <c r="X34" s="147"/>
      <c r="Y34" s="147"/>
      <c r="Z34" s="147"/>
      <c r="AA34" s="147"/>
      <c r="AB34" s="147"/>
      <c r="AC34" s="147"/>
      <c r="AD34" s="147"/>
      <c r="AE34" s="147"/>
      <c r="AF34" s="147"/>
      <c r="AG34" s="147"/>
      <c r="AH34" s="147"/>
      <c r="AI34" s="147"/>
      <c r="AJ34" s="147"/>
      <c r="AK34" s="147"/>
      <c r="AL34" s="147"/>
      <c r="AM34" s="147"/>
      <c r="AN34" s="147"/>
      <c r="AO34" s="147"/>
      <c r="AP34" s="147"/>
      <c r="AQ34" s="147"/>
    </row>
    <row r="35" spans="2:47" s="151" customFormat="1" ht="15" customHeight="1">
      <c r="D35" s="36" t="s">
        <v>120</v>
      </c>
      <c r="E35" s="36"/>
      <c r="F35" s="36"/>
      <c r="G35" s="36"/>
      <c r="H35" s="36"/>
      <c r="I35" s="201"/>
      <c r="J35" s="347"/>
      <c r="K35" s="201"/>
      <c r="L35" s="201"/>
      <c r="M35" s="201"/>
      <c r="N35" s="201"/>
      <c r="O35" s="201"/>
      <c r="P35" s="201"/>
      <c r="Q35" s="201"/>
      <c r="R35" s="201"/>
      <c r="S35" s="201"/>
      <c r="T35" s="201"/>
      <c r="U35" s="201"/>
      <c r="V35" s="201"/>
      <c r="W35" s="201"/>
      <c r="X35" s="201"/>
      <c r="Y35" s="201"/>
      <c r="Z35" s="201"/>
      <c r="AA35" s="201"/>
      <c r="AB35" s="201"/>
      <c r="AC35" s="201"/>
      <c r="AD35" s="201"/>
      <c r="AE35" s="201"/>
      <c r="AF35" s="201"/>
      <c r="AG35" s="201"/>
      <c r="AH35" s="201"/>
      <c r="AI35" s="201"/>
      <c r="AJ35" s="201"/>
      <c r="AK35" s="201"/>
      <c r="AL35" s="201"/>
      <c r="AM35" s="201"/>
      <c r="AN35" s="201"/>
      <c r="AO35" s="201"/>
      <c r="AP35" s="201"/>
      <c r="AQ35" s="201"/>
    </row>
    <row r="36" spans="2:47" s="151" customFormat="1" ht="15" customHeight="1">
      <c r="B36" s="147"/>
      <c r="D36" s="147"/>
      <c r="E36" s="147"/>
      <c r="F36" s="147"/>
      <c r="G36" s="147"/>
      <c r="H36" s="147"/>
      <c r="I36" s="147"/>
      <c r="J36" s="31"/>
      <c r="K36" s="147"/>
      <c r="L36" s="147"/>
      <c r="M36" s="147"/>
      <c r="N36" s="147"/>
      <c r="O36" s="147"/>
      <c r="P36" s="147"/>
      <c r="Q36" s="147"/>
      <c r="R36" s="147"/>
      <c r="S36" s="147"/>
      <c r="T36" s="147"/>
      <c r="U36" s="147"/>
      <c r="V36" s="147"/>
      <c r="W36" s="147"/>
      <c r="X36" s="147"/>
      <c r="Y36" s="147"/>
      <c r="Z36" s="147"/>
      <c r="AA36" s="147"/>
      <c r="AB36" s="147"/>
      <c r="AC36" s="147"/>
      <c r="AD36" s="147"/>
      <c r="AE36" s="147"/>
      <c r="AF36" s="147"/>
      <c r="AG36" s="147"/>
      <c r="AH36" s="147"/>
      <c r="AI36" s="147"/>
      <c r="AJ36" s="147"/>
      <c r="AK36" s="147"/>
      <c r="AL36" s="147"/>
      <c r="AM36" s="147"/>
      <c r="AN36" s="147"/>
      <c r="AO36" s="147"/>
      <c r="AP36" s="147"/>
      <c r="AQ36" s="147"/>
    </row>
    <row r="37" spans="2:47" s="151" customFormat="1" ht="15" customHeight="1">
      <c r="E37" s="147" t="s">
        <v>15</v>
      </c>
      <c r="F37" s="147"/>
      <c r="G37" s="147" t="s">
        <v>51</v>
      </c>
      <c r="H37" s="147"/>
      <c r="I37" s="147"/>
      <c r="J37" s="31" t="s">
        <v>56</v>
      </c>
      <c r="K37" s="157">
        <f>Input!K326</f>
        <v>20</v>
      </c>
      <c r="L37" s="157">
        <f>Input!L326</f>
        <v>20</v>
      </c>
      <c r="M37" s="157">
        <f>Input!M326</f>
        <v>20</v>
      </c>
      <c r="N37" s="157">
        <f>Input!N326</f>
        <v>20</v>
      </c>
      <c r="O37" s="157">
        <f>Input!O326</f>
        <v>20</v>
      </c>
      <c r="P37" s="157">
        <f>Input!P326</f>
        <v>20</v>
      </c>
      <c r="Q37" s="157">
        <f>Input!Q326</f>
        <v>20</v>
      </c>
      <c r="R37" s="157">
        <f>Input!R326</f>
        <v>20</v>
      </c>
      <c r="S37" s="157">
        <f>Input!S326</f>
        <v>20</v>
      </c>
      <c r="T37" s="157">
        <f>Input!T326</f>
        <v>20</v>
      </c>
      <c r="U37" s="157">
        <f>Input!U326</f>
        <v>20</v>
      </c>
      <c r="V37" s="157">
        <f>Input!V326</f>
        <v>20</v>
      </c>
      <c r="W37" s="157">
        <f>Input!W326</f>
        <v>20</v>
      </c>
      <c r="X37" s="157">
        <f>Input!X326</f>
        <v>20</v>
      </c>
      <c r="Y37" s="157">
        <f>Input!Y326</f>
        <v>20</v>
      </c>
      <c r="Z37" s="157">
        <f>Input!Z326</f>
        <v>20</v>
      </c>
      <c r="AA37" s="157">
        <f>Input!AA326</f>
        <v>20</v>
      </c>
      <c r="AB37" s="157">
        <f>Input!AB326</f>
        <v>20</v>
      </c>
      <c r="AC37" s="157">
        <f>Input!AC326</f>
        <v>20</v>
      </c>
      <c r="AD37" s="157">
        <f>Input!AD326</f>
        <v>20</v>
      </c>
      <c r="AE37" s="157">
        <f>Input!AE326</f>
        <v>20</v>
      </c>
      <c r="AF37" s="157">
        <f>Input!AF326</f>
        <v>20</v>
      </c>
      <c r="AG37" s="157">
        <f>Input!AG326</f>
        <v>20</v>
      </c>
      <c r="AH37" s="157">
        <f>Input!AH326</f>
        <v>20</v>
      </c>
      <c r="AI37" s="157">
        <f>Input!AI326</f>
        <v>20</v>
      </c>
      <c r="AJ37" s="157">
        <f>Input!AJ326</f>
        <v>23.125</v>
      </c>
      <c r="AK37" s="157">
        <f>Input!AK326</f>
        <v>26.25</v>
      </c>
      <c r="AL37" s="157">
        <f>Input!AL326</f>
        <v>29.375</v>
      </c>
      <c r="AM37" s="157">
        <f>Input!AM326</f>
        <v>32.5</v>
      </c>
      <c r="AN37" s="157">
        <f>Input!AN326</f>
        <v>35.625</v>
      </c>
      <c r="AO37" s="157">
        <f>Input!AO326</f>
        <v>38.75</v>
      </c>
      <c r="AP37" s="157">
        <f>Input!AP326</f>
        <v>41.875</v>
      </c>
      <c r="AQ37" s="157">
        <f>Input!AQ326</f>
        <v>45</v>
      </c>
    </row>
    <row r="38" spans="2:47" s="151" customFormat="1" ht="15" customHeight="1">
      <c r="E38" s="147" t="s">
        <v>652</v>
      </c>
      <c r="F38" s="147"/>
      <c r="G38" s="147" t="s">
        <v>61</v>
      </c>
      <c r="H38" s="147"/>
      <c r="I38" s="147"/>
      <c r="J38" s="31" t="s">
        <v>56</v>
      </c>
      <c r="K38" s="107"/>
      <c r="L38" s="147" t="b">
        <f t="shared" ref="L38:X38" si="1">YEAR(L$7) &gt;= YEAR($I$28) + IF($I$30=12,$I$29,$I$29+1)</f>
        <v>0</v>
      </c>
      <c r="M38" s="147" t="b">
        <f t="shared" si="1"/>
        <v>0</v>
      </c>
      <c r="N38" s="147" t="b">
        <f t="shared" si="1"/>
        <v>0</v>
      </c>
      <c r="O38" s="147" t="b">
        <f t="shared" si="1"/>
        <v>0</v>
      </c>
      <c r="P38" s="147" t="b">
        <f t="shared" si="1"/>
        <v>0</v>
      </c>
      <c r="Q38" s="147" t="b">
        <f t="shared" si="1"/>
        <v>0</v>
      </c>
      <c r="R38" s="147" t="b">
        <f t="shared" si="1"/>
        <v>0</v>
      </c>
      <c r="S38" s="147" t="b">
        <f t="shared" si="1"/>
        <v>0</v>
      </c>
      <c r="T38" s="147" t="b">
        <f t="shared" si="1"/>
        <v>0</v>
      </c>
      <c r="U38" s="147" t="b">
        <f t="shared" si="1"/>
        <v>0</v>
      </c>
      <c r="V38" s="147" t="b">
        <f t="shared" si="1"/>
        <v>0</v>
      </c>
      <c r="W38" s="147" t="b">
        <f t="shared" si="1"/>
        <v>0</v>
      </c>
      <c r="X38" s="147" t="b">
        <f t="shared" si="1"/>
        <v>0</v>
      </c>
      <c r="Y38" s="147" t="b">
        <f>YEAR(Y$7) &gt;= YEAR($I$28) + IF($I$30=12,$I$29,$I$29+1)</f>
        <v>1</v>
      </c>
      <c r="Z38" s="147" t="b">
        <f>YEAR(Z$7) &gt;= YEAR($I$28) + IF($I$30=12,$I$29,$I$29+1)</f>
        <v>1</v>
      </c>
      <c r="AA38" s="147" t="b">
        <f>YEAR(AA$7) &gt;= YEAR($I$28) + IF($I$30=12,$I$29,$I$29+1)</f>
        <v>1</v>
      </c>
      <c r="AB38" s="147" t="b">
        <f t="shared" ref="AB38:AQ38" si="2">YEAR(AB$7) &gt;= YEAR($I$28) + IF($I$30=12,$I$29,$I$29+1)</f>
        <v>1</v>
      </c>
      <c r="AC38" s="147" t="b">
        <f t="shared" si="2"/>
        <v>1</v>
      </c>
      <c r="AD38" s="147" t="b">
        <f t="shared" si="2"/>
        <v>1</v>
      </c>
      <c r="AE38" s="147" t="b">
        <f t="shared" si="2"/>
        <v>1</v>
      </c>
      <c r="AF38" s="147" t="b">
        <f t="shared" si="2"/>
        <v>1</v>
      </c>
      <c r="AG38" s="147" t="b">
        <f t="shared" si="2"/>
        <v>1</v>
      </c>
      <c r="AH38" s="147" t="b">
        <f t="shared" si="2"/>
        <v>1</v>
      </c>
      <c r="AI38" s="147" t="b">
        <f t="shared" si="2"/>
        <v>1</v>
      </c>
      <c r="AJ38" s="147" t="b">
        <f t="shared" si="2"/>
        <v>1</v>
      </c>
      <c r="AK38" s="147" t="b">
        <f t="shared" si="2"/>
        <v>1</v>
      </c>
      <c r="AL38" s="147" t="b">
        <f t="shared" si="2"/>
        <v>1</v>
      </c>
      <c r="AM38" s="147" t="b">
        <f t="shared" si="2"/>
        <v>1</v>
      </c>
      <c r="AN38" s="147" t="b">
        <f t="shared" si="2"/>
        <v>1</v>
      </c>
      <c r="AO38" s="147" t="b">
        <f t="shared" si="2"/>
        <v>1</v>
      </c>
      <c r="AP38" s="147" t="b">
        <f t="shared" si="2"/>
        <v>1</v>
      </c>
      <c r="AQ38" s="147" t="b">
        <f t="shared" si="2"/>
        <v>1</v>
      </c>
    </row>
    <row r="39" spans="2:47" ht="15" customHeight="1">
      <c r="D39" s="149"/>
      <c r="E39" s="149"/>
      <c r="F39" s="149"/>
      <c r="G39" s="147"/>
      <c r="H39" s="147"/>
      <c r="I39" s="147"/>
      <c r="J39" s="31"/>
      <c r="K39" s="147"/>
      <c r="L39" s="147"/>
      <c r="M39" s="147"/>
      <c r="N39" s="147"/>
      <c r="O39" s="147"/>
      <c r="P39" s="147"/>
      <c r="Q39" s="147"/>
      <c r="R39" s="147"/>
      <c r="S39" s="147"/>
      <c r="T39" s="147"/>
      <c r="U39" s="147"/>
      <c r="V39" s="147"/>
      <c r="W39" s="147"/>
      <c r="X39" s="147"/>
      <c r="Y39" s="147"/>
      <c r="Z39" s="147"/>
      <c r="AA39" s="147"/>
      <c r="AB39" s="147"/>
      <c r="AC39" s="147"/>
      <c r="AD39" s="147"/>
      <c r="AE39" s="147"/>
      <c r="AF39" s="147"/>
      <c r="AG39" s="147"/>
      <c r="AH39" s="147"/>
      <c r="AI39" s="147"/>
      <c r="AJ39" s="147"/>
      <c r="AK39" s="147"/>
      <c r="AL39" s="147"/>
      <c r="AM39" s="147"/>
      <c r="AN39" s="147"/>
      <c r="AO39" s="147"/>
      <c r="AP39" s="147"/>
      <c r="AQ39" s="147"/>
    </row>
    <row r="40" spans="2:47" ht="15" customHeight="1">
      <c r="D40" s="36" t="s">
        <v>118</v>
      </c>
      <c r="E40" s="36"/>
      <c r="F40" s="36"/>
      <c r="G40" s="36"/>
      <c r="H40" s="36"/>
      <c r="I40" s="201"/>
      <c r="J40" s="347"/>
      <c r="K40" s="201"/>
      <c r="L40" s="201"/>
      <c r="M40" s="201"/>
      <c r="N40" s="201"/>
      <c r="O40" s="201"/>
      <c r="P40" s="201"/>
      <c r="Q40" s="201"/>
      <c r="R40" s="201"/>
      <c r="S40" s="201"/>
      <c r="T40" s="201"/>
      <c r="U40" s="201"/>
      <c r="V40" s="201"/>
      <c r="W40" s="201"/>
      <c r="X40" s="201"/>
      <c r="Y40" s="201"/>
      <c r="Z40" s="201"/>
      <c r="AA40" s="201"/>
      <c r="AB40" s="201"/>
      <c r="AC40" s="201"/>
      <c r="AD40" s="201"/>
      <c r="AE40" s="201"/>
      <c r="AF40" s="201"/>
      <c r="AG40" s="201"/>
      <c r="AH40" s="201"/>
      <c r="AI40" s="201"/>
      <c r="AJ40" s="201"/>
      <c r="AK40" s="201"/>
      <c r="AL40" s="201"/>
      <c r="AM40" s="201"/>
      <c r="AN40" s="201"/>
      <c r="AO40" s="201"/>
      <c r="AP40" s="201"/>
      <c r="AQ40" s="201"/>
    </row>
    <row r="41" spans="2:47" ht="15" customHeight="1">
      <c r="D41" s="149"/>
      <c r="E41" s="149"/>
      <c r="I41" s="149"/>
      <c r="J41" s="153"/>
      <c r="K41" s="147"/>
      <c r="L41" s="147"/>
      <c r="M41" s="147"/>
      <c r="N41" s="147"/>
      <c r="O41" s="147"/>
      <c r="P41" s="147"/>
      <c r="Q41" s="147"/>
      <c r="R41" s="147"/>
      <c r="S41" s="147"/>
      <c r="T41" s="147"/>
      <c r="U41" s="147"/>
      <c r="V41" s="147"/>
      <c r="W41" s="147"/>
      <c r="X41" s="147"/>
      <c r="Y41" s="147"/>
      <c r="Z41" s="147"/>
      <c r="AA41" s="147"/>
      <c r="AB41" s="147"/>
      <c r="AC41" s="147"/>
      <c r="AD41" s="147"/>
      <c r="AE41" s="147"/>
      <c r="AF41" s="147"/>
      <c r="AG41" s="147"/>
      <c r="AH41" s="147"/>
      <c r="AI41" s="147"/>
      <c r="AJ41" s="147"/>
      <c r="AK41" s="147"/>
      <c r="AL41" s="147"/>
      <c r="AM41" s="147"/>
      <c r="AN41" s="147"/>
      <c r="AO41" s="147"/>
      <c r="AP41" s="147"/>
      <c r="AQ41" s="147"/>
    </row>
    <row r="42" spans="2:47" ht="15" customHeight="1">
      <c r="D42" s="149"/>
      <c r="E42" s="106" t="s">
        <v>651</v>
      </c>
      <c r="I42" s="106" t="s">
        <v>28</v>
      </c>
      <c r="J42" s="153"/>
      <c r="K42" s="147"/>
      <c r="L42" s="147"/>
      <c r="M42" s="147"/>
      <c r="N42" s="147"/>
      <c r="O42" s="147"/>
      <c r="P42" s="147"/>
      <c r="Q42" s="147"/>
      <c r="R42" s="147"/>
      <c r="S42" s="147"/>
      <c r="T42" s="147"/>
      <c r="U42" s="147"/>
      <c r="V42" s="147"/>
      <c r="W42" s="147"/>
      <c r="X42" s="147"/>
      <c r="Y42" s="147"/>
      <c r="Z42" s="147"/>
      <c r="AA42" s="147"/>
      <c r="AB42" s="147"/>
      <c r="AC42" s="147"/>
      <c r="AD42" s="147"/>
      <c r="AE42" s="147"/>
      <c r="AF42" s="147"/>
      <c r="AG42" s="147"/>
      <c r="AH42" s="147"/>
      <c r="AI42" s="147"/>
      <c r="AJ42" s="147"/>
      <c r="AK42" s="147"/>
      <c r="AL42" s="147"/>
      <c r="AM42" s="147"/>
      <c r="AN42" s="147"/>
      <c r="AO42" s="147"/>
      <c r="AP42" s="147"/>
      <c r="AQ42" s="147"/>
    </row>
    <row r="43" spans="2:47" ht="15" customHeight="1">
      <c r="D43" s="149"/>
      <c r="E43" s="184">
        <v>33328</v>
      </c>
      <c r="G43" s="158" t="s">
        <v>844</v>
      </c>
      <c r="H43" s="151"/>
      <c r="I43" s="309">
        <f>I88</f>
        <v>21.107503804376339</v>
      </c>
      <c r="J43" s="31" t="s">
        <v>56</v>
      </c>
      <c r="K43" s="149"/>
      <c r="L43" s="107">
        <f>$I43/$K$37</f>
        <v>1.0553751902188169</v>
      </c>
      <c r="M43" s="147">
        <f>IF($I43 &gt;0, MIN(L43,$I43-SUM($L43:L43)), MAX(L43,$I43-SUM($L43:L43)))</f>
        <v>1.0553751902188169</v>
      </c>
      <c r="N43" s="147">
        <f>IF($I43 &gt;0, MIN(M43,$I43-SUM($L43:M43)), MAX(M43,$I43-SUM($L43:M43)))</f>
        <v>1.0553751902188169</v>
      </c>
      <c r="O43" s="147">
        <f>IF($I43 &gt;0, MIN(N43,$I43-SUM($L43:N43)), MAX(N43,$I43-SUM($L43:N43)))</f>
        <v>1.0553751902188169</v>
      </c>
      <c r="P43" s="147">
        <f>IF($I43 &gt;0, MIN(O43,$I43-SUM($L43:O43)), MAX(O43,$I43-SUM($L43:O43)))</f>
        <v>1.0553751902188169</v>
      </c>
      <c r="Q43" s="147">
        <f>IF($I43 &gt;0, MIN(P43,$I43-SUM($L43:P43)), MAX(P43,$I43-SUM($L43:P43)))</f>
        <v>1.0553751902188169</v>
      </c>
      <c r="R43" s="147">
        <f>IF($I43 &gt;0, MIN(Q43,$I43-SUM($L43:Q43)), MAX(Q43,$I43-SUM($L43:Q43)))</f>
        <v>1.0553751902188169</v>
      </c>
      <c r="S43" s="147">
        <f>IF($I43 &gt;0, MIN(R43,$I43-SUM($L43:R43)), MAX(R43,$I43-SUM($L43:R43)))</f>
        <v>1.0553751902188169</v>
      </c>
      <c r="T43" s="147">
        <f>IF($I43 &gt;0, MIN(S43,$I43-SUM($L43:S43)), MAX(S43,$I43-SUM($L43:S43)))</f>
        <v>1.0553751902188169</v>
      </c>
      <c r="U43" s="147">
        <f>IF($I43 &gt;0, MIN(T43,$I43-SUM($L43:T43)), MAX(T43,$I43-SUM($L43:T43)))</f>
        <v>1.0553751902188169</v>
      </c>
      <c r="V43" s="147">
        <f>IF($I43 &gt;0, MIN(U43,$I43-SUM($L43:U43)), MAX(U43,$I43-SUM($L43:U43)))</f>
        <v>1.0553751902188169</v>
      </c>
      <c r="W43" s="147">
        <f>IF($I43 &gt;0, MIN(V43,$I43-SUM($L43:V43)), MAX(V43,$I43-SUM($L43:V43)))</f>
        <v>1.0553751902188169</v>
      </c>
      <c r="X43" s="147">
        <f>IF($I43 &gt;0, MIN(W43,$I43-SUM($L43:W43)), MAX(W43,$I43-SUM($L43:W43)))</f>
        <v>1.0553751902188169</v>
      </c>
      <c r="Y43" s="147">
        <f>IF($I43 &gt;0, MIN(X43,$I43-SUM($L43:X43)), MAX(X43,$I43-SUM($L43:X43)))</f>
        <v>1.0553751902188169</v>
      </c>
      <c r="Z43" s="309">
        <f>IF($I43 &gt;0, MIN(Y43,$I43-SUM($L43:Y43)), MAX(Y43,$I43-SUM($L43:Y43)))</f>
        <v>1.0553751902188169</v>
      </c>
      <c r="AA43" s="309">
        <f>IF($I43 &gt;0, MIN(Z43,$I43-SUM($L43:Z43)), MAX(Z43,$I43-SUM($L43:Z43)))</f>
        <v>1.0553751902188169</v>
      </c>
      <c r="AB43" s="309">
        <f>IF($I43 &gt;0, MIN(AA43,$I43-SUM($L43:AA43)), MAX(AA43,$I43-SUM($L43:AA43)))</f>
        <v>1.0553751902188169</v>
      </c>
      <c r="AC43" s="309">
        <f>IF($I43 &gt;0, MIN(AB43,$I43-SUM($L43:AB43)), MAX(AB43,$I43-SUM($L43:AB43)))</f>
        <v>1.0553751902188169</v>
      </c>
      <c r="AD43" s="309">
        <f>IF($I43 &gt;0, MIN(AC43,$I43-SUM($L43:AC43)), MAX(AC43,$I43-SUM($L43:AC43)))</f>
        <v>1.0553751902188169</v>
      </c>
      <c r="AE43" s="309">
        <f>IF($I43 &gt;0, MIN(AD43,$I43-SUM($L43:AD43)), MAX(AD43,$I43-SUM($L43:AD43)))</f>
        <v>1.0553751902188169</v>
      </c>
      <c r="AF43" s="309">
        <f>IF($I43 &gt;0, MIN(AE43,$I43-SUM($L43:AE43)), MAX(AE43,$I43-SUM($L43:AE43)))</f>
        <v>0</v>
      </c>
      <c r="AG43" s="147">
        <f>IF($I43 &gt;0, MIN(AF43,$I43-SUM($L43:AF43)), MAX(AF43,$I43-SUM($L43:AF43)))</f>
        <v>0</v>
      </c>
      <c r="AH43" s="147">
        <f>IF($I43 &gt;0, MIN(AG43,$I43-SUM($L43:AG43)), MAX(AG43,$I43-SUM($L43:AG43)))</f>
        <v>0</v>
      </c>
      <c r="AI43" s="147">
        <f>IF($I43 &gt;0, MIN(AH43,$I43-SUM($L43:AH43)), MAX(AH43,$I43-SUM($L43:AH43)))</f>
        <v>0</v>
      </c>
      <c r="AJ43" s="147">
        <f>IF($I43 &gt;0, MIN(AI43,$I43-SUM($L43:AI43)), MAX(AI43,$I43-SUM($L43:AI43)))</f>
        <v>0</v>
      </c>
      <c r="AK43" s="147">
        <f>IF($I43 &gt;0, MIN(AJ43,$I43-SUM($L43:AJ43)), MAX(AJ43,$I43-SUM($L43:AJ43)))</f>
        <v>0</v>
      </c>
      <c r="AL43" s="147">
        <f>IF($I43 &gt;0, MIN(AK43,$I43-SUM($L43:AK43)), MAX(AK43,$I43-SUM($L43:AK43)))</f>
        <v>0</v>
      </c>
      <c r="AM43" s="147">
        <f>IF($I43 &gt;0, MIN(AL43,$I43-SUM($L43:AL43)), MAX(AL43,$I43-SUM($L43:AL43)))</f>
        <v>0</v>
      </c>
      <c r="AN43" s="147">
        <f>IF($I43 &gt;0, MIN(AM43,$I43-SUM($L43:AM43)), MAX(AM43,$I43-SUM($L43:AM43)))</f>
        <v>0</v>
      </c>
      <c r="AO43" s="147">
        <f>IF($I43 &gt;0, MIN(AN43,$I43-SUM($L43:AN43)), MAX(AN43,$I43-SUM($L43:AN43)))</f>
        <v>0</v>
      </c>
      <c r="AP43" s="147">
        <f>IF($I43 &gt;0, MIN(AO43,$I43-SUM($L43:AO43)), MAX(AO43,$I43-SUM($L43:AO43)))</f>
        <v>0</v>
      </c>
      <c r="AQ43" s="147">
        <f>IF($I43 &gt;0, MIN(AP43,$I43-SUM($L43:AP43)), MAX(AP43,$I43-SUM($L43:AP43)))</f>
        <v>0</v>
      </c>
    </row>
    <row r="44" spans="2:47" ht="15" customHeight="1">
      <c r="D44" s="149"/>
      <c r="E44" s="184">
        <v>33694</v>
      </c>
      <c r="G44" s="158" t="s">
        <v>844</v>
      </c>
      <c r="H44" s="151"/>
      <c r="I44" s="147">
        <f t="shared" ref="I44:I75" si="3">I89</f>
        <v>79.191656609119988</v>
      </c>
      <c r="J44" s="31" t="s">
        <v>56</v>
      </c>
      <c r="K44" s="149"/>
      <c r="L44" s="149"/>
      <c r="M44" s="107">
        <f>$I44/L$37</f>
        <v>3.9595828304559992</v>
      </c>
      <c r="N44" s="147">
        <f>IF($I44 &gt;0, MIN(M44,$I44-SUM($L44:M44)), MAX(M44,$I44-SUM($L44:M44)))</f>
        <v>3.9595828304559992</v>
      </c>
      <c r="O44" s="147">
        <f>IF($I44 &gt;0, MIN(N44,$I44-SUM($L44:N44)), MAX(N44,$I44-SUM($L44:N44)))</f>
        <v>3.9595828304559992</v>
      </c>
      <c r="P44" s="147">
        <f>IF($I44 &gt;0, MIN(O44,$I44-SUM($L44:O44)), MAX(O44,$I44-SUM($L44:O44)))</f>
        <v>3.9595828304559992</v>
      </c>
      <c r="Q44" s="147">
        <f>IF($I44 &gt;0, MIN(P44,$I44-SUM($L44:P44)), MAX(P44,$I44-SUM($L44:P44)))</f>
        <v>3.9595828304559992</v>
      </c>
      <c r="R44" s="147">
        <f>IF($I44 &gt;0, MIN(Q44,$I44-SUM($L44:Q44)), MAX(Q44,$I44-SUM($L44:Q44)))</f>
        <v>3.9595828304559992</v>
      </c>
      <c r="S44" s="147">
        <f>IF($I44 &gt;0, MIN(R44,$I44-SUM($L44:R44)), MAX(R44,$I44-SUM($L44:R44)))</f>
        <v>3.9595828304559992</v>
      </c>
      <c r="T44" s="147">
        <f>IF($I44 &gt;0, MIN(S44,$I44-SUM($L44:S44)), MAX(S44,$I44-SUM($L44:S44)))</f>
        <v>3.9595828304559992</v>
      </c>
      <c r="U44" s="147">
        <f>IF($I44 &gt;0, MIN(T44,$I44-SUM($L44:T44)), MAX(T44,$I44-SUM($L44:T44)))</f>
        <v>3.9595828304559992</v>
      </c>
      <c r="V44" s="147">
        <f>IF($I44 &gt;0, MIN(U44,$I44-SUM($L44:U44)), MAX(U44,$I44-SUM($L44:U44)))</f>
        <v>3.9595828304559992</v>
      </c>
      <c r="W44" s="147">
        <f>IF($I44 &gt;0, MIN(V44,$I44-SUM($L44:V44)), MAX(V44,$I44-SUM($L44:V44)))</f>
        <v>3.9595828304559992</v>
      </c>
      <c r="X44" s="147">
        <f>IF($I44 &gt;0, MIN(W44,$I44-SUM($L44:W44)), MAX(W44,$I44-SUM($L44:W44)))</f>
        <v>3.9595828304559992</v>
      </c>
      <c r="Y44" s="147">
        <f>IF($I44 &gt;0, MIN(X44,$I44-SUM($L44:X44)), MAX(X44,$I44-SUM($L44:X44)))</f>
        <v>3.9595828304559992</v>
      </c>
      <c r="Z44" s="309">
        <f>IF($I44 &gt;0, MIN(Y44,$I44-SUM($L44:Y44)), MAX(Y44,$I44-SUM($L44:Y44)))</f>
        <v>3.9595828304559992</v>
      </c>
      <c r="AA44" s="147">
        <f>IF($I44 &gt;0, MIN(Z44,$I44-SUM($L44:Z44)), MAX(Z44,$I44-SUM($L44:Z44)))</f>
        <v>3.9595828304559992</v>
      </c>
      <c r="AB44" s="147">
        <f>IF($I44 &gt;0, MIN(AA44,$I44-SUM($L44:AA44)), MAX(AA44,$I44-SUM($L44:AA44)))</f>
        <v>3.9595828304559992</v>
      </c>
      <c r="AC44" s="147">
        <f>IF($I44 &gt;0, MIN(AB44,$I44-SUM($L44:AB44)), MAX(AB44,$I44-SUM($L44:AB44)))</f>
        <v>3.9595828304559992</v>
      </c>
      <c r="AD44" s="147">
        <f>IF($I44 &gt;0, MIN(AC44,$I44-SUM($L44:AC44)), MAX(AC44,$I44-SUM($L44:AC44)))</f>
        <v>3.9595828304559992</v>
      </c>
      <c r="AE44" s="147">
        <f>IF($I44 &gt;0, MIN(AD44,$I44-SUM($L44:AD44)), MAX(AD44,$I44-SUM($L44:AD44)))</f>
        <v>3.9595828304559992</v>
      </c>
      <c r="AF44" s="147">
        <f>IF($I44 &gt;0, MIN(AE44,$I44-SUM($L44:AE44)), MAX(AE44,$I44-SUM($L44:AE44)))</f>
        <v>3.9595828304559992</v>
      </c>
      <c r="AG44" s="147">
        <f>IF($I44 &gt;0, MIN(AF44,$I44-SUM($L44:AF44)), MAX(AF44,$I44-SUM($L44:AF44)))</f>
        <v>0</v>
      </c>
      <c r="AH44" s="147">
        <f>IF($I44 &gt;0, MIN(AG44,$I44-SUM($L44:AG44)), MAX(AG44,$I44-SUM($L44:AG44)))</f>
        <v>0</v>
      </c>
      <c r="AI44" s="147">
        <f>IF($I44 &gt;0, MIN(AH44,$I44-SUM($L44:AH44)), MAX(AH44,$I44-SUM($L44:AH44)))</f>
        <v>0</v>
      </c>
      <c r="AJ44" s="147">
        <f>IF($I44 &gt;0, MIN(AI44,$I44-SUM($L44:AI44)), MAX(AI44,$I44-SUM($L44:AI44)))</f>
        <v>0</v>
      </c>
      <c r="AK44" s="147">
        <f>IF($I44 &gt;0, MIN(AJ44,$I44-SUM($L44:AJ44)), MAX(AJ44,$I44-SUM($L44:AJ44)))</f>
        <v>0</v>
      </c>
      <c r="AL44" s="147">
        <f>IF($I44 &gt;0, MIN(AK44,$I44-SUM($L44:AK44)), MAX(AK44,$I44-SUM($L44:AK44)))</f>
        <v>0</v>
      </c>
      <c r="AM44" s="147">
        <f>IF($I44 &gt;0, MIN(AL44,$I44-SUM($L44:AL44)), MAX(AL44,$I44-SUM($L44:AL44)))</f>
        <v>0</v>
      </c>
      <c r="AN44" s="147">
        <f>IF($I44 &gt;0, MIN(AM44,$I44-SUM($L44:AM44)), MAX(AM44,$I44-SUM($L44:AM44)))</f>
        <v>0</v>
      </c>
      <c r="AO44" s="147">
        <f>IF($I44 &gt;0, MIN(AN44,$I44-SUM($L44:AN44)), MAX(AN44,$I44-SUM($L44:AN44)))</f>
        <v>0</v>
      </c>
      <c r="AP44" s="147">
        <f>IF($I44 &gt;0, MIN(AO44,$I44-SUM($L44:AO44)), MAX(AO44,$I44-SUM($L44:AO44)))</f>
        <v>0</v>
      </c>
      <c r="AQ44" s="147">
        <f>IF($I44 &gt;0, MIN(AP44,$I44-SUM($L44:AP44)), MAX(AP44,$I44-SUM($L44:AP44)))</f>
        <v>0</v>
      </c>
    </row>
    <row r="45" spans="2:47" ht="15" customHeight="1">
      <c r="D45" s="149"/>
      <c r="E45" s="184">
        <v>34059</v>
      </c>
      <c r="G45" s="158" t="s">
        <v>844</v>
      </c>
      <c r="H45" s="151"/>
      <c r="I45" s="147">
        <f t="shared" si="3"/>
        <v>79.191656609119988</v>
      </c>
      <c r="J45" s="31" t="s">
        <v>56</v>
      </c>
      <c r="K45" s="149"/>
      <c r="L45" s="147"/>
      <c r="M45" s="149"/>
      <c r="N45" s="107">
        <f>$I45/M$37</f>
        <v>3.9595828304559992</v>
      </c>
      <c r="O45" s="147">
        <f>IF($I45 &gt;0, MIN(N45,$I45-SUM($L45:N45)), MAX(N45,$I45-SUM($L45:N45)))</f>
        <v>3.9595828304559992</v>
      </c>
      <c r="P45" s="147">
        <f>IF($I45 &gt;0, MIN(O45,$I45-SUM($L45:O45)), MAX(O45,$I45-SUM($L45:O45)))</f>
        <v>3.9595828304559992</v>
      </c>
      <c r="Q45" s="147">
        <f>IF($I45 &gt;0, MIN(P45,$I45-SUM($L45:P45)), MAX(P45,$I45-SUM($L45:P45)))</f>
        <v>3.9595828304559992</v>
      </c>
      <c r="R45" s="147">
        <f>IF($I45 &gt;0, MIN(Q45,$I45-SUM($L45:Q45)), MAX(Q45,$I45-SUM($L45:Q45)))</f>
        <v>3.9595828304559992</v>
      </c>
      <c r="S45" s="147">
        <f>IF($I45 &gt;0, MIN(R45,$I45-SUM($L45:R45)), MAX(R45,$I45-SUM($L45:R45)))</f>
        <v>3.9595828304559992</v>
      </c>
      <c r="T45" s="147">
        <f>IF($I45 &gt;0, MIN(S45,$I45-SUM($L45:S45)), MAX(S45,$I45-SUM($L45:S45)))</f>
        <v>3.9595828304559992</v>
      </c>
      <c r="U45" s="147">
        <f>IF($I45 &gt;0, MIN(T45,$I45-SUM($L45:T45)), MAX(T45,$I45-SUM($L45:T45)))</f>
        <v>3.9595828304559992</v>
      </c>
      <c r="V45" s="147">
        <f>IF($I45 &gt;0, MIN(U45,$I45-SUM($L45:U45)), MAX(U45,$I45-SUM($L45:U45)))</f>
        <v>3.9595828304559992</v>
      </c>
      <c r="W45" s="147">
        <f>IF($I45 &gt;0, MIN(V45,$I45-SUM($L45:V45)), MAX(V45,$I45-SUM($L45:V45)))</f>
        <v>3.9595828304559992</v>
      </c>
      <c r="X45" s="147">
        <f>IF($I45 &gt;0, MIN(W45,$I45-SUM($L45:W45)), MAX(W45,$I45-SUM($L45:W45)))</f>
        <v>3.9595828304559992</v>
      </c>
      <c r="Y45" s="147">
        <f>IF($I45 &gt;0, MIN(X45,$I45-SUM($L45:X45)), MAX(X45,$I45-SUM($L45:X45)))</f>
        <v>3.9595828304559992</v>
      </c>
      <c r="Z45" s="147">
        <f>IF($I45 &gt;0, MIN(Y45,$I45-SUM($L45:Y45)), MAX(Y45,$I45-SUM($L45:Y45)))</f>
        <v>3.9595828304559992</v>
      </c>
      <c r="AA45" s="147">
        <f>IF($I45 &gt;0, MIN(Z45,$I45-SUM($L45:Z45)), MAX(Z45,$I45-SUM($L45:Z45)))</f>
        <v>3.9595828304559992</v>
      </c>
      <c r="AB45" s="147">
        <f>IF($I45 &gt;0, MIN(AA45,$I45-SUM($L45:AA45)), MAX(AA45,$I45-SUM($L45:AA45)))</f>
        <v>3.9595828304559992</v>
      </c>
      <c r="AC45" s="147">
        <f>IF($I45 &gt;0, MIN(AB45,$I45-SUM($L45:AB45)), MAX(AB45,$I45-SUM($L45:AB45)))</f>
        <v>3.9595828304559992</v>
      </c>
      <c r="AD45" s="147">
        <f>IF($I45 &gt;0, MIN(AC45,$I45-SUM($L45:AC45)), MAX(AC45,$I45-SUM($L45:AC45)))</f>
        <v>3.9595828304559992</v>
      </c>
      <c r="AE45" s="147">
        <f>IF($I45 &gt;0, MIN(AD45,$I45-SUM($L45:AD45)), MAX(AD45,$I45-SUM($L45:AD45)))</f>
        <v>3.9595828304559992</v>
      </c>
      <c r="AF45" s="147">
        <f>IF($I45 &gt;0, MIN(AE45,$I45-SUM($L45:AE45)), MAX(AE45,$I45-SUM($L45:AE45)))</f>
        <v>3.9595828304559992</v>
      </c>
      <c r="AG45" s="147">
        <f>IF($I45 &gt;0, MIN(AF45,$I45-SUM($L45:AF45)), MAX(AF45,$I45-SUM($L45:AF45)))</f>
        <v>3.9595828304559992</v>
      </c>
      <c r="AH45" s="147">
        <f>IF($I45 &gt;0, MIN(AG45,$I45-SUM($L45:AG45)), MAX(AG45,$I45-SUM($L45:AG45)))</f>
        <v>0</v>
      </c>
      <c r="AI45" s="147">
        <f>IF($I45 &gt;0, MIN(AH45,$I45-SUM($L45:AH45)), MAX(AH45,$I45-SUM($L45:AH45)))</f>
        <v>0</v>
      </c>
      <c r="AJ45" s="147">
        <f>IF($I45 &gt;0, MIN(AI45,$I45-SUM($L45:AI45)), MAX(AI45,$I45-SUM($L45:AI45)))</f>
        <v>0</v>
      </c>
      <c r="AK45" s="147">
        <f>IF($I45 &gt;0, MIN(AJ45,$I45-SUM($L45:AJ45)), MAX(AJ45,$I45-SUM($L45:AJ45)))</f>
        <v>0</v>
      </c>
      <c r="AL45" s="147">
        <f>IF($I45 &gt;0, MIN(AK45,$I45-SUM($L45:AK45)), MAX(AK45,$I45-SUM($L45:AK45)))</f>
        <v>0</v>
      </c>
      <c r="AM45" s="147">
        <f>IF($I45 &gt;0, MIN(AL45,$I45-SUM($L45:AL45)), MAX(AL45,$I45-SUM($L45:AL45)))</f>
        <v>0</v>
      </c>
      <c r="AN45" s="147">
        <f>IF($I45 &gt;0, MIN(AM45,$I45-SUM($L45:AM45)), MAX(AM45,$I45-SUM($L45:AM45)))</f>
        <v>0</v>
      </c>
      <c r="AO45" s="147">
        <f>IF($I45 &gt;0, MIN(AN45,$I45-SUM($L45:AN45)), MAX(AN45,$I45-SUM($L45:AN45)))</f>
        <v>0</v>
      </c>
      <c r="AP45" s="147">
        <f>IF($I45 &gt;0, MIN(AO45,$I45-SUM($L45:AO45)), MAX(AO45,$I45-SUM($L45:AO45)))</f>
        <v>0</v>
      </c>
      <c r="AQ45" s="147">
        <f>IF($I45 &gt;0, MIN(AP45,$I45-SUM($L45:AP45)), MAX(AP45,$I45-SUM($L45:AP45)))</f>
        <v>0</v>
      </c>
      <c r="AR45" s="147">
        <f>IF($I45 &gt;0, MIN(AQ45,$I45-SUM($L45:AQ45)), MAX(AQ45,$I45-SUM($L45:AQ45)))</f>
        <v>0</v>
      </c>
    </row>
    <row r="46" spans="2:47" ht="15" customHeight="1">
      <c r="D46" s="149"/>
      <c r="E46" s="184">
        <v>34424</v>
      </c>
      <c r="G46" s="158" t="s">
        <v>844</v>
      </c>
      <c r="H46" s="151"/>
      <c r="I46" s="147">
        <f t="shared" si="3"/>
        <v>88.435818859211835</v>
      </c>
      <c r="J46" s="31" t="s">
        <v>56</v>
      </c>
      <c r="K46" s="149"/>
      <c r="L46" s="147"/>
      <c r="M46" s="147"/>
      <c r="N46" s="147"/>
      <c r="O46" s="107">
        <f>$I46/N$37</f>
        <v>4.4217909429605919</v>
      </c>
      <c r="P46" s="147">
        <f>IF($I46 &gt;0, MIN(O46,$I46-SUM($L46:O46)), MAX(O46,$I46-SUM($L46:O46)))</f>
        <v>4.4217909429605919</v>
      </c>
      <c r="Q46" s="147">
        <f>IF($I46 &gt;0, MIN(P46,$I46-SUM($L46:P46)), MAX(P46,$I46-SUM($L46:P46)))</f>
        <v>4.4217909429605919</v>
      </c>
      <c r="R46" s="147">
        <f>IF($I46 &gt;0, MIN(Q46,$I46-SUM($L46:Q46)), MAX(Q46,$I46-SUM($L46:Q46)))</f>
        <v>4.4217909429605919</v>
      </c>
      <c r="S46" s="147">
        <f>IF($I46 &gt;0, MIN(R46,$I46-SUM($L46:R46)), MAX(R46,$I46-SUM($L46:R46)))</f>
        <v>4.4217909429605919</v>
      </c>
      <c r="T46" s="147">
        <f>IF($I46 &gt;0, MIN(S46,$I46-SUM($L46:S46)), MAX(S46,$I46-SUM($L46:S46)))</f>
        <v>4.4217909429605919</v>
      </c>
      <c r="U46" s="147">
        <f>IF($I46 &gt;0, MIN(T46,$I46-SUM($L46:T46)), MAX(T46,$I46-SUM($L46:T46)))</f>
        <v>4.4217909429605919</v>
      </c>
      <c r="V46" s="147">
        <f>IF($I46 &gt;0, MIN(U46,$I46-SUM($L46:U46)), MAX(U46,$I46-SUM($L46:U46)))</f>
        <v>4.4217909429605919</v>
      </c>
      <c r="W46" s="147">
        <f>IF($I46 &gt;0, MIN(V46,$I46-SUM($L46:V46)), MAX(V46,$I46-SUM($L46:V46)))</f>
        <v>4.4217909429605919</v>
      </c>
      <c r="X46" s="147">
        <f>IF($I46 &gt;0, MIN(W46,$I46-SUM($L46:W46)), MAX(W46,$I46-SUM($L46:W46)))</f>
        <v>4.4217909429605919</v>
      </c>
      <c r="Y46" s="147">
        <f>IF($I46 &gt;0, MIN(X46,$I46-SUM($L46:X46)), MAX(X46,$I46-SUM($L46:X46)))</f>
        <v>4.4217909429605919</v>
      </c>
      <c r="Z46" s="147">
        <f>IF($I46 &gt;0, MIN(Y46,$I46-SUM($L46:Y46)), MAX(Y46,$I46-SUM($L46:Y46)))</f>
        <v>4.4217909429605919</v>
      </c>
      <c r="AA46" s="147">
        <f>IF($I46 &gt;0, MIN(Z46,$I46-SUM($L46:Z46)), MAX(Z46,$I46-SUM($L46:Z46)))</f>
        <v>4.4217909429605919</v>
      </c>
      <c r="AB46" s="147">
        <f>IF($I46 &gt;0, MIN(AA46,$I46-SUM($L46:AA46)), MAX(AA46,$I46-SUM($L46:AA46)))</f>
        <v>4.4217909429605919</v>
      </c>
      <c r="AC46" s="147">
        <f>IF($I46 &gt;0, MIN(AB46,$I46-SUM($L46:AB46)), MAX(AB46,$I46-SUM($L46:AB46)))</f>
        <v>4.4217909429605919</v>
      </c>
      <c r="AD46" s="147">
        <f>IF($I46 &gt;0, MIN(AC46,$I46-SUM($L46:AC46)), MAX(AC46,$I46-SUM($L46:AC46)))</f>
        <v>4.4217909429605919</v>
      </c>
      <c r="AE46" s="147">
        <f>IF($I46 &gt;0, MIN(AD46,$I46-SUM($L46:AD46)), MAX(AD46,$I46-SUM($L46:AD46)))</f>
        <v>4.4217909429605919</v>
      </c>
      <c r="AF46" s="147">
        <f>IF($I46 &gt;0, MIN(AE46,$I46-SUM($L46:AE46)), MAX(AE46,$I46-SUM($L46:AE46)))</f>
        <v>4.4217909429605919</v>
      </c>
      <c r="AG46" s="147">
        <f>IF($I46 &gt;0, MIN(AF46,$I46-SUM($L46:AF46)), MAX(AF46,$I46-SUM($L46:AF46)))</f>
        <v>4.4217909429605919</v>
      </c>
      <c r="AH46" s="147">
        <f>IF($I46 &gt;0, MIN(AG46,$I46-SUM($L46:AG46)), MAX(AG46,$I46-SUM($L46:AG46)))</f>
        <v>4.4217909429605697</v>
      </c>
      <c r="AI46" s="147">
        <f>IF($I46 &gt;0, MIN(AH46,$I46-SUM($L46:AH46)), MAX(AH46,$I46-SUM($L46:AH46)))</f>
        <v>0</v>
      </c>
      <c r="AJ46" s="147">
        <f>IF($I46 &gt;0, MIN(AI46,$I46-SUM($L46:AI46)), MAX(AI46,$I46-SUM($L46:AI46)))</f>
        <v>0</v>
      </c>
      <c r="AK46" s="147">
        <f>IF($I46 &gt;0, MIN(AJ46,$I46-SUM($L46:AJ46)), MAX(AJ46,$I46-SUM($L46:AJ46)))</f>
        <v>0</v>
      </c>
      <c r="AL46" s="147">
        <f>IF($I46 &gt;0, MIN(AK46,$I46-SUM($L46:AK46)), MAX(AK46,$I46-SUM($L46:AK46)))</f>
        <v>0</v>
      </c>
      <c r="AM46" s="147">
        <f>IF($I46 &gt;0, MIN(AL46,$I46-SUM($L46:AL46)), MAX(AL46,$I46-SUM($L46:AL46)))</f>
        <v>0</v>
      </c>
      <c r="AN46" s="147">
        <f>IF($I46 &gt;0, MIN(AM46,$I46-SUM($L46:AM46)), MAX(AM46,$I46-SUM($L46:AM46)))</f>
        <v>0</v>
      </c>
      <c r="AO46" s="147">
        <f>IF($I46 &gt;0, MIN(AN46,$I46-SUM($L46:AN46)), MAX(AN46,$I46-SUM($L46:AN46)))</f>
        <v>0</v>
      </c>
      <c r="AP46" s="147">
        <f>IF($I46 &gt;0, MIN(AO46,$I46-SUM($L46:AO46)), MAX(AO46,$I46-SUM($L46:AO46)))</f>
        <v>0</v>
      </c>
      <c r="AQ46" s="147">
        <f>IF($I46 &gt;0, MIN(AP46,$I46-SUM($L46:AP46)), MAX(AP46,$I46-SUM($L46:AP46)))</f>
        <v>0</v>
      </c>
      <c r="AR46" s="147">
        <f>IF($I46 &gt;0, MIN(AQ46,$I46-SUM($L46:AQ46)), MAX(AQ46,$I46-SUM($L46:AQ46)))</f>
        <v>0</v>
      </c>
      <c r="AS46" s="147"/>
    </row>
    <row r="47" spans="2:47" ht="15" customHeight="1">
      <c r="D47" s="149"/>
      <c r="E47" s="184">
        <v>34789</v>
      </c>
      <c r="G47" s="158" t="s">
        <v>844</v>
      </c>
      <c r="H47" s="151"/>
      <c r="I47" s="147">
        <f t="shared" si="3"/>
        <v>64.092858267303342</v>
      </c>
      <c r="J47" s="31" t="s">
        <v>56</v>
      </c>
      <c r="K47" s="149"/>
      <c r="L47" s="147"/>
      <c r="M47" s="147"/>
      <c r="N47" s="147"/>
      <c r="O47" s="147"/>
      <c r="P47" s="107">
        <f>$I47/O$37</f>
        <v>3.2046429133651673</v>
      </c>
      <c r="Q47" s="147">
        <f>IF($I47 &gt;0, MIN(P47,$I47-SUM($L47:P47)), MAX(P47,$I47-SUM($L47:P47)))</f>
        <v>3.2046429133651673</v>
      </c>
      <c r="R47" s="147">
        <f>IF($I47 &gt;0, MIN(Q47,$I47-SUM($L47:Q47)), MAX(Q47,$I47-SUM($L47:Q47)))</f>
        <v>3.2046429133651673</v>
      </c>
      <c r="S47" s="147">
        <f>IF($I47 &gt;0, MIN(R47,$I47-SUM($L47:R47)), MAX(R47,$I47-SUM($L47:R47)))</f>
        <v>3.2046429133651673</v>
      </c>
      <c r="T47" s="147">
        <f>IF($I47 &gt;0, MIN(S47,$I47-SUM($L47:S47)), MAX(S47,$I47-SUM($L47:S47)))</f>
        <v>3.2046429133651673</v>
      </c>
      <c r="U47" s="147">
        <f>IF($I47 &gt;0, MIN(T47,$I47-SUM($L47:T47)), MAX(T47,$I47-SUM($L47:T47)))</f>
        <v>3.2046429133651673</v>
      </c>
      <c r="V47" s="147">
        <f>IF($I47 &gt;0, MIN(U47,$I47-SUM($L47:U47)), MAX(U47,$I47-SUM($L47:U47)))</f>
        <v>3.2046429133651673</v>
      </c>
      <c r="W47" s="147">
        <f>IF($I47 &gt;0, MIN(V47,$I47-SUM($L47:V47)), MAX(V47,$I47-SUM($L47:V47)))</f>
        <v>3.2046429133651673</v>
      </c>
      <c r="X47" s="147">
        <f>IF($I47 &gt;0, MIN(W47,$I47-SUM($L47:W47)), MAX(W47,$I47-SUM($L47:W47)))</f>
        <v>3.2046429133651673</v>
      </c>
      <c r="Y47" s="147">
        <f>IF($I47 &gt;0, MIN(X47,$I47-SUM($L47:X47)), MAX(X47,$I47-SUM($L47:X47)))</f>
        <v>3.2046429133651673</v>
      </c>
      <c r="Z47" s="147">
        <f>IF($I47 &gt;0, MIN(Y47,$I47-SUM($L47:Y47)), MAX(Y47,$I47-SUM($L47:Y47)))</f>
        <v>3.2046429133651673</v>
      </c>
      <c r="AA47" s="147">
        <f>IF($I47 &gt;0, MIN(Z47,$I47-SUM($L47:Z47)), MAX(Z47,$I47-SUM($L47:Z47)))</f>
        <v>3.2046429133651673</v>
      </c>
      <c r="AB47" s="147">
        <f>IF($I47 &gt;0, MIN(AA47,$I47-SUM($L47:AA47)), MAX(AA47,$I47-SUM($L47:AA47)))</f>
        <v>3.2046429133651673</v>
      </c>
      <c r="AC47" s="147">
        <f>IF($I47 &gt;0, MIN(AB47,$I47-SUM($L47:AB47)), MAX(AB47,$I47-SUM($L47:AB47)))</f>
        <v>3.2046429133651673</v>
      </c>
      <c r="AD47" s="147">
        <f>IF($I47 &gt;0, MIN(AC47,$I47-SUM($L47:AC47)), MAX(AC47,$I47-SUM($L47:AC47)))</f>
        <v>3.2046429133651673</v>
      </c>
      <c r="AE47" s="147">
        <f>IF($I47 &gt;0, MIN(AD47,$I47-SUM($L47:AD47)), MAX(AD47,$I47-SUM($L47:AD47)))</f>
        <v>3.2046429133651673</v>
      </c>
      <c r="AF47" s="147">
        <f>IF($I47 &gt;0, MIN(AE47,$I47-SUM($L47:AE47)), MAX(AE47,$I47-SUM($L47:AE47)))</f>
        <v>3.2046429133651673</v>
      </c>
      <c r="AG47" s="147">
        <f>IF($I47 &gt;0, MIN(AF47,$I47-SUM($L47:AF47)), MAX(AF47,$I47-SUM($L47:AF47)))</f>
        <v>3.2046429133651673</v>
      </c>
      <c r="AH47" s="147">
        <f>IF($I47 &gt;0, MIN(AG47,$I47-SUM($L47:AG47)), MAX(AG47,$I47-SUM($L47:AG47)))</f>
        <v>3.2046429133651673</v>
      </c>
      <c r="AI47" s="147">
        <f>IF($I47 &gt;0, MIN(AH47,$I47-SUM($L47:AH47)), MAX(AH47,$I47-SUM($L47:AH47)))</f>
        <v>3.2046429133651415</v>
      </c>
      <c r="AJ47" s="147">
        <f>IF($I47 &gt;0, MIN(AI47,$I47-SUM($L47:AI47)), MAX(AI47,$I47-SUM($L47:AI47)))</f>
        <v>0</v>
      </c>
      <c r="AK47" s="147">
        <f>IF($I47 &gt;0, MIN(AJ47,$I47-SUM($L47:AJ47)), MAX(AJ47,$I47-SUM($L47:AJ47)))</f>
        <v>0</v>
      </c>
      <c r="AL47" s="147">
        <f>IF($I47 &gt;0, MIN(AK47,$I47-SUM($L47:AK47)), MAX(AK47,$I47-SUM($L47:AK47)))</f>
        <v>0</v>
      </c>
      <c r="AM47" s="147">
        <f>IF($I47 &gt;0, MIN(AL47,$I47-SUM($L47:AL47)), MAX(AL47,$I47-SUM($L47:AL47)))</f>
        <v>0</v>
      </c>
      <c r="AN47" s="147">
        <f>IF($I47 &gt;0, MIN(AM47,$I47-SUM($L47:AM47)), MAX(AM47,$I47-SUM($L47:AM47)))</f>
        <v>0</v>
      </c>
      <c r="AO47" s="147">
        <f>IF($I47 &gt;0, MIN(AN47,$I47-SUM($L47:AN47)), MAX(AN47,$I47-SUM($L47:AN47)))</f>
        <v>0</v>
      </c>
      <c r="AP47" s="147">
        <f>IF($I47 &gt;0, MIN(AO47,$I47-SUM($L47:AO47)), MAX(AO47,$I47-SUM($L47:AO47)))</f>
        <v>0</v>
      </c>
      <c r="AQ47" s="147">
        <f>IF($I47 &gt;0, MIN(AP47,$I47-SUM($L47:AP47)), MAX(AP47,$I47-SUM($L47:AP47)))</f>
        <v>0</v>
      </c>
      <c r="AR47" s="147">
        <f>IF($I47 &gt;0, MIN(AQ47,$I47-SUM($L47:AQ47)), MAX(AQ47,$I47-SUM($L47:AQ47)))</f>
        <v>0</v>
      </c>
      <c r="AS47" s="147"/>
      <c r="AT47" s="147"/>
    </row>
    <row r="48" spans="2:47" ht="15" customHeight="1">
      <c r="D48" s="149"/>
      <c r="E48" s="184">
        <v>35155</v>
      </c>
      <c r="G48" s="158" t="s">
        <v>844</v>
      </c>
      <c r="H48" s="151"/>
      <c r="I48" s="147">
        <f t="shared" si="3"/>
        <v>49.148129296321557</v>
      </c>
      <c r="J48" s="31" t="s">
        <v>56</v>
      </c>
      <c r="K48" s="149"/>
      <c r="L48" s="147"/>
      <c r="M48" s="147"/>
      <c r="N48" s="147"/>
      <c r="O48" s="147"/>
      <c r="P48" s="147"/>
      <c r="Q48" s="107">
        <f>$I48/P$37</f>
        <v>2.4574064648160778</v>
      </c>
      <c r="R48" s="147">
        <f>IF($I48 &gt;0, MIN(Q48,$I48-SUM($L48:Q48)), MAX(Q48,$I48-SUM($L48:Q48)))</f>
        <v>2.4574064648160778</v>
      </c>
      <c r="S48" s="147">
        <f>IF($I48 &gt;0, MIN(R48,$I48-SUM($L48:R48)), MAX(R48,$I48-SUM($L48:R48)))</f>
        <v>2.4574064648160778</v>
      </c>
      <c r="T48" s="147">
        <f>IF($I48 &gt;0, MIN(S48,$I48-SUM($L48:S48)), MAX(S48,$I48-SUM($L48:S48)))</f>
        <v>2.4574064648160778</v>
      </c>
      <c r="U48" s="147">
        <f>IF($I48 &gt;0, MIN(T48,$I48-SUM($L48:T48)), MAX(T48,$I48-SUM($L48:T48)))</f>
        <v>2.4574064648160778</v>
      </c>
      <c r="V48" s="147">
        <f>IF($I48 &gt;0, MIN(U48,$I48-SUM($L48:U48)), MAX(U48,$I48-SUM($L48:U48)))</f>
        <v>2.4574064648160778</v>
      </c>
      <c r="W48" s="147">
        <f>IF($I48 &gt;0, MIN(V48,$I48-SUM($L48:V48)), MAX(V48,$I48-SUM($L48:V48)))</f>
        <v>2.4574064648160778</v>
      </c>
      <c r="X48" s="147">
        <f>IF($I48 &gt;0, MIN(W48,$I48-SUM($L48:W48)), MAX(W48,$I48-SUM($L48:W48)))</f>
        <v>2.4574064648160778</v>
      </c>
      <c r="Y48" s="147">
        <f>IF($I48 &gt;0, MIN(X48,$I48-SUM($L48:X48)), MAX(X48,$I48-SUM($L48:X48)))</f>
        <v>2.4574064648160778</v>
      </c>
      <c r="Z48" s="147">
        <f>IF($I48 &gt;0, MIN(Y48,$I48-SUM($L48:Y48)), MAX(Y48,$I48-SUM($L48:Y48)))</f>
        <v>2.4574064648160778</v>
      </c>
      <c r="AA48" s="147">
        <f>IF($I48 &gt;0, MIN(Z48,$I48-SUM($L48:Z48)), MAX(Z48,$I48-SUM($L48:Z48)))</f>
        <v>2.4574064648160778</v>
      </c>
      <c r="AB48" s="147">
        <f>IF($I48 &gt;0, MIN(AA48,$I48-SUM($L48:AA48)), MAX(AA48,$I48-SUM($L48:AA48)))</f>
        <v>2.4574064648160778</v>
      </c>
      <c r="AC48" s="147">
        <f>IF($I48 &gt;0, MIN(AB48,$I48-SUM($L48:AB48)), MAX(AB48,$I48-SUM($L48:AB48)))</f>
        <v>2.4574064648160778</v>
      </c>
      <c r="AD48" s="147">
        <f>IF($I48 &gt;0, MIN(AC48,$I48-SUM($L48:AC48)), MAX(AC48,$I48-SUM($L48:AC48)))</f>
        <v>2.4574064648160778</v>
      </c>
      <c r="AE48" s="147">
        <f>IF($I48 &gt;0, MIN(AD48,$I48-SUM($L48:AD48)), MAX(AD48,$I48-SUM($L48:AD48)))</f>
        <v>2.4574064648160778</v>
      </c>
      <c r="AF48" s="147">
        <f>IF($I48 &gt;0, MIN(AE48,$I48-SUM($L48:AE48)), MAX(AE48,$I48-SUM($L48:AE48)))</f>
        <v>2.4574064648160778</v>
      </c>
      <c r="AG48" s="147">
        <f>IF($I48 &gt;0, MIN(AF48,$I48-SUM($L48:AF48)), MAX(AF48,$I48-SUM($L48:AF48)))</f>
        <v>2.4574064648160778</v>
      </c>
      <c r="AH48" s="147">
        <f>IF($I48 &gt;0, MIN(AG48,$I48-SUM($L48:AG48)), MAX(AG48,$I48-SUM($L48:AG48)))</f>
        <v>2.4574064648160778</v>
      </c>
      <c r="AI48" s="147">
        <f>IF($I48 &gt;0, MIN(AH48,$I48-SUM($L48:AH48)), MAX(AH48,$I48-SUM($L48:AH48)))</f>
        <v>2.4574064648160778</v>
      </c>
      <c r="AJ48" s="147">
        <f>IF($I48 &gt;0, MIN(AI48,$I48-SUM($L48:AI48)), MAX(AI48,$I48-SUM($L48:AI48)))</f>
        <v>2.4574064648160778</v>
      </c>
      <c r="AK48" s="147">
        <f>IF($I48 &gt;0, MIN(AJ48,$I48-SUM($L48:AJ48)), MAX(AJ48,$I48-SUM($L48:AJ48)))</f>
        <v>1.4210854715202004E-14</v>
      </c>
      <c r="AL48" s="147">
        <f>IF($I48 &gt;0, MIN(AK48,$I48-SUM($L48:AK48)), MAX(AK48,$I48-SUM($L48:AK48)))</f>
        <v>0</v>
      </c>
      <c r="AM48" s="147">
        <f>IF($I48 &gt;0, MIN(AL48,$I48-SUM($L48:AL48)), MAX(AL48,$I48-SUM($L48:AL48)))</f>
        <v>0</v>
      </c>
      <c r="AN48" s="147">
        <f>IF($I48 &gt;0, MIN(AM48,$I48-SUM($L48:AM48)), MAX(AM48,$I48-SUM($L48:AM48)))</f>
        <v>0</v>
      </c>
      <c r="AO48" s="147">
        <f>IF($I48 &gt;0, MIN(AN48,$I48-SUM($L48:AN48)), MAX(AN48,$I48-SUM($L48:AN48)))</f>
        <v>0</v>
      </c>
      <c r="AP48" s="147">
        <f>IF($I48 &gt;0, MIN(AO48,$I48-SUM($L48:AO48)), MAX(AO48,$I48-SUM($L48:AO48)))</f>
        <v>0</v>
      </c>
      <c r="AQ48" s="147">
        <f>IF($I48 &gt;0, MIN(AP48,$I48-SUM($L48:AP48)), MAX(AP48,$I48-SUM($L48:AP48)))</f>
        <v>0</v>
      </c>
      <c r="AR48" s="147">
        <f>IF($I48 &gt;0, MIN(AQ48,$I48-SUM($L48:AQ48)), MAX(AQ48,$I48-SUM($L48:AQ48)))</f>
        <v>0</v>
      </c>
      <c r="AS48" s="147"/>
      <c r="AT48" s="147"/>
      <c r="AU48" s="147"/>
    </row>
    <row r="49" spans="4:63" ht="15" customHeight="1">
      <c r="D49" s="149"/>
      <c r="E49" s="184">
        <v>35520</v>
      </c>
      <c r="G49" s="158" t="s">
        <v>844</v>
      </c>
      <c r="H49" s="151"/>
      <c r="I49" s="147">
        <f t="shared" si="3"/>
        <v>62.860303300624423</v>
      </c>
      <c r="J49" s="31" t="s">
        <v>56</v>
      </c>
      <c r="K49" s="149"/>
      <c r="L49" s="147"/>
      <c r="M49" s="147"/>
      <c r="N49" s="147"/>
      <c r="O49" s="147"/>
      <c r="P49" s="147"/>
      <c r="Q49" s="147"/>
      <c r="R49" s="107">
        <f>$I49/Q$37</f>
        <v>3.1430151650312212</v>
      </c>
      <c r="S49" s="147">
        <f>IF($I49 &gt;0, MIN(R49,$I49-SUM($L49:R49)), MAX(R49,$I49-SUM($L49:R49)))</f>
        <v>3.1430151650312212</v>
      </c>
      <c r="T49" s="147">
        <f>IF($I49 &gt;0, MIN(S49,$I49-SUM($L49:S49)), MAX(S49,$I49-SUM($L49:S49)))</f>
        <v>3.1430151650312212</v>
      </c>
      <c r="U49" s="147">
        <f>IF($I49 &gt;0, MIN(T49,$I49-SUM($L49:T49)), MAX(T49,$I49-SUM($L49:T49)))</f>
        <v>3.1430151650312212</v>
      </c>
      <c r="V49" s="147">
        <f>IF($I49 &gt;0, MIN(U49,$I49-SUM($L49:U49)), MAX(U49,$I49-SUM($L49:U49)))</f>
        <v>3.1430151650312212</v>
      </c>
      <c r="W49" s="147">
        <f>IF($I49 &gt;0, MIN(V49,$I49-SUM($L49:V49)), MAX(V49,$I49-SUM($L49:V49)))</f>
        <v>3.1430151650312212</v>
      </c>
      <c r="X49" s="147">
        <f>IF($I49 &gt;0, MIN(W49,$I49-SUM($L49:W49)), MAX(W49,$I49-SUM($L49:W49)))</f>
        <v>3.1430151650312212</v>
      </c>
      <c r="Y49" s="147">
        <f>IF($I49 &gt;0, MIN(X49,$I49-SUM($L49:X49)), MAX(X49,$I49-SUM($L49:X49)))</f>
        <v>3.1430151650312212</v>
      </c>
      <c r="Z49" s="147">
        <f>IF($I49 &gt;0, MIN(Y49,$I49-SUM($L49:Y49)), MAX(Y49,$I49-SUM($L49:Y49)))</f>
        <v>3.1430151650312212</v>
      </c>
      <c r="AA49" s="147">
        <f>IF($I49 &gt;0, MIN(Z49,$I49-SUM($L49:Z49)), MAX(Z49,$I49-SUM($L49:Z49)))</f>
        <v>3.1430151650312212</v>
      </c>
      <c r="AB49" s="147">
        <f>IF($I49 &gt;0, MIN(AA49,$I49-SUM($L49:AA49)), MAX(AA49,$I49-SUM($L49:AA49)))</f>
        <v>3.1430151650312212</v>
      </c>
      <c r="AC49" s="147">
        <f>IF($I49 &gt;0, MIN(AB49,$I49-SUM($L49:AB49)), MAX(AB49,$I49-SUM($L49:AB49)))</f>
        <v>3.1430151650312212</v>
      </c>
      <c r="AD49" s="147">
        <f>IF($I49 &gt;0, MIN(AC49,$I49-SUM($L49:AC49)), MAX(AC49,$I49-SUM($L49:AC49)))</f>
        <v>3.1430151650312212</v>
      </c>
      <c r="AE49" s="147">
        <f>IF($I49 &gt;0, MIN(AD49,$I49-SUM($L49:AD49)), MAX(AD49,$I49-SUM($L49:AD49)))</f>
        <v>3.1430151650312212</v>
      </c>
      <c r="AF49" s="147">
        <f>IF($I49 &gt;0, MIN(AE49,$I49-SUM($L49:AE49)), MAX(AE49,$I49-SUM($L49:AE49)))</f>
        <v>3.1430151650312212</v>
      </c>
      <c r="AG49" s="147">
        <f>IF($I49 &gt;0, MIN(AF49,$I49-SUM($L49:AF49)), MAX(AF49,$I49-SUM($L49:AF49)))</f>
        <v>3.1430151650312212</v>
      </c>
      <c r="AH49" s="147">
        <f>IF($I49 &gt;0, MIN(AG49,$I49-SUM($L49:AG49)), MAX(AG49,$I49-SUM($L49:AG49)))</f>
        <v>3.1430151650312212</v>
      </c>
      <c r="AI49" s="147">
        <f>IF($I49 &gt;0, MIN(AH49,$I49-SUM($L49:AH49)), MAX(AH49,$I49-SUM($L49:AH49)))</f>
        <v>3.1430151650312212</v>
      </c>
      <c r="AJ49" s="147">
        <f>IF($I49 &gt;0, MIN(AI49,$I49-SUM($L49:AI49)), MAX(AI49,$I49-SUM($L49:AI49)))</f>
        <v>3.1430151650312212</v>
      </c>
      <c r="AK49" s="147">
        <f>IF($I49 &gt;0, MIN(AJ49,$I49-SUM($L49:AJ49)), MAX(AJ49,$I49-SUM($L49:AJ49)))</f>
        <v>3.1430151650312013</v>
      </c>
      <c r="AL49" s="147">
        <f>IF($I49 &gt;0, MIN(AK49,$I49-SUM($L49:AK49)), MAX(AK49,$I49-SUM($L49:AK49)))</f>
        <v>0</v>
      </c>
      <c r="AM49" s="147">
        <f>IF($I49 &gt;0, MIN(AL49,$I49-SUM($L49:AL49)), MAX(AL49,$I49-SUM($L49:AL49)))</f>
        <v>0</v>
      </c>
      <c r="AN49" s="147">
        <f>IF($I49 &gt;0, MIN(AM49,$I49-SUM($L49:AM49)), MAX(AM49,$I49-SUM($L49:AM49)))</f>
        <v>0</v>
      </c>
      <c r="AO49" s="147">
        <f>IF($I49 &gt;0, MIN(AN49,$I49-SUM($L49:AN49)), MAX(AN49,$I49-SUM($L49:AN49)))</f>
        <v>0</v>
      </c>
      <c r="AP49" s="147">
        <f>IF($I49 &gt;0, MIN(AO49,$I49-SUM($L49:AO49)), MAX(AO49,$I49-SUM($L49:AO49)))</f>
        <v>0</v>
      </c>
      <c r="AQ49" s="147">
        <f>IF($I49 &gt;0, MIN(AP49,$I49-SUM($L49:AP49)), MAX(AP49,$I49-SUM($L49:AP49)))</f>
        <v>0</v>
      </c>
      <c r="AR49" s="147">
        <f>IF($I49 &gt;0, MIN(AQ49,$I49-SUM($L49:AQ49)), MAX(AQ49,$I49-SUM($L49:AQ49)))</f>
        <v>0</v>
      </c>
      <c r="AS49" s="147"/>
      <c r="AT49" s="147"/>
      <c r="AU49" s="147"/>
      <c r="AV49" s="147"/>
    </row>
    <row r="50" spans="4:63" ht="15" customHeight="1">
      <c r="D50" s="149"/>
      <c r="E50" s="184">
        <v>35885</v>
      </c>
      <c r="G50" s="158" t="s">
        <v>844</v>
      </c>
      <c r="H50" s="151"/>
      <c r="I50" s="147">
        <f t="shared" si="3"/>
        <v>44.371978800440779</v>
      </c>
      <c r="J50" s="31" t="s">
        <v>56</v>
      </c>
      <c r="K50" s="149"/>
      <c r="L50" s="147"/>
      <c r="M50" s="147"/>
      <c r="N50" s="147"/>
      <c r="O50" s="147"/>
      <c r="P50" s="147"/>
      <c r="Q50" s="147"/>
      <c r="R50" s="147"/>
      <c r="S50" s="107">
        <f>$I50/R$37</f>
        <v>2.2185989400220389</v>
      </c>
      <c r="T50" s="147">
        <f>IF($I50 &gt;0, MIN(S50,$I50-SUM($L50:S50)), MAX(S50,$I50-SUM($L50:S50)))</f>
        <v>2.2185989400220389</v>
      </c>
      <c r="U50" s="147">
        <f>IF($I50 &gt;0, MIN(T50,$I50-SUM($L50:T50)), MAX(T50,$I50-SUM($L50:T50)))</f>
        <v>2.2185989400220389</v>
      </c>
      <c r="V50" s="147">
        <f>IF($I50 &gt;0, MIN(U50,$I50-SUM($L50:U50)), MAX(U50,$I50-SUM($L50:U50)))</f>
        <v>2.2185989400220389</v>
      </c>
      <c r="W50" s="147">
        <f>IF($I50 &gt;0, MIN(V50,$I50-SUM($L50:V50)), MAX(V50,$I50-SUM($L50:V50)))</f>
        <v>2.2185989400220389</v>
      </c>
      <c r="X50" s="147">
        <f>IF($I50 &gt;0, MIN(W50,$I50-SUM($L50:W50)), MAX(W50,$I50-SUM($L50:W50)))</f>
        <v>2.2185989400220389</v>
      </c>
      <c r="Y50" s="147">
        <f>IF($I50 &gt;0, MIN(X50,$I50-SUM($L50:X50)), MAX(X50,$I50-SUM($L50:X50)))</f>
        <v>2.2185989400220389</v>
      </c>
      <c r="Z50" s="147">
        <f>IF($I50 &gt;0, MIN(Y50,$I50-SUM($L50:Y50)), MAX(Y50,$I50-SUM($L50:Y50)))</f>
        <v>2.2185989400220389</v>
      </c>
      <c r="AA50" s="147">
        <f>IF($I50 &gt;0, MIN(Z50,$I50-SUM($L50:Z50)), MAX(Z50,$I50-SUM($L50:Z50)))</f>
        <v>2.2185989400220389</v>
      </c>
      <c r="AB50" s="147">
        <f>IF($I50 &gt;0, MIN(AA50,$I50-SUM($L50:AA50)), MAX(AA50,$I50-SUM($L50:AA50)))</f>
        <v>2.2185989400220389</v>
      </c>
      <c r="AC50" s="147">
        <f>IF($I50 &gt;0, MIN(AB50,$I50-SUM($L50:AB50)), MAX(AB50,$I50-SUM($L50:AB50)))</f>
        <v>2.2185989400220389</v>
      </c>
      <c r="AD50" s="147">
        <f>IF($I50 &gt;0, MIN(AC50,$I50-SUM($L50:AC50)), MAX(AC50,$I50-SUM($L50:AC50)))</f>
        <v>2.2185989400220389</v>
      </c>
      <c r="AE50" s="147">
        <f>IF($I50 &gt;0, MIN(AD50,$I50-SUM($L50:AD50)), MAX(AD50,$I50-SUM($L50:AD50)))</f>
        <v>2.2185989400220389</v>
      </c>
      <c r="AF50" s="147">
        <f>IF($I50 &gt;0, MIN(AE50,$I50-SUM($L50:AE50)), MAX(AE50,$I50-SUM($L50:AE50)))</f>
        <v>2.2185989400220389</v>
      </c>
      <c r="AG50" s="147">
        <f>IF($I50 &gt;0, MIN(AF50,$I50-SUM($L50:AF50)), MAX(AF50,$I50-SUM($L50:AF50)))</f>
        <v>2.2185989400220389</v>
      </c>
      <c r="AH50" s="147">
        <f>IF($I50 &gt;0, MIN(AG50,$I50-SUM($L50:AG50)), MAX(AG50,$I50-SUM($L50:AG50)))</f>
        <v>2.2185989400220389</v>
      </c>
      <c r="AI50" s="147">
        <f>IF($I50 &gt;0, MIN(AH50,$I50-SUM($L50:AH50)), MAX(AH50,$I50-SUM($L50:AH50)))</f>
        <v>2.2185989400220389</v>
      </c>
      <c r="AJ50" s="147">
        <f>IF($I50 &gt;0, MIN(AI50,$I50-SUM($L50:AI50)), MAX(AI50,$I50-SUM($L50:AI50)))</f>
        <v>2.2185989400220389</v>
      </c>
      <c r="AK50" s="147">
        <f>IF($I50 &gt;0, MIN(AJ50,$I50-SUM($L50:AJ50)), MAX(AJ50,$I50-SUM($L50:AJ50)))</f>
        <v>2.2185989400220389</v>
      </c>
      <c r="AL50" s="147">
        <f>IF($I50 &gt;0, MIN(AK50,$I50-SUM($L50:AK50)), MAX(AK50,$I50-SUM($L50:AK50)))</f>
        <v>2.2185989400220194</v>
      </c>
      <c r="AM50" s="147">
        <f>IF($I50 &gt;0, MIN(AL50,$I50-SUM($L50:AL50)), MAX(AL50,$I50-SUM($L50:AL50)))</f>
        <v>0</v>
      </c>
      <c r="AN50" s="147">
        <f>IF($I50 &gt;0, MIN(AM50,$I50-SUM($L50:AM50)), MAX(AM50,$I50-SUM($L50:AM50)))</f>
        <v>0</v>
      </c>
      <c r="AO50" s="147">
        <f>IF($I50 &gt;0, MIN(AN50,$I50-SUM($L50:AN50)), MAX(AN50,$I50-SUM($L50:AN50)))</f>
        <v>0</v>
      </c>
      <c r="AP50" s="147">
        <f>IF($I50 &gt;0, MIN(AO50,$I50-SUM($L50:AO50)), MAX(AO50,$I50-SUM($L50:AO50)))</f>
        <v>0</v>
      </c>
      <c r="AQ50" s="147">
        <f>IF($I50 &gt;0, MIN(AP50,$I50-SUM($L50:AP50)), MAX(AP50,$I50-SUM($L50:AP50)))</f>
        <v>0</v>
      </c>
      <c r="AR50" s="147">
        <f>IF($I50 &gt;0, MIN(AQ50,$I50-SUM($L50:AQ50)), MAX(AQ50,$I50-SUM($L50:AQ50)))</f>
        <v>0</v>
      </c>
      <c r="AS50" s="147"/>
      <c r="AT50" s="147"/>
      <c r="AU50" s="147"/>
      <c r="AV50" s="147"/>
      <c r="AW50" s="147"/>
    </row>
    <row r="51" spans="4:63" ht="15" customHeight="1">
      <c r="D51" s="149"/>
      <c r="E51" s="184">
        <v>36250</v>
      </c>
      <c r="G51" s="158" t="s">
        <v>844</v>
      </c>
      <c r="H51" s="151"/>
      <c r="I51" s="147">
        <f t="shared" si="3"/>
        <v>63.649615795633814</v>
      </c>
      <c r="J51" s="31" t="s">
        <v>56</v>
      </c>
      <c r="K51" s="149"/>
      <c r="L51" s="147"/>
      <c r="M51" s="147"/>
      <c r="N51" s="147"/>
      <c r="O51" s="147"/>
      <c r="P51" s="147"/>
      <c r="Q51" s="147"/>
      <c r="R51" s="147"/>
      <c r="S51" s="147"/>
      <c r="T51" s="107">
        <f>$I51/S$37</f>
        <v>3.1824807897816907</v>
      </c>
      <c r="U51" s="147">
        <f>IF($I51 &gt;0, MIN(T51,$I51-SUM($L51:T51)), MAX(T51,$I51-SUM($L51:T51)))</f>
        <v>3.1824807897816907</v>
      </c>
      <c r="V51" s="147">
        <f>IF($I51 &gt;0, MIN(U51,$I51-SUM($L51:U51)), MAX(U51,$I51-SUM($L51:U51)))</f>
        <v>3.1824807897816907</v>
      </c>
      <c r="W51" s="147">
        <f>IF($I51 &gt;0, MIN(V51,$I51-SUM($L51:V51)), MAX(V51,$I51-SUM($L51:V51)))</f>
        <v>3.1824807897816907</v>
      </c>
      <c r="X51" s="147">
        <f>IF($I51 &gt;0, MIN(W51,$I51-SUM($L51:W51)), MAX(W51,$I51-SUM($L51:W51)))</f>
        <v>3.1824807897816907</v>
      </c>
      <c r="Y51" s="147">
        <f>IF($I51 &gt;0, MIN(X51,$I51-SUM($L51:X51)), MAX(X51,$I51-SUM($L51:X51)))</f>
        <v>3.1824807897816907</v>
      </c>
      <c r="Z51" s="147">
        <f>IF($I51 &gt;0, MIN(Y51,$I51-SUM($L51:Y51)), MAX(Y51,$I51-SUM($L51:Y51)))</f>
        <v>3.1824807897816907</v>
      </c>
      <c r="AA51" s="147">
        <f>IF($I51 &gt;0, MIN(Z51,$I51-SUM($L51:Z51)), MAX(Z51,$I51-SUM($L51:Z51)))</f>
        <v>3.1824807897816907</v>
      </c>
      <c r="AB51" s="147">
        <f>IF($I51 &gt;0, MIN(AA51,$I51-SUM($L51:AA51)), MAX(AA51,$I51-SUM($L51:AA51)))</f>
        <v>3.1824807897816907</v>
      </c>
      <c r="AC51" s="147">
        <f>IF($I51 &gt;0, MIN(AB51,$I51-SUM($L51:AB51)), MAX(AB51,$I51-SUM($L51:AB51)))</f>
        <v>3.1824807897816907</v>
      </c>
      <c r="AD51" s="147">
        <f>IF($I51 &gt;0, MIN(AC51,$I51-SUM($L51:AC51)), MAX(AC51,$I51-SUM($L51:AC51)))</f>
        <v>3.1824807897816907</v>
      </c>
      <c r="AE51" s="147">
        <f>IF($I51 &gt;0, MIN(AD51,$I51-SUM($L51:AD51)), MAX(AD51,$I51-SUM($L51:AD51)))</f>
        <v>3.1824807897816907</v>
      </c>
      <c r="AF51" s="147">
        <f>IF($I51 &gt;0, MIN(AE51,$I51-SUM($L51:AE51)), MAX(AE51,$I51-SUM($L51:AE51)))</f>
        <v>3.1824807897816907</v>
      </c>
      <c r="AG51" s="147">
        <f>IF($I51 &gt;0, MIN(AF51,$I51-SUM($L51:AF51)), MAX(AF51,$I51-SUM($L51:AF51)))</f>
        <v>3.1824807897816907</v>
      </c>
      <c r="AH51" s="147">
        <f>IF($I51 &gt;0, MIN(AG51,$I51-SUM($L51:AG51)), MAX(AG51,$I51-SUM($L51:AG51)))</f>
        <v>3.1824807897816907</v>
      </c>
      <c r="AI51" s="147">
        <f>IF($I51 &gt;0, MIN(AH51,$I51-SUM($L51:AH51)), MAX(AH51,$I51-SUM($L51:AH51)))</f>
        <v>3.1824807897816907</v>
      </c>
      <c r="AJ51" s="147">
        <f>IF($I51 &gt;0, MIN(AI51,$I51-SUM($L51:AI51)), MAX(AI51,$I51-SUM($L51:AI51)))</f>
        <v>3.1824807897816907</v>
      </c>
      <c r="AK51" s="147">
        <f>IF($I51 &gt;0, MIN(AJ51,$I51-SUM($L51:AJ51)), MAX(AJ51,$I51-SUM($L51:AJ51)))</f>
        <v>3.1824807897816907</v>
      </c>
      <c r="AL51" s="147">
        <f>IF($I51 &gt;0, MIN(AK51,$I51-SUM($L51:AK51)), MAX(AK51,$I51-SUM($L51:AK51)))</f>
        <v>3.1824807897816907</v>
      </c>
      <c r="AM51" s="147">
        <f>IF($I51 &gt;0, MIN(AL51,$I51-SUM($L51:AL51)), MAX(AL51,$I51-SUM($L51:AL51)))</f>
        <v>3.1824807897816711</v>
      </c>
      <c r="AN51" s="147">
        <f>IF($I51 &gt;0, MIN(AM51,$I51-SUM($L51:AM51)), MAX(AM51,$I51-SUM($L51:AM51)))</f>
        <v>0</v>
      </c>
      <c r="AO51" s="147">
        <f>IF($I51 &gt;0, MIN(AN51,$I51-SUM($L51:AN51)), MAX(AN51,$I51-SUM($L51:AN51)))</f>
        <v>0</v>
      </c>
      <c r="AP51" s="147">
        <f>IF($I51 &gt;0, MIN(AO51,$I51-SUM($L51:AO51)), MAX(AO51,$I51-SUM($L51:AO51)))</f>
        <v>0</v>
      </c>
      <c r="AQ51" s="147">
        <f>IF($I51 &gt;0, MIN(AP51,$I51-SUM($L51:AP51)), MAX(AP51,$I51-SUM($L51:AP51)))</f>
        <v>0</v>
      </c>
      <c r="AR51" s="147">
        <f>IF($I51 &gt;0, MIN(AQ51,$I51-SUM($L51:AQ51)), MAX(AQ51,$I51-SUM($L51:AQ51)))</f>
        <v>0</v>
      </c>
      <c r="AS51" s="147"/>
      <c r="AT51" s="147"/>
      <c r="AU51" s="147"/>
      <c r="AV51" s="147"/>
      <c r="AW51" s="147"/>
      <c r="AX51" s="147"/>
    </row>
    <row r="52" spans="4:63" ht="15" customHeight="1">
      <c r="D52" s="149"/>
      <c r="E52" s="184">
        <v>36616</v>
      </c>
      <c r="G52" s="158" t="s">
        <v>844</v>
      </c>
      <c r="H52" s="151"/>
      <c r="I52" s="147">
        <f t="shared" si="3"/>
        <v>59.863375413285262</v>
      </c>
      <c r="J52" s="31" t="s">
        <v>56</v>
      </c>
      <c r="K52" s="149"/>
      <c r="L52" s="147"/>
      <c r="M52" s="147"/>
      <c r="N52" s="147"/>
      <c r="O52" s="147"/>
      <c r="P52" s="147"/>
      <c r="Q52" s="147"/>
      <c r="R52" s="147"/>
      <c r="S52" s="147"/>
      <c r="T52" s="147"/>
      <c r="U52" s="107">
        <f>$I52/T$37</f>
        <v>2.9931687706642629</v>
      </c>
      <c r="V52" s="147">
        <f>IF($I52 &gt;0, MIN(U52,$I52-SUM($L52:U52)), MAX(U52,$I52-SUM($L52:U52)))</f>
        <v>2.9931687706642629</v>
      </c>
      <c r="W52" s="147">
        <f>IF($I52 &gt;0, MIN(V52,$I52-SUM($L52:V52)), MAX(V52,$I52-SUM($L52:V52)))</f>
        <v>2.9931687706642629</v>
      </c>
      <c r="X52" s="147">
        <f>IF($I52 &gt;0, MIN(W52,$I52-SUM($L52:W52)), MAX(W52,$I52-SUM($L52:W52)))</f>
        <v>2.9931687706642629</v>
      </c>
      <c r="Y52" s="147">
        <f>IF($I52 &gt;0, MIN(X52,$I52-SUM($L52:X52)), MAX(X52,$I52-SUM($L52:X52)))</f>
        <v>2.9931687706642629</v>
      </c>
      <c r="Z52" s="147">
        <f>IF($I52 &gt;0, MIN(Y52,$I52-SUM($L52:Y52)), MAX(Y52,$I52-SUM($L52:Y52)))</f>
        <v>2.9931687706642629</v>
      </c>
      <c r="AA52" s="147">
        <f>IF($I52 &gt;0, MIN(Z52,$I52-SUM($L52:Z52)), MAX(Z52,$I52-SUM($L52:Z52)))</f>
        <v>2.9931687706642629</v>
      </c>
      <c r="AB52" s="147">
        <f>IF($I52 &gt;0, MIN(AA52,$I52-SUM($L52:AA52)), MAX(AA52,$I52-SUM($L52:AA52)))</f>
        <v>2.9931687706642629</v>
      </c>
      <c r="AC52" s="147">
        <f>IF($I52 &gt;0, MIN(AB52,$I52-SUM($L52:AB52)), MAX(AB52,$I52-SUM($L52:AB52)))</f>
        <v>2.9931687706642629</v>
      </c>
      <c r="AD52" s="147">
        <f>IF($I52 &gt;0, MIN(AC52,$I52-SUM($L52:AC52)), MAX(AC52,$I52-SUM($L52:AC52)))</f>
        <v>2.9931687706642629</v>
      </c>
      <c r="AE52" s="147">
        <f>IF($I52 &gt;0, MIN(AD52,$I52-SUM($L52:AD52)), MAX(AD52,$I52-SUM($L52:AD52)))</f>
        <v>2.9931687706642629</v>
      </c>
      <c r="AF52" s="147">
        <f>IF($I52 &gt;0, MIN(AE52,$I52-SUM($L52:AE52)), MAX(AE52,$I52-SUM($L52:AE52)))</f>
        <v>2.9931687706642629</v>
      </c>
      <c r="AG52" s="147">
        <f>IF($I52 &gt;0, MIN(AF52,$I52-SUM($L52:AF52)), MAX(AF52,$I52-SUM($L52:AF52)))</f>
        <v>2.9931687706642629</v>
      </c>
      <c r="AH52" s="147">
        <f>IF($I52 &gt;0, MIN(AG52,$I52-SUM($L52:AG52)), MAX(AG52,$I52-SUM($L52:AG52)))</f>
        <v>2.9931687706642629</v>
      </c>
      <c r="AI52" s="147">
        <f>IF($I52 &gt;0, MIN(AH52,$I52-SUM($L52:AH52)), MAX(AH52,$I52-SUM($L52:AH52)))</f>
        <v>2.9931687706642629</v>
      </c>
      <c r="AJ52" s="147">
        <f>IF($I52 &gt;0, MIN(AI52,$I52-SUM($L52:AI52)), MAX(AI52,$I52-SUM($L52:AI52)))</f>
        <v>2.9931687706642629</v>
      </c>
      <c r="AK52" s="147">
        <f>IF($I52 &gt;0, MIN(AJ52,$I52-SUM($L52:AJ52)), MAX(AJ52,$I52-SUM($L52:AJ52)))</f>
        <v>2.9931687706642629</v>
      </c>
      <c r="AL52" s="147">
        <f>IF($I52 &gt;0, MIN(AK52,$I52-SUM($L52:AK52)), MAX(AK52,$I52-SUM($L52:AK52)))</f>
        <v>2.9931687706642629</v>
      </c>
      <c r="AM52" s="147">
        <f>IF($I52 &gt;0, MIN(AL52,$I52-SUM($L52:AL52)), MAX(AL52,$I52-SUM($L52:AL52)))</f>
        <v>2.9931687706642629</v>
      </c>
      <c r="AN52" s="147">
        <f>IF($I52 &gt;0, MIN(AM52,$I52-SUM($L52:AM52)), MAX(AM52,$I52-SUM($L52:AM52)))</f>
        <v>2.9931687706642629</v>
      </c>
      <c r="AO52" s="147">
        <f>IF($I52 &gt;0, MIN(AN52,$I52-SUM($L52:AN52)), MAX(AN52,$I52-SUM($L52:AN52)))</f>
        <v>1.4210854715202004E-14</v>
      </c>
      <c r="AP52" s="147">
        <f>IF($I52 &gt;0, MIN(AO52,$I52-SUM($L52:AO52)), MAX(AO52,$I52-SUM($L52:AO52)))</f>
        <v>0</v>
      </c>
      <c r="AQ52" s="147">
        <f>IF($I52 &gt;0, MIN(AP52,$I52-SUM($L52:AP52)), MAX(AP52,$I52-SUM($L52:AP52)))</f>
        <v>0</v>
      </c>
      <c r="AR52" s="147">
        <f>IF($I52 &gt;0, MIN(AQ52,$I52-SUM($L52:AQ52)), MAX(AQ52,$I52-SUM($L52:AQ52)))</f>
        <v>0</v>
      </c>
      <c r="AS52" s="147"/>
      <c r="AT52" s="147"/>
      <c r="AU52" s="147"/>
      <c r="AV52" s="147"/>
      <c r="AW52" s="147"/>
      <c r="AX52" s="147"/>
      <c r="AY52" s="147"/>
    </row>
    <row r="53" spans="4:63" ht="15" customHeight="1">
      <c r="D53" s="149"/>
      <c r="E53" s="184">
        <v>36981</v>
      </c>
      <c r="G53" s="158" t="s">
        <v>844</v>
      </c>
      <c r="H53" s="151"/>
      <c r="I53" s="147">
        <f t="shared" si="3"/>
        <v>75.409125401303626</v>
      </c>
      <c r="J53" s="31" t="s">
        <v>56</v>
      </c>
      <c r="K53" s="149"/>
      <c r="L53" s="147"/>
      <c r="M53" s="147"/>
      <c r="N53" s="147"/>
      <c r="O53" s="147"/>
      <c r="P53" s="147"/>
      <c r="Q53" s="147"/>
      <c r="R53" s="147"/>
      <c r="S53" s="147"/>
      <c r="T53" s="147"/>
      <c r="U53" s="147"/>
      <c r="V53" s="107">
        <f>$I53/U$37</f>
        <v>3.7704562700651811</v>
      </c>
      <c r="W53" s="147">
        <f>IF($I53 &gt;0, MIN(V53,$I53-SUM($L53:V53)), MAX(V53,$I53-SUM($L53:V53)))</f>
        <v>3.7704562700651811</v>
      </c>
      <c r="X53" s="147">
        <f>IF($I53 &gt;0, MIN(W53,$I53-SUM($L53:W53)), MAX(W53,$I53-SUM($L53:W53)))</f>
        <v>3.7704562700651811</v>
      </c>
      <c r="Y53" s="147">
        <f>IF($I53 &gt;0, MIN(X53,$I53-SUM($L53:X53)), MAX(X53,$I53-SUM($L53:X53)))</f>
        <v>3.7704562700651811</v>
      </c>
      <c r="Z53" s="147">
        <f>IF($I53 &gt;0, MIN(Y53,$I53-SUM($L53:Y53)), MAX(Y53,$I53-SUM($L53:Y53)))</f>
        <v>3.7704562700651811</v>
      </c>
      <c r="AA53" s="147">
        <f>IF($I53 &gt;0, MIN(Z53,$I53-SUM($L53:Z53)), MAX(Z53,$I53-SUM($L53:Z53)))</f>
        <v>3.7704562700651811</v>
      </c>
      <c r="AB53" s="147">
        <f>IF($I53 &gt;0, MIN(AA53,$I53-SUM($L53:AA53)), MAX(AA53,$I53-SUM($L53:AA53)))</f>
        <v>3.7704562700651811</v>
      </c>
      <c r="AC53" s="147">
        <f>IF($I53 &gt;0, MIN(AB53,$I53-SUM($L53:AB53)), MAX(AB53,$I53-SUM($L53:AB53)))</f>
        <v>3.7704562700651811</v>
      </c>
      <c r="AD53" s="147">
        <f>IF($I53 &gt;0, MIN(AC53,$I53-SUM($L53:AC53)), MAX(AC53,$I53-SUM($L53:AC53)))</f>
        <v>3.7704562700651811</v>
      </c>
      <c r="AE53" s="147">
        <f>IF($I53 &gt;0, MIN(AD53,$I53-SUM($L53:AD53)), MAX(AD53,$I53-SUM($L53:AD53)))</f>
        <v>3.7704562700651811</v>
      </c>
      <c r="AF53" s="147">
        <f>IF($I53 &gt;0, MIN(AE53,$I53-SUM($L53:AE53)), MAX(AE53,$I53-SUM($L53:AE53)))</f>
        <v>3.7704562700651811</v>
      </c>
      <c r="AG53" s="147">
        <f>IF($I53 &gt;0, MIN(AF53,$I53-SUM($L53:AF53)), MAX(AF53,$I53-SUM($L53:AF53)))</f>
        <v>3.7704562700651811</v>
      </c>
      <c r="AH53" s="147">
        <f>IF($I53 &gt;0, MIN(AG53,$I53-SUM($L53:AG53)), MAX(AG53,$I53-SUM($L53:AG53)))</f>
        <v>3.7704562700651811</v>
      </c>
      <c r="AI53" s="147">
        <f>IF($I53 &gt;0, MIN(AH53,$I53-SUM($L53:AH53)), MAX(AH53,$I53-SUM($L53:AH53)))</f>
        <v>3.7704562700651811</v>
      </c>
      <c r="AJ53" s="147">
        <f>IF($I53 &gt;0, MIN(AI53,$I53-SUM($L53:AI53)), MAX(AI53,$I53-SUM($L53:AI53)))</f>
        <v>3.7704562700651811</v>
      </c>
      <c r="AK53" s="147">
        <f>IF($I53 &gt;0, MIN(AJ53,$I53-SUM($L53:AJ53)), MAX(AJ53,$I53-SUM($L53:AJ53)))</f>
        <v>3.7704562700651811</v>
      </c>
      <c r="AL53" s="147">
        <f>IF($I53 &gt;0, MIN(AK53,$I53-SUM($L53:AK53)), MAX(AK53,$I53-SUM($L53:AK53)))</f>
        <v>3.7704562700651811</v>
      </c>
      <c r="AM53" s="147">
        <f>IF($I53 &gt;0, MIN(AL53,$I53-SUM($L53:AL53)), MAX(AL53,$I53-SUM($L53:AL53)))</f>
        <v>3.7704562700651811</v>
      </c>
      <c r="AN53" s="147">
        <f>IF($I53 &gt;0, MIN(AM53,$I53-SUM($L53:AM53)), MAX(AM53,$I53-SUM($L53:AM53)))</f>
        <v>3.7704562700651811</v>
      </c>
      <c r="AO53" s="147">
        <f>IF($I53 &gt;0, MIN(AN53,$I53-SUM($L53:AN53)), MAX(AN53,$I53-SUM($L53:AN53)))</f>
        <v>3.7704562700651811</v>
      </c>
      <c r="AP53" s="147">
        <f>IF($I53 &gt;0, MIN(AO53,$I53-SUM($L53:AO53)), MAX(AO53,$I53-SUM($L53:AO53)))</f>
        <v>0</v>
      </c>
      <c r="AQ53" s="147">
        <f>IF($I53 &gt;0, MIN(AP53,$I53-SUM($L53:AP53)), MAX(AP53,$I53-SUM($L53:AP53)))</f>
        <v>0</v>
      </c>
      <c r="AR53" s="147">
        <f>IF($I53 &gt;0, MIN(AQ53,$I53-SUM($L53:AQ53)), MAX(AQ53,$I53-SUM($L53:AQ53)))</f>
        <v>0</v>
      </c>
      <c r="AS53" s="147"/>
      <c r="AT53" s="147"/>
      <c r="AU53" s="147"/>
      <c r="AV53" s="147"/>
      <c r="AW53" s="147"/>
      <c r="AX53" s="147"/>
      <c r="AY53" s="147"/>
      <c r="AZ53" s="147"/>
    </row>
    <row r="54" spans="4:63" ht="15" customHeight="1">
      <c r="D54" s="149"/>
      <c r="E54" s="184">
        <v>37346</v>
      </c>
      <c r="G54" s="158" t="s">
        <v>844</v>
      </c>
      <c r="H54" s="151"/>
      <c r="I54" s="147">
        <f t="shared" si="3"/>
        <v>103.78739782668701</v>
      </c>
      <c r="J54" s="31" t="s">
        <v>56</v>
      </c>
      <c r="K54" s="149"/>
      <c r="L54" s="147"/>
      <c r="M54" s="147"/>
      <c r="N54" s="147"/>
      <c r="O54" s="147"/>
      <c r="P54" s="147"/>
      <c r="Q54" s="147"/>
      <c r="R54" s="147"/>
      <c r="S54" s="147"/>
      <c r="T54" s="147"/>
      <c r="U54" s="147"/>
      <c r="V54" s="147"/>
      <c r="W54" s="107">
        <f>$I54/V$37</f>
        <v>5.1893698913343504</v>
      </c>
      <c r="X54" s="147">
        <f>IF($I54 &gt;0, MIN(W54,$I54-SUM($L54:W54)), MAX(W54,$I54-SUM($L54:W54)))</f>
        <v>5.1893698913343504</v>
      </c>
      <c r="Y54" s="147">
        <f>IF($I54 &gt;0, MIN(X54,$I54-SUM($L54:X54)), MAX(X54,$I54-SUM($L54:X54)))</f>
        <v>5.1893698913343504</v>
      </c>
      <c r="Z54" s="147">
        <f>IF($I54 &gt;0, MIN(Y54,$I54-SUM($L54:Y54)), MAX(Y54,$I54-SUM($L54:Y54)))</f>
        <v>5.1893698913343504</v>
      </c>
      <c r="AA54" s="147">
        <f>IF($I54 &gt;0, MIN(Z54,$I54-SUM($L54:Z54)), MAX(Z54,$I54-SUM($L54:Z54)))</f>
        <v>5.1893698913343504</v>
      </c>
      <c r="AB54" s="147">
        <f>IF($I54 &gt;0, MIN(AA54,$I54-SUM($L54:AA54)), MAX(AA54,$I54-SUM($L54:AA54)))</f>
        <v>5.1893698913343504</v>
      </c>
      <c r="AC54" s="147">
        <f>IF($I54 &gt;0, MIN(AB54,$I54-SUM($L54:AB54)), MAX(AB54,$I54-SUM($L54:AB54)))</f>
        <v>5.1893698913343504</v>
      </c>
      <c r="AD54" s="147">
        <f>IF($I54 &gt;0, MIN(AC54,$I54-SUM($L54:AC54)), MAX(AC54,$I54-SUM($L54:AC54)))</f>
        <v>5.1893698913343504</v>
      </c>
      <c r="AE54" s="147">
        <f>IF($I54 &gt;0, MIN(AD54,$I54-SUM($L54:AD54)), MAX(AD54,$I54-SUM($L54:AD54)))</f>
        <v>5.1893698913343504</v>
      </c>
      <c r="AF54" s="147">
        <f>IF($I54 &gt;0, MIN(AE54,$I54-SUM($L54:AE54)), MAX(AE54,$I54-SUM($L54:AE54)))</f>
        <v>5.1893698913343504</v>
      </c>
      <c r="AG54" s="147">
        <f>IF($I54 &gt;0, MIN(AF54,$I54-SUM($L54:AF54)), MAX(AF54,$I54-SUM($L54:AF54)))</f>
        <v>5.1893698913343504</v>
      </c>
      <c r="AH54" s="147">
        <f>IF($I54 &gt;0, MIN(AG54,$I54-SUM($L54:AG54)), MAX(AG54,$I54-SUM($L54:AG54)))</f>
        <v>5.1893698913343504</v>
      </c>
      <c r="AI54" s="147">
        <f>IF($I54 &gt;0, MIN(AH54,$I54-SUM($L54:AH54)), MAX(AH54,$I54-SUM($L54:AH54)))</f>
        <v>5.1893698913343504</v>
      </c>
      <c r="AJ54" s="147">
        <f>IF($I54 &gt;0, MIN(AI54,$I54-SUM($L54:AI54)), MAX(AI54,$I54-SUM($L54:AI54)))</f>
        <v>5.1893698913343504</v>
      </c>
      <c r="AK54" s="147">
        <f>IF($I54 &gt;0, MIN(AJ54,$I54-SUM($L54:AJ54)), MAX(AJ54,$I54-SUM($L54:AJ54)))</f>
        <v>5.1893698913343504</v>
      </c>
      <c r="AL54" s="147">
        <f>IF($I54 &gt;0, MIN(AK54,$I54-SUM($L54:AK54)), MAX(AK54,$I54-SUM($L54:AK54)))</f>
        <v>5.1893698913343504</v>
      </c>
      <c r="AM54" s="147">
        <f>IF($I54 &gt;0, MIN(AL54,$I54-SUM($L54:AL54)), MAX(AL54,$I54-SUM($L54:AL54)))</f>
        <v>5.1893698913343504</v>
      </c>
      <c r="AN54" s="147">
        <f>IF($I54 &gt;0, MIN(AM54,$I54-SUM($L54:AM54)), MAX(AM54,$I54-SUM($L54:AM54)))</f>
        <v>5.1893698913343504</v>
      </c>
      <c r="AO54" s="147">
        <f>IF($I54 &gt;0, MIN(AN54,$I54-SUM($L54:AN54)), MAX(AN54,$I54-SUM($L54:AN54)))</f>
        <v>5.1893698913343504</v>
      </c>
      <c r="AP54" s="147">
        <f>IF($I54 &gt;0, MIN(AO54,$I54-SUM($L54:AO54)), MAX(AO54,$I54-SUM($L54:AO54)))</f>
        <v>5.1893698913343504</v>
      </c>
      <c r="AQ54" s="147">
        <f>IF($I54 &gt;0, MIN(AP54,$I54-SUM($L54:AP54)), MAX(AP54,$I54-SUM($L54:AP54)))</f>
        <v>0</v>
      </c>
      <c r="AR54" s="147">
        <f>IF($I54 &gt;0, MIN(AQ54,$I54-SUM($L54:AQ54)), MAX(AQ54,$I54-SUM($L54:AQ54)))</f>
        <v>0</v>
      </c>
      <c r="AS54" s="147"/>
      <c r="AT54" s="147"/>
      <c r="AU54" s="147"/>
      <c r="AV54" s="147"/>
      <c r="AW54" s="147"/>
      <c r="AX54" s="147"/>
      <c r="AY54" s="147"/>
      <c r="AZ54" s="147"/>
      <c r="BA54" s="147"/>
    </row>
    <row r="55" spans="4:63" ht="15" customHeight="1">
      <c r="D55" s="149"/>
      <c r="E55" s="184">
        <v>37711</v>
      </c>
      <c r="G55" s="158" t="s">
        <v>844</v>
      </c>
      <c r="H55" s="151"/>
      <c r="I55" s="147">
        <f t="shared" si="3"/>
        <v>96.620140606251795</v>
      </c>
      <c r="J55" s="31" t="s">
        <v>56</v>
      </c>
      <c r="K55" s="149"/>
      <c r="L55" s="147"/>
      <c r="M55" s="147"/>
      <c r="N55" s="147"/>
      <c r="O55" s="147"/>
      <c r="P55" s="147"/>
      <c r="Q55" s="147"/>
      <c r="R55" s="147"/>
      <c r="S55" s="147"/>
      <c r="T55" s="147"/>
      <c r="U55" s="147"/>
      <c r="V55" s="147"/>
      <c r="W55" s="147"/>
      <c r="X55" s="107">
        <f>$I55/W$37</f>
        <v>4.8310070303125894</v>
      </c>
      <c r="Y55" s="147">
        <f>IF($I55 &gt;0, MIN(X55,$I55-SUM($L55:X55)), MAX(X55,$I55-SUM($L55:X55)))</f>
        <v>4.8310070303125894</v>
      </c>
      <c r="Z55" s="147">
        <f>IF($I55 &gt;0, MIN(Y55,$I55-SUM($L55:Y55)), MAX(Y55,$I55-SUM($L55:Y55)))</f>
        <v>4.8310070303125894</v>
      </c>
      <c r="AA55" s="147">
        <f>IF($I55 &gt;0, MIN(Z55,$I55-SUM($L55:Z55)), MAX(Z55,$I55-SUM($L55:Z55)))</f>
        <v>4.8310070303125894</v>
      </c>
      <c r="AB55" s="147">
        <f>IF($I55 &gt;0, MIN(AA55,$I55-SUM($L55:AA55)), MAX(AA55,$I55-SUM($L55:AA55)))</f>
        <v>4.8310070303125894</v>
      </c>
      <c r="AC55" s="147">
        <f>IF($I55 &gt;0, MIN(AB55,$I55-SUM($L55:AB55)), MAX(AB55,$I55-SUM($L55:AB55)))</f>
        <v>4.8310070303125894</v>
      </c>
      <c r="AD55" s="147">
        <f>IF($I55 &gt;0, MIN(AC55,$I55-SUM($L55:AC55)), MAX(AC55,$I55-SUM($L55:AC55)))</f>
        <v>4.8310070303125894</v>
      </c>
      <c r="AE55" s="147">
        <f>IF($I55 &gt;0, MIN(AD55,$I55-SUM($L55:AD55)), MAX(AD55,$I55-SUM($L55:AD55)))</f>
        <v>4.8310070303125894</v>
      </c>
      <c r="AF55" s="147">
        <f>IF($I55 &gt;0, MIN(AE55,$I55-SUM($L55:AE55)), MAX(AE55,$I55-SUM($L55:AE55)))</f>
        <v>4.8310070303125894</v>
      </c>
      <c r="AG55" s="147">
        <f>IF($I55 &gt;0, MIN(AF55,$I55-SUM($L55:AF55)), MAX(AF55,$I55-SUM($L55:AF55)))</f>
        <v>4.8310070303125894</v>
      </c>
      <c r="AH55" s="147">
        <f>IF($I55 &gt;0, MIN(AG55,$I55-SUM($L55:AG55)), MAX(AG55,$I55-SUM($L55:AG55)))</f>
        <v>4.8310070303125894</v>
      </c>
      <c r="AI55" s="147">
        <f>IF($I55 &gt;0, MIN(AH55,$I55-SUM($L55:AH55)), MAX(AH55,$I55-SUM($L55:AH55)))</f>
        <v>4.8310070303125894</v>
      </c>
      <c r="AJ55" s="147">
        <f>IF($I55 &gt;0, MIN(AI55,$I55-SUM($L55:AI55)), MAX(AI55,$I55-SUM($L55:AI55)))</f>
        <v>4.8310070303125894</v>
      </c>
      <c r="AK55" s="147">
        <f>IF($I55 &gt;0, MIN(AJ55,$I55-SUM($L55:AJ55)), MAX(AJ55,$I55-SUM($L55:AJ55)))</f>
        <v>4.8310070303125894</v>
      </c>
      <c r="AL55" s="147">
        <f>IF($I55 &gt;0, MIN(AK55,$I55-SUM($L55:AK55)), MAX(AK55,$I55-SUM($L55:AK55)))</f>
        <v>4.8310070303125894</v>
      </c>
      <c r="AM55" s="147">
        <f>IF($I55 &gt;0, MIN(AL55,$I55-SUM($L55:AL55)), MAX(AL55,$I55-SUM($L55:AL55)))</f>
        <v>4.8310070303125894</v>
      </c>
      <c r="AN55" s="147">
        <f>IF($I55 &gt;0, MIN(AM55,$I55-SUM($L55:AM55)), MAX(AM55,$I55-SUM($L55:AM55)))</f>
        <v>4.8310070303125894</v>
      </c>
      <c r="AO55" s="147">
        <f>IF($I55 &gt;0, MIN(AN55,$I55-SUM($L55:AN55)), MAX(AN55,$I55-SUM($L55:AN55)))</f>
        <v>4.8310070303125894</v>
      </c>
      <c r="AP55" s="147">
        <f>IF($I55 &gt;0, MIN(AO55,$I55-SUM($L55:AO55)), MAX(AO55,$I55-SUM($L55:AO55)))</f>
        <v>4.8310070303125894</v>
      </c>
      <c r="AQ55" s="147">
        <f>IF($I55 &gt;0, MIN(AP55,$I55-SUM($L55:AP55)), MAX(AP55,$I55-SUM($L55:AP55)))</f>
        <v>4.8310070303125769</v>
      </c>
      <c r="AR55" s="147">
        <f>IF($I55 &gt;0, MIN(AQ55,$I55-SUM($L55:AQ55)), MAX(AQ55,$I55-SUM($L55:AQ55)))</f>
        <v>0</v>
      </c>
      <c r="AS55" s="147"/>
      <c r="AT55" s="147"/>
      <c r="AU55" s="147"/>
      <c r="AV55" s="147"/>
      <c r="AW55" s="147"/>
      <c r="AX55" s="147"/>
      <c r="AY55" s="147"/>
      <c r="AZ55" s="147"/>
      <c r="BA55" s="147"/>
      <c r="BB55" s="147"/>
    </row>
    <row r="56" spans="4:63" ht="15" customHeight="1">
      <c r="D56" s="149"/>
      <c r="E56" s="184">
        <v>38077</v>
      </c>
      <c r="G56" s="158" t="s">
        <v>844</v>
      </c>
      <c r="H56" s="151"/>
      <c r="I56" s="147">
        <f t="shared" si="3"/>
        <v>99.090190437046175</v>
      </c>
      <c r="J56" s="31" t="s">
        <v>56</v>
      </c>
      <c r="K56" s="149"/>
      <c r="L56" s="147"/>
      <c r="M56" s="147"/>
      <c r="N56" s="147"/>
      <c r="O56" s="147"/>
      <c r="P56" s="147"/>
      <c r="Q56" s="147"/>
      <c r="R56" s="147"/>
      <c r="S56" s="147"/>
      <c r="T56" s="147"/>
      <c r="U56" s="147"/>
      <c r="V56" s="147"/>
      <c r="W56" s="147"/>
      <c r="X56" s="147"/>
      <c r="Y56" s="107">
        <f>$I56/X$37</f>
        <v>4.9545095218523088</v>
      </c>
      <c r="Z56" s="147">
        <f>IF($I56 &gt;0, MIN(Y56,$I56-SUM($L56:Y56)), MAX(Y56,$I56-SUM($L56:Y56)))</f>
        <v>4.9545095218523088</v>
      </c>
      <c r="AA56" s="147">
        <f>IF($I56 &gt;0, MIN(Z56,$I56-SUM($L56:Z56)), MAX(Z56,$I56-SUM($L56:Z56)))</f>
        <v>4.9545095218523088</v>
      </c>
      <c r="AB56" s="147">
        <f>IF($I56 &gt;0, MIN(AA56,$I56-SUM($L56:AA56)), MAX(AA56,$I56-SUM($L56:AA56)))</f>
        <v>4.9545095218523088</v>
      </c>
      <c r="AC56" s="147">
        <f>IF($I56 &gt;0, MIN(AB56,$I56-SUM($L56:AB56)), MAX(AB56,$I56-SUM($L56:AB56)))</f>
        <v>4.9545095218523088</v>
      </c>
      <c r="AD56" s="147">
        <f>IF($I56 &gt;0, MIN(AC56,$I56-SUM($L56:AC56)), MAX(AC56,$I56-SUM($L56:AC56)))</f>
        <v>4.9545095218523088</v>
      </c>
      <c r="AE56" s="147">
        <f>IF($I56 &gt;0, MIN(AD56,$I56-SUM($L56:AD56)), MAX(AD56,$I56-SUM($L56:AD56)))</f>
        <v>4.9545095218523088</v>
      </c>
      <c r="AF56" s="147">
        <f>IF($I56 &gt;0, MIN(AE56,$I56-SUM($L56:AE56)), MAX(AE56,$I56-SUM($L56:AE56)))</f>
        <v>4.9545095218523088</v>
      </c>
      <c r="AG56" s="147">
        <f>IF($I56 &gt;0, MIN(AF56,$I56-SUM($L56:AF56)), MAX(AF56,$I56-SUM($L56:AF56)))</f>
        <v>4.9545095218523088</v>
      </c>
      <c r="AH56" s="147">
        <f>IF($I56 &gt;0, MIN(AG56,$I56-SUM($L56:AG56)), MAX(AG56,$I56-SUM($L56:AG56)))</f>
        <v>4.9545095218523088</v>
      </c>
      <c r="AI56" s="147">
        <f>IF($I56 &gt;0, MIN(AH56,$I56-SUM($L56:AH56)), MAX(AH56,$I56-SUM($L56:AH56)))</f>
        <v>4.9545095218523088</v>
      </c>
      <c r="AJ56" s="147">
        <f>IF($I56 &gt;0, MIN(AI56,$I56-SUM($L56:AI56)), MAX(AI56,$I56-SUM($L56:AI56)))</f>
        <v>4.9545095218523088</v>
      </c>
      <c r="AK56" s="147">
        <f>IF($I56 &gt;0, MIN(AJ56,$I56-SUM($L56:AJ56)), MAX(AJ56,$I56-SUM($L56:AJ56)))</f>
        <v>4.9545095218523088</v>
      </c>
      <c r="AL56" s="147">
        <f>IF($I56 &gt;0, MIN(AK56,$I56-SUM($L56:AK56)), MAX(AK56,$I56-SUM($L56:AK56)))</f>
        <v>4.9545095218523088</v>
      </c>
      <c r="AM56" s="147">
        <f>IF($I56 &gt;0, MIN(AL56,$I56-SUM($L56:AL56)), MAX(AL56,$I56-SUM($L56:AL56)))</f>
        <v>4.9545095218523088</v>
      </c>
      <c r="AN56" s="147">
        <f>IF($I56 &gt;0, MIN(AM56,$I56-SUM($L56:AM56)), MAX(AM56,$I56-SUM($L56:AM56)))</f>
        <v>4.9545095218523088</v>
      </c>
      <c r="AO56" s="147">
        <f>IF($I56 &gt;0, MIN(AN56,$I56-SUM($L56:AN56)), MAX(AN56,$I56-SUM($L56:AN56)))</f>
        <v>4.9545095218523088</v>
      </c>
      <c r="AP56" s="147">
        <f>IF($I56 &gt;0, MIN(AO56,$I56-SUM($L56:AO56)), MAX(AO56,$I56-SUM($L56:AO56)))</f>
        <v>4.9545095218523088</v>
      </c>
      <c r="AQ56" s="147">
        <f>IF($I56 &gt;0, MIN(AP56,$I56-SUM($L56:AP56)), MAX(AP56,$I56-SUM($L56:AP56)))</f>
        <v>4.9545095218523088</v>
      </c>
      <c r="AR56" s="147">
        <f>IF($I56 &gt;0, MIN(AQ56,$I56-SUM($L56:AQ56)), MAX(AQ56,$I56-SUM($L56:AQ56)))</f>
        <v>4.954509521852259</v>
      </c>
      <c r="AS56" s="147"/>
      <c r="AT56" s="147"/>
      <c r="AU56" s="147"/>
      <c r="AV56" s="147"/>
      <c r="AW56" s="147"/>
      <c r="AX56" s="147"/>
      <c r="AY56" s="147"/>
      <c r="AZ56" s="147"/>
      <c r="BA56" s="147"/>
      <c r="BB56" s="147"/>
      <c r="BC56" s="147"/>
    </row>
    <row r="57" spans="4:63" ht="15" customHeight="1">
      <c r="D57" s="149"/>
      <c r="E57" s="184">
        <v>38442</v>
      </c>
      <c r="G57" s="158" t="s">
        <v>844</v>
      </c>
      <c r="H57" s="151"/>
      <c r="I57" s="147">
        <f t="shared" si="3"/>
        <v>106.75865775226399</v>
      </c>
      <c r="J57" s="31" t="s">
        <v>56</v>
      </c>
      <c r="K57" s="149"/>
      <c r="L57" s="147"/>
      <c r="M57" s="147"/>
      <c r="N57" s="147"/>
      <c r="O57" s="147"/>
      <c r="P57" s="147"/>
      <c r="Q57" s="147"/>
      <c r="R57" s="147"/>
      <c r="S57" s="147"/>
      <c r="T57" s="147"/>
      <c r="U57" s="147"/>
      <c r="V57" s="147"/>
      <c r="W57" s="147"/>
      <c r="X57" s="147"/>
      <c r="Y57" s="147"/>
      <c r="Z57" s="107">
        <f>$I57/Y$37</f>
        <v>5.3379328876131993</v>
      </c>
      <c r="AA57" s="147">
        <f>IF($I57 &gt;0, MIN(Z57,$I57-SUM($L57:Z57)), MAX(Z57,$I57-SUM($L57:Z57)))</f>
        <v>5.3379328876131993</v>
      </c>
      <c r="AB57" s="147">
        <f>IF($I57 &gt;0, MIN(AA57,$I57-SUM($L57:AA57)), MAX(AA57,$I57-SUM($L57:AA57)))</f>
        <v>5.3379328876131993</v>
      </c>
      <c r="AC57" s="147">
        <f>IF($I57 &gt;0, MIN(AB57,$I57-SUM($L57:AB57)), MAX(AB57,$I57-SUM($L57:AB57)))</f>
        <v>5.3379328876131993</v>
      </c>
      <c r="AD57" s="147">
        <f>IF($I57 &gt;0, MIN(AC57,$I57-SUM($L57:AC57)), MAX(AC57,$I57-SUM($L57:AC57)))</f>
        <v>5.3379328876131993</v>
      </c>
      <c r="AE57" s="147">
        <f>IF($I57 &gt;0, MIN(AD57,$I57-SUM($L57:AD57)), MAX(AD57,$I57-SUM($L57:AD57)))</f>
        <v>5.3379328876131993</v>
      </c>
      <c r="AF57" s="147">
        <f>IF($I57 &gt;0, MIN(AE57,$I57-SUM($L57:AE57)), MAX(AE57,$I57-SUM($L57:AE57)))</f>
        <v>5.3379328876131993</v>
      </c>
      <c r="AG57" s="147">
        <f>IF($I57 &gt;0, MIN(AF57,$I57-SUM($L57:AF57)), MAX(AF57,$I57-SUM($L57:AF57)))</f>
        <v>5.3379328876131993</v>
      </c>
      <c r="AH57" s="147">
        <f>IF($I57 &gt;0, MIN(AG57,$I57-SUM($L57:AG57)), MAX(AG57,$I57-SUM($L57:AG57)))</f>
        <v>5.3379328876131993</v>
      </c>
      <c r="AI57" s="147">
        <f>IF($I57 &gt;0, MIN(AH57,$I57-SUM($L57:AH57)), MAX(AH57,$I57-SUM($L57:AH57)))</f>
        <v>5.3379328876131993</v>
      </c>
      <c r="AJ57" s="147">
        <f>IF($I57 &gt;0, MIN(AI57,$I57-SUM($L57:AI57)), MAX(AI57,$I57-SUM($L57:AI57)))</f>
        <v>5.3379328876131993</v>
      </c>
      <c r="AK57" s="147">
        <f>IF($I57 &gt;0, MIN(AJ57,$I57-SUM($L57:AJ57)), MAX(AJ57,$I57-SUM($L57:AJ57)))</f>
        <v>5.3379328876131993</v>
      </c>
      <c r="AL57" s="147">
        <f>IF($I57 &gt;0, MIN(AK57,$I57-SUM($L57:AK57)), MAX(AK57,$I57-SUM($L57:AK57)))</f>
        <v>5.3379328876131993</v>
      </c>
      <c r="AM57" s="147">
        <f>IF($I57 &gt;0, MIN(AL57,$I57-SUM($L57:AL57)), MAX(AL57,$I57-SUM($L57:AL57)))</f>
        <v>5.3379328876131993</v>
      </c>
      <c r="AN57" s="147">
        <f>IF($I57 &gt;0, MIN(AM57,$I57-SUM($L57:AM57)), MAX(AM57,$I57-SUM($L57:AM57)))</f>
        <v>5.3379328876131993</v>
      </c>
      <c r="AO57" s="147">
        <f>IF($I57 &gt;0, MIN(AN57,$I57-SUM($L57:AN57)), MAX(AN57,$I57-SUM($L57:AN57)))</f>
        <v>5.3379328876131993</v>
      </c>
      <c r="AP57" s="147">
        <f>IF($I57 &gt;0, MIN(AO57,$I57-SUM($L57:AO57)), MAX(AO57,$I57-SUM($L57:AO57)))</f>
        <v>5.3379328876131993</v>
      </c>
      <c r="AQ57" s="147">
        <f>IF($I57 &gt;0, MIN(AP57,$I57-SUM($L57:AP57)), MAX(AP57,$I57-SUM($L57:AP57)))</f>
        <v>5.3379328876131993</v>
      </c>
      <c r="AR57" s="147">
        <f>IF($I57 &gt;0, MIN(AQ57,$I57-SUM($L57:AQ57)), MAX(AQ57,$I57-SUM($L57:AQ57)))</f>
        <v>5.3379328876131993</v>
      </c>
      <c r="AS57" s="147"/>
      <c r="AT57" s="147"/>
      <c r="AU57" s="147"/>
      <c r="AV57" s="147"/>
      <c r="AW57" s="147"/>
      <c r="AX57" s="147"/>
      <c r="AY57" s="147"/>
      <c r="AZ57" s="147"/>
      <c r="BA57" s="147"/>
      <c r="BB57" s="147"/>
      <c r="BC57" s="147"/>
      <c r="BD57" s="147"/>
    </row>
    <row r="58" spans="4:63" ht="15" customHeight="1">
      <c r="D58" s="149"/>
      <c r="E58" s="184">
        <v>38807</v>
      </c>
      <c r="G58" s="158" t="s">
        <v>844</v>
      </c>
      <c r="H58" s="151"/>
      <c r="I58" s="147">
        <f t="shared" si="3"/>
        <v>125.68988489878477</v>
      </c>
      <c r="J58" s="31" t="s">
        <v>56</v>
      </c>
      <c r="K58" s="149"/>
      <c r="L58" s="147"/>
      <c r="M58" s="147"/>
      <c r="N58" s="147"/>
      <c r="O58" s="147"/>
      <c r="P58" s="147"/>
      <c r="Q58" s="147"/>
      <c r="R58" s="147"/>
      <c r="S58" s="147"/>
      <c r="T58" s="147"/>
      <c r="U58" s="147"/>
      <c r="V58" s="147"/>
      <c r="W58" s="147"/>
      <c r="X58" s="147"/>
      <c r="Y58" s="147"/>
      <c r="Z58" s="147"/>
      <c r="AA58" s="107">
        <f>$I58/Z$37</f>
        <v>6.2844942449392382</v>
      </c>
      <c r="AB58" s="147">
        <f>IF($I58 &gt;0, MIN(AA58,$I58-SUM($L58:AA58)), MAX(AA58,$I58-SUM($L58:AA58)))</f>
        <v>6.2844942449392382</v>
      </c>
      <c r="AC58" s="147">
        <f>IF($I58 &gt;0, MIN(AB58,$I58-SUM($L58:AB58)), MAX(AB58,$I58-SUM($L58:AB58)))</f>
        <v>6.2844942449392382</v>
      </c>
      <c r="AD58" s="147">
        <f>IF($I58 &gt;0, MIN(AC58,$I58-SUM($L58:AC58)), MAX(AC58,$I58-SUM($L58:AC58)))</f>
        <v>6.2844942449392382</v>
      </c>
      <c r="AE58" s="147">
        <f>IF($I58 &gt;0, MIN(AD58,$I58-SUM($L58:AD58)), MAX(AD58,$I58-SUM($L58:AD58)))</f>
        <v>6.2844942449392382</v>
      </c>
      <c r="AF58" s="147">
        <f>IF($I58 &gt;0, MIN(AE58,$I58-SUM($L58:AE58)), MAX(AE58,$I58-SUM($L58:AE58)))</f>
        <v>6.2844942449392382</v>
      </c>
      <c r="AG58" s="147">
        <f>IF($I58 &gt;0, MIN(AF58,$I58-SUM($L58:AF58)), MAX(AF58,$I58-SUM($L58:AF58)))</f>
        <v>6.2844942449392382</v>
      </c>
      <c r="AH58" s="147">
        <f>IF($I58 &gt;0, MIN(AG58,$I58-SUM($L58:AG58)), MAX(AG58,$I58-SUM($L58:AG58)))</f>
        <v>6.2844942449392382</v>
      </c>
      <c r="AI58" s="147">
        <f>IF($I58 &gt;0, MIN(AH58,$I58-SUM($L58:AH58)), MAX(AH58,$I58-SUM($L58:AH58)))</f>
        <v>6.2844942449392382</v>
      </c>
      <c r="AJ58" s="147">
        <f>IF($I58 &gt;0, MIN(AI58,$I58-SUM($L58:AI58)), MAX(AI58,$I58-SUM($L58:AI58)))</f>
        <v>6.2844942449392382</v>
      </c>
      <c r="AK58" s="147">
        <f>IF($I58 &gt;0, MIN(AJ58,$I58-SUM($L58:AJ58)), MAX(AJ58,$I58-SUM($L58:AJ58)))</f>
        <v>6.2844942449392382</v>
      </c>
      <c r="AL58" s="147">
        <f>IF($I58 &gt;0, MIN(AK58,$I58-SUM($L58:AK58)), MAX(AK58,$I58-SUM($L58:AK58)))</f>
        <v>6.2844942449392382</v>
      </c>
      <c r="AM58" s="147">
        <f>IF($I58 &gt;0, MIN(AL58,$I58-SUM($L58:AL58)), MAX(AL58,$I58-SUM($L58:AL58)))</f>
        <v>6.2844942449392382</v>
      </c>
      <c r="AN58" s="147">
        <f>IF($I58 &gt;0, MIN(AM58,$I58-SUM($L58:AM58)), MAX(AM58,$I58-SUM($L58:AM58)))</f>
        <v>6.2844942449392382</v>
      </c>
      <c r="AO58" s="147">
        <f>IF($I58 &gt;0, MIN(AN58,$I58-SUM($L58:AN58)), MAX(AN58,$I58-SUM($L58:AN58)))</f>
        <v>6.2844942449392382</v>
      </c>
      <c r="AP58" s="147">
        <f>IF($I58 &gt;0, MIN(AO58,$I58-SUM($L58:AO58)), MAX(AO58,$I58-SUM($L58:AO58)))</f>
        <v>6.2844942449392382</v>
      </c>
      <c r="AQ58" s="147">
        <f>IF($I58 &gt;0, MIN(AP58,$I58-SUM($L58:AP58)), MAX(AP58,$I58-SUM($L58:AP58)))</f>
        <v>6.2844942449392382</v>
      </c>
      <c r="AR58" s="147">
        <f>IF($I58 &gt;0, MIN(AQ58,$I58-SUM($L58:AQ58)), MAX(AQ58,$I58-SUM($L58:AQ58)))</f>
        <v>6.2844942449392382</v>
      </c>
      <c r="AS58" s="147"/>
      <c r="AT58" s="147"/>
      <c r="AU58" s="147"/>
      <c r="AV58" s="147"/>
      <c r="AW58" s="147"/>
      <c r="AX58" s="147"/>
      <c r="AY58" s="147"/>
      <c r="AZ58" s="147"/>
      <c r="BA58" s="147"/>
      <c r="BB58" s="147"/>
      <c r="BC58" s="147"/>
      <c r="BD58" s="147"/>
      <c r="BE58" s="147"/>
    </row>
    <row r="59" spans="4:63" ht="15" customHeight="1">
      <c r="D59" s="149"/>
      <c r="E59" s="184">
        <v>39172</v>
      </c>
      <c r="G59" s="158" t="s">
        <v>844</v>
      </c>
      <c r="H59" s="151"/>
      <c r="I59" s="147">
        <f t="shared" si="3"/>
        <v>99.791717315630706</v>
      </c>
      <c r="J59" s="31" t="s">
        <v>56</v>
      </c>
      <c r="K59" s="149"/>
      <c r="L59" s="147"/>
      <c r="M59" s="147"/>
      <c r="N59" s="147"/>
      <c r="O59" s="147"/>
      <c r="P59" s="147"/>
      <c r="Q59" s="147"/>
      <c r="R59" s="147"/>
      <c r="S59" s="147"/>
      <c r="T59" s="147"/>
      <c r="U59" s="147"/>
      <c r="V59" s="147"/>
      <c r="W59" s="147"/>
      <c r="X59" s="147"/>
      <c r="Y59" s="147"/>
      <c r="Z59" s="147"/>
      <c r="AA59" s="147"/>
      <c r="AB59" s="107">
        <f>$I59/AA$37</f>
        <v>4.9895858657815353</v>
      </c>
      <c r="AC59" s="147">
        <f>IF($I59 &gt;0, MIN(AB59,$I59-SUM($L59:AB59)), MAX(AB59,$I59-SUM($L59:AB59)))</f>
        <v>4.9895858657815353</v>
      </c>
      <c r="AD59" s="147">
        <f>IF($I59 &gt;0, MIN(AC59,$I59-SUM($L59:AC59)), MAX(AC59,$I59-SUM($L59:AC59)))</f>
        <v>4.9895858657815353</v>
      </c>
      <c r="AE59" s="147">
        <f>IF($I59 &gt;0, MIN(AD59,$I59-SUM($L59:AD59)), MAX(AD59,$I59-SUM($L59:AD59)))</f>
        <v>4.9895858657815353</v>
      </c>
      <c r="AF59" s="147">
        <f>IF($I59 &gt;0, MIN(AE59,$I59-SUM($L59:AE59)), MAX(AE59,$I59-SUM($L59:AE59)))</f>
        <v>4.9895858657815353</v>
      </c>
      <c r="AG59" s="147">
        <f>IF($I59 &gt;0, MIN(AF59,$I59-SUM($L59:AF59)), MAX(AF59,$I59-SUM($L59:AF59)))</f>
        <v>4.9895858657815353</v>
      </c>
      <c r="AH59" s="147">
        <f>IF($I59 &gt;0, MIN(AG59,$I59-SUM($L59:AG59)), MAX(AG59,$I59-SUM($L59:AG59)))</f>
        <v>4.9895858657815353</v>
      </c>
      <c r="AI59" s="147">
        <f>IF($I59 &gt;0, MIN(AH59,$I59-SUM($L59:AH59)), MAX(AH59,$I59-SUM($L59:AH59)))</f>
        <v>4.9895858657815353</v>
      </c>
      <c r="AJ59" s="147">
        <f>IF($I59 &gt;0, MIN(AI59,$I59-SUM($L59:AI59)), MAX(AI59,$I59-SUM($L59:AI59)))</f>
        <v>4.9895858657815353</v>
      </c>
      <c r="AK59" s="147">
        <f>IF($I59 &gt;0, MIN(AJ59,$I59-SUM($L59:AJ59)), MAX(AJ59,$I59-SUM($L59:AJ59)))</f>
        <v>4.9895858657815353</v>
      </c>
      <c r="AL59" s="147">
        <f>IF($I59 &gt;0, MIN(AK59,$I59-SUM($L59:AK59)), MAX(AK59,$I59-SUM($L59:AK59)))</f>
        <v>4.9895858657815353</v>
      </c>
      <c r="AM59" s="147">
        <f>IF($I59 &gt;0, MIN(AL59,$I59-SUM($L59:AL59)), MAX(AL59,$I59-SUM($L59:AL59)))</f>
        <v>4.9895858657815353</v>
      </c>
      <c r="AN59" s="147">
        <f>IF($I59 &gt;0, MIN(AM59,$I59-SUM($L59:AM59)), MAX(AM59,$I59-SUM($L59:AM59)))</f>
        <v>4.9895858657815353</v>
      </c>
      <c r="AO59" s="147">
        <f>IF($I59 &gt;0, MIN(AN59,$I59-SUM($L59:AN59)), MAX(AN59,$I59-SUM($L59:AN59)))</f>
        <v>4.9895858657815353</v>
      </c>
      <c r="AP59" s="147">
        <f>IF($I59 &gt;0, MIN(AO59,$I59-SUM($L59:AO59)), MAX(AO59,$I59-SUM($L59:AO59)))</f>
        <v>4.9895858657815353</v>
      </c>
      <c r="AQ59" s="147">
        <f>IF($I59 &gt;0, MIN(AP59,$I59-SUM($L59:AP59)), MAX(AP59,$I59-SUM($L59:AP59)))</f>
        <v>4.9895858657815353</v>
      </c>
      <c r="AR59" s="147">
        <f>IF($I59 &gt;0, MIN(AQ59,$I59-SUM($L59:AQ59)), MAX(AQ59,$I59-SUM($L59:AQ59)))</f>
        <v>4.9895858657815353</v>
      </c>
      <c r="AS59" s="147"/>
      <c r="AT59" s="147"/>
      <c r="AU59" s="147"/>
      <c r="AV59" s="147"/>
      <c r="AW59" s="147"/>
      <c r="AX59" s="147"/>
      <c r="AY59" s="147"/>
      <c r="AZ59" s="147"/>
      <c r="BA59" s="147"/>
      <c r="BB59" s="147"/>
      <c r="BC59" s="147"/>
      <c r="BD59" s="147"/>
      <c r="BE59" s="147"/>
      <c r="BF59" s="147"/>
    </row>
    <row r="60" spans="4:63" ht="15" customHeight="1">
      <c r="D60" s="149"/>
      <c r="E60" s="184">
        <v>39538</v>
      </c>
      <c r="G60" s="158" t="s">
        <v>844</v>
      </c>
      <c r="H60" s="151"/>
      <c r="I60" s="147">
        <f t="shared" si="3"/>
        <v>139.35065489182935</v>
      </c>
      <c r="J60" s="31" t="s">
        <v>56</v>
      </c>
      <c r="K60" s="149"/>
      <c r="L60" s="147"/>
      <c r="M60" s="147"/>
      <c r="N60" s="147"/>
      <c r="O60" s="147"/>
      <c r="P60" s="147"/>
      <c r="Q60" s="147"/>
      <c r="R60" s="147"/>
      <c r="S60" s="147"/>
      <c r="T60" s="147"/>
      <c r="U60" s="147"/>
      <c r="V60" s="147"/>
      <c r="W60" s="147"/>
      <c r="X60" s="147"/>
      <c r="Y60" s="147"/>
      <c r="Z60" s="147"/>
      <c r="AA60" s="147"/>
      <c r="AB60" s="147"/>
      <c r="AC60" s="107">
        <f>$I60/AB$37</f>
        <v>6.9675327445914679</v>
      </c>
      <c r="AD60" s="147">
        <f>IF($I60 &gt;0, MIN(AC60,$I60-SUM($L60:AC60)), MAX(AC60,$I60-SUM($L60:AC60)))</f>
        <v>6.9675327445914679</v>
      </c>
      <c r="AE60" s="147">
        <f>IF($I60 &gt;0, MIN(AD60,$I60-SUM($L60:AD60)), MAX(AD60,$I60-SUM($L60:AD60)))</f>
        <v>6.9675327445914679</v>
      </c>
      <c r="AF60" s="147">
        <f>IF($I60 &gt;0, MIN(AE60,$I60-SUM($L60:AE60)), MAX(AE60,$I60-SUM($L60:AE60)))</f>
        <v>6.9675327445914679</v>
      </c>
      <c r="AG60" s="147">
        <f>IF($I60 &gt;0, MIN(AF60,$I60-SUM($L60:AF60)), MAX(AF60,$I60-SUM($L60:AF60)))</f>
        <v>6.9675327445914679</v>
      </c>
      <c r="AH60" s="147">
        <f>IF($I60 &gt;0, MIN(AG60,$I60-SUM($L60:AG60)), MAX(AG60,$I60-SUM($L60:AG60)))</f>
        <v>6.9675327445914679</v>
      </c>
      <c r="AI60" s="147">
        <f>IF($I60 &gt;0, MIN(AH60,$I60-SUM($L60:AH60)), MAX(AH60,$I60-SUM($L60:AH60)))</f>
        <v>6.9675327445914679</v>
      </c>
      <c r="AJ60" s="147">
        <f>IF($I60 &gt;0, MIN(AI60,$I60-SUM($L60:AI60)), MAX(AI60,$I60-SUM($L60:AI60)))</f>
        <v>6.9675327445914679</v>
      </c>
      <c r="AK60" s="147">
        <f>IF($I60 &gt;0, MIN(AJ60,$I60-SUM($L60:AJ60)), MAX(AJ60,$I60-SUM($L60:AJ60)))</f>
        <v>6.9675327445914679</v>
      </c>
      <c r="AL60" s="147">
        <f>IF($I60 &gt;0, MIN(AK60,$I60-SUM($L60:AK60)), MAX(AK60,$I60-SUM($L60:AK60)))</f>
        <v>6.9675327445914679</v>
      </c>
      <c r="AM60" s="147">
        <f>IF($I60 &gt;0, MIN(AL60,$I60-SUM($L60:AL60)), MAX(AL60,$I60-SUM($L60:AL60)))</f>
        <v>6.9675327445914679</v>
      </c>
      <c r="AN60" s="147">
        <f>IF($I60 &gt;0, MIN(AM60,$I60-SUM($L60:AM60)), MAX(AM60,$I60-SUM($L60:AM60)))</f>
        <v>6.9675327445914679</v>
      </c>
      <c r="AO60" s="147">
        <f>IF($I60 &gt;0, MIN(AN60,$I60-SUM($L60:AN60)), MAX(AN60,$I60-SUM($L60:AN60)))</f>
        <v>6.9675327445914679</v>
      </c>
      <c r="AP60" s="147">
        <f>IF($I60 &gt;0, MIN(AO60,$I60-SUM($L60:AO60)), MAX(AO60,$I60-SUM($L60:AO60)))</f>
        <v>6.9675327445914679</v>
      </c>
      <c r="AQ60" s="147">
        <f>IF($I60 &gt;0, MIN(AP60,$I60-SUM($L60:AP60)), MAX(AP60,$I60-SUM($L60:AP60)))</f>
        <v>6.9675327445914679</v>
      </c>
      <c r="AR60" s="147">
        <f>IF($I60 &gt;0, MIN(AQ60,$I60-SUM($L60:AQ60)), MAX(AQ60,$I60-SUM($L60:AQ60)))</f>
        <v>6.9675327445914679</v>
      </c>
      <c r="AS60" s="147"/>
      <c r="AT60" s="147"/>
      <c r="AU60" s="147"/>
      <c r="AV60" s="147"/>
      <c r="AW60" s="147"/>
      <c r="AX60" s="147"/>
      <c r="AY60" s="147"/>
      <c r="AZ60" s="147"/>
      <c r="BA60" s="147"/>
      <c r="BB60" s="147"/>
      <c r="BC60" s="147"/>
      <c r="BD60" s="147"/>
      <c r="BE60" s="147"/>
      <c r="BF60" s="147"/>
      <c r="BG60" s="147"/>
    </row>
    <row r="61" spans="4:63" ht="15" customHeight="1">
      <c r="D61" s="149"/>
      <c r="E61" s="184">
        <v>39903</v>
      </c>
      <c r="G61" s="158" t="s">
        <v>844</v>
      </c>
      <c r="H61" s="151"/>
      <c r="I61" s="147">
        <f t="shared" si="3"/>
        <v>165.06591526344377</v>
      </c>
      <c r="J61" s="31" t="s">
        <v>56</v>
      </c>
      <c r="K61" s="149"/>
      <c r="L61" s="147"/>
      <c r="M61" s="147"/>
      <c r="N61" s="147"/>
      <c r="O61" s="147"/>
      <c r="P61" s="147"/>
      <c r="Q61" s="147"/>
      <c r="R61" s="147"/>
      <c r="S61" s="147"/>
      <c r="T61" s="147"/>
      <c r="U61" s="147"/>
      <c r="V61" s="147"/>
      <c r="W61" s="147"/>
      <c r="X61" s="147"/>
      <c r="Y61" s="147"/>
      <c r="Z61" s="147"/>
      <c r="AA61" s="147"/>
      <c r="AB61" s="147"/>
      <c r="AC61" s="147"/>
      <c r="AD61" s="107">
        <f>$I61/AC$37</f>
        <v>8.2532957631721882</v>
      </c>
      <c r="AE61" s="147">
        <f>IF($I61 &gt;0, MIN(AD61,$I61-SUM($L61:AD61)), MAX(AD61,$I61-SUM($L61:AD61)))</f>
        <v>8.2532957631721882</v>
      </c>
      <c r="AF61" s="147">
        <f>IF($I61 &gt;0, MIN(AE61,$I61-SUM($L61:AE61)), MAX(AE61,$I61-SUM($L61:AE61)))</f>
        <v>8.2532957631721882</v>
      </c>
      <c r="AG61" s="147">
        <f>IF($I61 &gt;0, MIN(AF61,$I61-SUM($L61:AF61)), MAX(AF61,$I61-SUM($L61:AF61)))</f>
        <v>8.2532957631721882</v>
      </c>
      <c r="AH61" s="147">
        <f>IF($I61 &gt;0, MIN(AG61,$I61-SUM($L61:AG61)), MAX(AG61,$I61-SUM($L61:AG61)))</f>
        <v>8.2532957631721882</v>
      </c>
      <c r="AI61" s="147">
        <f>IF($I61 &gt;0, MIN(AH61,$I61-SUM($L61:AH61)), MAX(AH61,$I61-SUM($L61:AH61)))</f>
        <v>8.2532957631721882</v>
      </c>
      <c r="AJ61" s="147">
        <f>IF($I61 &gt;0, MIN(AI61,$I61-SUM($L61:AI61)), MAX(AI61,$I61-SUM($L61:AI61)))</f>
        <v>8.2532957631721882</v>
      </c>
      <c r="AK61" s="147">
        <f>IF($I61 &gt;0, MIN(AJ61,$I61-SUM($L61:AJ61)), MAX(AJ61,$I61-SUM($L61:AJ61)))</f>
        <v>8.2532957631721882</v>
      </c>
      <c r="AL61" s="147">
        <f>IF($I61 &gt;0, MIN(AK61,$I61-SUM($L61:AK61)), MAX(AK61,$I61-SUM($L61:AK61)))</f>
        <v>8.2532957631721882</v>
      </c>
      <c r="AM61" s="147">
        <f>IF($I61 &gt;0, MIN(AL61,$I61-SUM($L61:AL61)), MAX(AL61,$I61-SUM($L61:AL61)))</f>
        <v>8.2532957631721882</v>
      </c>
      <c r="AN61" s="147">
        <f>IF($I61 &gt;0, MIN(AM61,$I61-SUM($L61:AM61)), MAX(AM61,$I61-SUM($L61:AM61)))</f>
        <v>8.2532957631721882</v>
      </c>
      <c r="AO61" s="147">
        <f>IF($I61 &gt;0, MIN(AN61,$I61-SUM($L61:AN61)), MAX(AN61,$I61-SUM($L61:AN61)))</f>
        <v>8.2532957631721882</v>
      </c>
      <c r="AP61" s="147">
        <f>IF($I61 &gt;0, MIN(AO61,$I61-SUM($L61:AO61)), MAX(AO61,$I61-SUM($L61:AO61)))</f>
        <v>8.2532957631721882</v>
      </c>
      <c r="AQ61" s="147">
        <f>IF($I61 &gt;0, MIN(AP61,$I61-SUM($L61:AP61)), MAX(AP61,$I61-SUM($L61:AP61)))</f>
        <v>8.2532957631721882</v>
      </c>
      <c r="AR61" s="147">
        <f>IF($I61 &gt;0, MIN(AQ61,$I61-SUM($L61:AQ61)), MAX(AQ61,$I61-SUM($L61:AQ61)))</f>
        <v>8.2532957631721882</v>
      </c>
      <c r="AS61" s="147"/>
      <c r="AT61" s="147"/>
      <c r="AU61" s="147"/>
      <c r="AV61" s="147"/>
      <c r="AW61" s="147"/>
      <c r="AX61" s="147"/>
      <c r="AY61" s="147"/>
      <c r="AZ61" s="147"/>
      <c r="BA61" s="147"/>
      <c r="BB61" s="147"/>
      <c r="BC61" s="147"/>
      <c r="BD61" s="147"/>
      <c r="BE61" s="147"/>
      <c r="BF61" s="147"/>
      <c r="BG61" s="147"/>
      <c r="BH61" s="147"/>
    </row>
    <row r="62" spans="4:63" ht="15" customHeight="1">
      <c r="D62" s="149"/>
      <c r="E62" s="184">
        <v>40268</v>
      </c>
      <c r="G62" s="158" t="s">
        <v>844</v>
      </c>
      <c r="H62" s="151"/>
      <c r="I62" s="147">
        <f t="shared" si="3"/>
        <v>196.1644111927435</v>
      </c>
      <c r="J62" s="31" t="s">
        <v>56</v>
      </c>
      <c r="K62" s="149"/>
      <c r="L62" s="147"/>
      <c r="M62" s="147"/>
      <c r="N62" s="147"/>
      <c r="O62" s="147"/>
      <c r="P62" s="147"/>
      <c r="Q62" s="147"/>
      <c r="R62" s="147"/>
      <c r="S62" s="147"/>
      <c r="T62" s="147"/>
      <c r="U62" s="147"/>
      <c r="V62" s="147"/>
      <c r="W62" s="147"/>
      <c r="X62" s="147"/>
      <c r="Y62" s="147"/>
      <c r="Z62" s="147"/>
      <c r="AA62" s="147"/>
      <c r="AB62" s="147"/>
      <c r="AC62" s="147"/>
      <c r="AD62" s="147"/>
      <c r="AE62" s="107">
        <f>$I62/AD$37</f>
        <v>9.8082205596371743</v>
      </c>
      <c r="AF62" s="147">
        <f>IF($I62 &gt;0, MIN(AE62,$I62-SUM($L62:AE62)), MAX(AE62,$I62-SUM($L62:AE62)))</f>
        <v>9.8082205596371743</v>
      </c>
      <c r="AG62" s="147">
        <f>IF($I62 &gt;0, MIN(AF62,$I62-SUM($L62:AF62)), MAX(AF62,$I62-SUM($L62:AF62)))</f>
        <v>9.8082205596371743</v>
      </c>
      <c r="AH62" s="147">
        <f>IF($I62 &gt;0, MIN(AG62,$I62-SUM($L62:AG62)), MAX(AG62,$I62-SUM($L62:AG62)))</f>
        <v>9.8082205596371743</v>
      </c>
      <c r="AI62" s="147">
        <f>IF($I62 &gt;0, MIN(AH62,$I62-SUM($L62:AH62)), MAX(AH62,$I62-SUM($L62:AH62)))</f>
        <v>9.8082205596371743</v>
      </c>
      <c r="AJ62" s="147">
        <f>IF($I62 &gt;0, MIN(AI62,$I62-SUM($L62:AI62)), MAX(AI62,$I62-SUM($L62:AI62)))</f>
        <v>9.8082205596371743</v>
      </c>
      <c r="AK62" s="147">
        <f>IF($I62 &gt;0, MIN(AJ62,$I62-SUM($L62:AJ62)), MAX(AJ62,$I62-SUM($L62:AJ62)))</f>
        <v>9.8082205596371743</v>
      </c>
      <c r="AL62" s="147">
        <f>IF($I62 &gt;0, MIN(AK62,$I62-SUM($L62:AK62)), MAX(AK62,$I62-SUM($L62:AK62)))</f>
        <v>9.8082205596371743</v>
      </c>
      <c r="AM62" s="147">
        <f>IF($I62 &gt;0, MIN(AL62,$I62-SUM($L62:AL62)), MAX(AL62,$I62-SUM($L62:AL62)))</f>
        <v>9.8082205596371743</v>
      </c>
      <c r="AN62" s="147">
        <f>IF($I62 &gt;0, MIN(AM62,$I62-SUM($L62:AM62)), MAX(AM62,$I62-SUM($L62:AM62)))</f>
        <v>9.8082205596371743</v>
      </c>
      <c r="AO62" s="147">
        <f>IF($I62 &gt;0, MIN(AN62,$I62-SUM($L62:AN62)), MAX(AN62,$I62-SUM($L62:AN62)))</f>
        <v>9.8082205596371743</v>
      </c>
      <c r="AP62" s="147">
        <f>IF($I62 &gt;0, MIN(AO62,$I62-SUM($L62:AO62)), MAX(AO62,$I62-SUM($L62:AO62)))</f>
        <v>9.8082205596371743</v>
      </c>
      <c r="AQ62" s="147">
        <f>IF($I62 &gt;0, MIN(AP62,$I62-SUM($L62:AP62)), MAX(AP62,$I62-SUM($L62:AP62)))</f>
        <v>9.8082205596371743</v>
      </c>
      <c r="AR62" s="147">
        <f>IF($I62 &gt;0, MIN(AQ62,$I62-SUM($L62:AQ62)), MAX(AQ62,$I62-SUM($L62:AQ62)))</f>
        <v>9.8082205596371743</v>
      </c>
      <c r="AS62" s="147"/>
      <c r="AT62" s="147"/>
      <c r="AU62" s="147"/>
      <c r="AV62" s="147"/>
      <c r="AW62" s="147"/>
      <c r="AX62" s="147"/>
      <c r="AY62" s="147"/>
      <c r="AZ62" s="147"/>
      <c r="BA62" s="147"/>
      <c r="BB62" s="147"/>
      <c r="BC62" s="147"/>
      <c r="BD62" s="147"/>
      <c r="BE62" s="147"/>
      <c r="BF62" s="147"/>
      <c r="BG62" s="147"/>
      <c r="BH62" s="147"/>
      <c r="BI62" s="147"/>
    </row>
    <row r="63" spans="4:63" ht="15" customHeight="1">
      <c r="D63" s="149"/>
      <c r="E63" s="184">
        <v>40633</v>
      </c>
      <c r="G63" s="158" t="s">
        <v>844</v>
      </c>
      <c r="H63" s="151"/>
      <c r="I63" s="147">
        <f t="shared" si="3"/>
        <v>181.68144275863403</v>
      </c>
      <c r="J63" s="31" t="s">
        <v>56</v>
      </c>
      <c r="K63" s="149"/>
      <c r="L63" s="147"/>
      <c r="M63" s="147"/>
      <c r="N63" s="147"/>
      <c r="O63" s="147"/>
      <c r="P63" s="147"/>
      <c r="Q63" s="147"/>
      <c r="R63" s="147"/>
      <c r="S63" s="147"/>
      <c r="T63" s="147"/>
      <c r="U63" s="147"/>
      <c r="V63" s="147"/>
      <c r="W63" s="147"/>
      <c r="X63" s="147"/>
      <c r="Y63" s="147"/>
      <c r="Z63" s="147"/>
      <c r="AA63" s="147"/>
      <c r="AB63" s="147"/>
      <c r="AC63" s="147"/>
      <c r="AD63" s="147"/>
      <c r="AE63" s="147"/>
      <c r="AF63" s="107">
        <f>$I63/AE$37</f>
        <v>9.0840721379317024</v>
      </c>
      <c r="AG63" s="147">
        <f>IF($I63 &gt;0, MIN(AF63,$I63-SUM($L63:AF63)), MAX(AF63,$I63-SUM($L63:AF63)))</f>
        <v>9.0840721379317024</v>
      </c>
      <c r="AH63" s="147">
        <f>IF($I63 &gt;0, MIN(AG63,$I63-SUM($L63:AG63)), MAX(AG63,$I63-SUM($L63:AG63)))</f>
        <v>9.0840721379317024</v>
      </c>
      <c r="AI63" s="147">
        <f>IF($I63 &gt;0, MIN(AH63,$I63-SUM($L63:AH63)), MAX(AH63,$I63-SUM($L63:AH63)))</f>
        <v>9.0840721379317024</v>
      </c>
      <c r="AJ63" s="147">
        <f>IF($I63 &gt;0, MIN(AI63,$I63-SUM($L63:AI63)), MAX(AI63,$I63-SUM($L63:AI63)))</f>
        <v>9.0840721379317024</v>
      </c>
      <c r="AK63" s="147">
        <f>IF($I63 &gt;0, MIN(AJ63,$I63-SUM($L63:AJ63)), MAX(AJ63,$I63-SUM($L63:AJ63)))</f>
        <v>9.0840721379317024</v>
      </c>
      <c r="AL63" s="147">
        <f>IF($I63 &gt;0, MIN(AK63,$I63-SUM($L63:AK63)), MAX(AK63,$I63-SUM($L63:AK63)))</f>
        <v>9.0840721379317024</v>
      </c>
      <c r="AM63" s="147">
        <f>IF($I63 &gt;0, MIN(AL63,$I63-SUM($L63:AL63)), MAX(AL63,$I63-SUM($L63:AL63)))</f>
        <v>9.0840721379317024</v>
      </c>
      <c r="AN63" s="147">
        <f>IF($I63 &gt;0, MIN(AM63,$I63-SUM($L63:AM63)), MAX(AM63,$I63-SUM($L63:AM63)))</f>
        <v>9.0840721379317024</v>
      </c>
      <c r="AO63" s="147">
        <f>IF($I63 &gt;0, MIN(AN63,$I63-SUM($L63:AN63)), MAX(AN63,$I63-SUM($L63:AN63)))</f>
        <v>9.0840721379317024</v>
      </c>
      <c r="AP63" s="147">
        <f>IF($I63 &gt;0, MIN(AO63,$I63-SUM($L63:AO63)), MAX(AO63,$I63-SUM($L63:AO63)))</f>
        <v>9.0840721379317024</v>
      </c>
      <c r="AQ63" s="147">
        <f>IF($I63 &gt;0, MIN(AP63,$I63-SUM($L63:AP63)), MAX(AP63,$I63-SUM($L63:AP63)))</f>
        <v>9.0840721379317024</v>
      </c>
      <c r="AR63" s="147">
        <f>IF($I63 &gt;0, MIN(AQ63,$I63-SUM($L63:AQ63)), MAX(AQ63,$I63-SUM($L63:AQ63)))</f>
        <v>9.0840721379317024</v>
      </c>
      <c r="AS63" s="147"/>
      <c r="AT63" s="147"/>
      <c r="AU63" s="147"/>
      <c r="AV63" s="147"/>
      <c r="AW63" s="147"/>
      <c r="AX63" s="147"/>
      <c r="AY63" s="147"/>
      <c r="AZ63" s="147"/>
      <c r="BA63" s="147"/>
      <c r="BB63" s="147"/>
      <c r="BC63" s="147"/>
      <c r="BD63" s="147"/>
      <c r="BE63" s="147"/>
      <c r="BF63" s="147"/>
      <c r="BG63" s="147"/>
      <c r="BH63" s="147"/>
      <c r="BI63" s="147"/>
      <c r="BJ63" s="147"/>
    </row>
    <row r="64" spans="4:63" ht="15" customHeight="1">
      <c r="D64" s="149"/>
      <c r="E64" s="184">
        <v>40999</v>
      </c>
      <c r="G64" s="158" t="s">
        <v>844</v>
      </c>
      <c r="H64" s="151"/>
      <c r="I64" s="147">
        <f t="shared" si="3"/>
        <v>157.62844612449771</v>
      </c>
      <c r="J64" s="31" t="s">
        <v>56</v>
      </c>
      <c r="K64" s="149"/>
      <c r="L64" s="147"/>
      <c r="M64" s="147"/>
      <c r="N64" s="147"/>
      <c r="O64" s="147"/>
      <c r="P64" s="147"/>
      <c r="Q64" s="147"/>
      <c r="R64" s="147"/>
      <c r="S64" s="147"/>
      <c r="T64" s="147"/>
      <c r="U64" s="147"/>
      <c r="V64" s="147"/>
      <c r="W64" s="147"/>
      <c r="X64" s="147"/>
      <c r="Y64" s="147"/>
      <c r="Z64" s="147"/>
      <c r="AA64" s="147"/>
      <c r="AB64" s="147"/>
      <c r="AC64" s="147"/>
      <c r="AD64" s="147"/>
      <c r="AE64" s="147"/>
      <c r="AF64" s="147"/>
      <c r="AG64" s="107">
        <f>$I64/AF$37</f>
        <v>7.881422306224886</v>
      </c>
      <c r="AH64" s="147">
        <f>IF($I64 &gt;0, MIN(AG64,$I64-SUM($L64:AG64)), MAX(AG64,$I64-SUM($L64:AG64)))</f>
        <v>7.881422306224886</v>
      </c>
      <c r="AI64" s="147">
        <f>IF($I64 &gt;0, MIN(AH64,$I64-SUM($L64:AH64)), MAX(AH64,$I64-SUM($L64:AH64)))</f>
        <v>7.881422306224886</v>
      </c>
      <c r="AJ64" s="147">
        <f>IF($I64 &gt;0, MIN(AI64,$I64-SUM($L64:AI64)), MAX(AI64,$I64-SUM($L64:AI64)))</f>
        <v>7.881422306224886</v>
      </c>
      <c r="AK64" s="147">
        <f>IF($I64 &gt;0, MIN(AJ64,$I64-SUM($L64:AJ64)), MAX(AJ64,$I64-SUM($L64:AJ64)))</f>
        <v>7.881422306224886</v>
      </c>
      <c r="AL64" s="147">
        <f>IF($I64 &gt;0, MIN(AK64,$I64-SUM($L64:AK64)), MAX(AK64,$I64-SUM($L64:AK64)))</f>
        <v>7.881422306224886</v>
      </c>
      <c r="AM64" s="147">
        <f>IF($I64 &gt;0, MIN(AL64,$I64-SUM($L64:AL64)), MAX(AL64,$I64-SUM($L64:AL64)))</f>
        <v>7.881422306224886</v>
      </c>
      <c r="AN64" s="147">
        <f>IF($I64 &gt;0, MIN(AM64,$I64-SUM($L64:AM64)), MAX(AM64,$I64-SUM($L64:AM64)))</f>
        <v>7.881422306224886</v>
      </c>
      <c r="AO64" s="147">
        <f>IF($I64 &gt;0, MIN(AN64,$I64-SUM($L64:AN64)), MAX(AN64,$I64-SUM($L64:AN64)))</f>
        <v>7.881422306224886</v>
      </c>
      <c r="AP64" s="147">
        <f>IF($I64 &gt;0, MIN(AO64,$I64-SUM($L64:AO64)), MAX(AO64,$I64-SUM($L64:AO64)))</f>
        <v>7.881422306224886</v>
      </c>
      <c r="AQ64" s="147">
        <f>IF($I64 &gt;0, MIN(AP64,$I64-SUM($L64:AP64)), MAX(AP64,$I64-SUM($L64:AP64)))</f>
        <v>7.881422306224886</v>
      </c>
      <c r="AR64" s="147">
        <f>IF($I64 &gt;0, MIN(AQ64,$I64-SUM($L64:AQ64)), MAX(AQ64,$I64-SUM($L64:AQ64)))</f>
        <v>7.881422306224886</v>
      </c>
      <c r="AS64" s="147"/>
      <c r="AT64" s="147"/>
      <c r="AU64" s="147"/>
      <c r="AV64" s="147"/>
      <c r="AW64" s="147"/>
      <c r="AX64" s="147"/>
      <c r="AY64" s="147"/>
      <c r="AZ64" s="147"/>
      <c r="BA64" s="147"/>
      <c r="BB64" s="147"/>
      <c r="BC64" s="147"/>
      <c r="BD64" s="147"/>
      <c r="BE64" s="147"/>
      <c r="BF64" s="147"/>
      <c r="BG64" s="147"/>
      <c r="BH64" s="147"/>
      <c r="BI64" s="147"/>
      <c r="BJ64" s="147"/>
      <c r="BK64" s="147"/>
    </row>
    <row r="65" spans="2:73" ht="15" customHeight="1">
      <c r="D65" s="149"/>
      <c r="E65" s="184">
        <v>41364</v>
      </c>
      <c r="G65" s="158" t="s">
        <v>844</v>
      </c>
      <c r="H65" s="151"/>
      <c r="I65" s="147">
        <f t="shared" si="3"/>
        <v>154.3742917688794</v>
      </c>
      <c r="J65" s="31"/>
      <c r="K65" s="149"/>
      <c r="L65" s="147"/>
      <c r="M65" s="147"/>
      <c r="N65" s="147"/>
      <c r="O65" s="147"/>
      <c r="P65" s="147"/>
      <c r="Q65" s="147"/>
      <c r="R65" s="147"/>
      <c r="S65" s="147"/>
      <c r="T65" s="147"/>
      <c r="U65" s="147"/>
      <c r="V65" s="147"/>
      <c r="W65" s="147"/>
      <c r="X65" s="147"/>
      <c r="Y65" s="147"/>
      <c r="Z65" s="147"/>
      <c r="AA65" s="147"/>
      <c r="AB65" s="147"/>
      <c r="AC65" s="147"/>
      <c r="AD65" s="147"/>
      <c r="AE65" s="147"/>
      <c r="AF65" s="147"/>
      <c r="AG65" s="147"/>
      <c r="AH65" s="107">
        <f>$I65/AG$37</f>
        <v>7.7187145884439703</v>
      </c>
      <c r="AI65" s="147">
        <f>IF($I65 &gt;0, MIN(AH65,$I65-SUM($L65:AH65)), MAX(AH65,$I65-SUM($L65:AH65)))</f>
        <v>7.7187145884439703</v>
      </c>
      <c r="AJ65" s="147">
        <f>IF($I65 &gt;0, MIN(AI65,$I65-SUM($L65:AI65)), MAX(AI65,$I65-SUM($L65:AI65)))</f>
        <v>7.7187145884439703</v>
      </c>
      <c r="AK65" s="147">
        <f>IF($I65 &gt;0, MIN(AJ65,$I65-SUM($L65:AJ65)), MAX(AJ65,$I65-SUM($L65:AJ65)))</f>
        <v>7.7187145884439703</v>
      </c>
      <c r="AL65" s="147">
        <f>IF($I65 &gt;0, MIN(AK65,$I65-SUM($L65:AK65)), MAX(AK65,$I65-SUM($L65:AK65)))</f>
        <v>7.7187145884439703</v>
      </c>
      <c r="AM65" s="147">
        <f>IF($I65 &gt;0, MIN(AL65,$I65-SUM($L65:AL65)), MAX(AL65,$I65-SUM($L65:AL65)))</f>
        <v>7.7187145884439703</v>
      </c>
      <c r="AN65" s="147">
        <f>IF($I65 &gt;0, MIN(AM65,$I65-SUM($L65:AM65)), MAX(AM65,$I65-SUM($L65:AM65)))</f>
        <v>7.7187145884439703</v>
      </c>
      <c r="AO65" s="147">
        <f>IF($I65 &gt;0, MIN(AN65,$I65-SUM($L65:AN65)), MAX(AN65,$I65-SUM($L65:AN65)))</f>
        <v>7.7187145884439703</v>
      </c>
      <c r="AP65" s="147">
        <f>IF($I65 &gt;0, MIN(AO65,$I65-SUM($L65:AO65)), MAX(AO65,$I65-SUM($L65:AO65)))</f>
        <v>7.7187145884439703</v>
      </c>
      <c r="AQ65" s="147">
        <f>IF($I65 &gt;0, MIN(AP65,$I65-SUM($L65:AP65)), MAX(AP65,$I65-SUM($L65:AP65)))</f>
        <v>7.7187145884439703</v>
      </c>
      <c r="AR65" s="147">
        <f>IF($I65 &gt;0, MIN(AQ65,$I65-SUM($L65:AQ65)), MAX(AQ65,$I65-SUM($L65:AQ65)))</f>
        <v>7.7187145884439703</v>
      </c>
      <c r="AS65" s="147"/>
      <c r="AT65" s="147"/>
      <c r="AU65" s="147"/>
      <c r="AV65" s="147"/>
      <c r="AW65" s="147"/>
      <c r="AX65" s="147"/>
      <c r="AY65" s="147"/>
      <c r="AZ65" s="147"/>
      <c r="BA65" s="147"/>
      <c r="BB65" s="147"/>
      <c r="BC65" s="147"/>
      <c r="BD65" s="147"/>
      <c r="BE65" s="147"/>
      <c r="BF65" s="147"/>
      <c r="BG65" s="147"/>
      <c r="BH65" s="147"/>
      <c r="BI65" s="147"/>
      <c r="BJ65" s="147"/>
      <c r="BK65" s="147"/>
      <c r="BL65" s="147"/>
    </row>
    <row r="66" spans="2:73" ht="15" customHeight="1">
      <c r="D66" s="149"/>
      <c r="E66" s="184">
        <v>41729</v>
      </c>
      <c r="G66" s="158" t="s">
        <v>844</v>
      </c>
      <c r="H66" s="151"/>
      <c r="I66" s="147">
        <f t="shared" si="3"/>
        <v>169.1468192161847</v>
      </c>
      <c r="J66" s="31"/>
      <c r="K66" s="149"/>
      <c r="L66" s="147"/>
      <c r="M66" s="147"/>
      <c r="N66" s="147"/>
      <c r="O66" s="147"/>
      <c r="P66" s="147"/>
      <c r="Q66" s="147"/>
      <c r="R66" s="147"/>
      <c r="S66" s="147"/>
      <c r="T66" s="147"/>
      <c r="U66" s="147"/>
      <c r="V66" s="147"/>
      <c r="W66" s="147"/>
      <c r="X66" s="147"/>
      <c r="Y66" s="147"/>
      <c r="Z66" s="147"/>
      <c r="AA66" s="147"/>
      <c r="AB66" s="147"/>
      <c r="AC66" s="147"/>
      <c r="AD66" s="147"/>
      <c r="AE66" s="147"/>
      <c r="AF66" s="147"/>
      <c r="AG66" s="147"/>
      <c r="AH66" s="147"/>
      <c r="AI66" s="107">
        <f>$I66/AH$37</f>
        <v>8.4573409608092351</v>
      </c>
      <c r="AJ66" s="147">
        <f>IF($I66 &gt;0, MIN(AI66,$I66-SUM($L66:AI66)), MAX(AI66,$I66-SUM($L66:AI66)))</f>
        <v>8.4573409608092351</v>
      </c>
      <c r="AK66" s="147">
        <f>IF($I66 &gt;0, MIN(AJ66,$I66-SUM($L66:AJ66)), MAX(AJ66,$I66-SUM($L66:AJ66)))</f>
        <v>8.4573409608092351</v>
      </c>
      <c r="AL66" s="147">
        <f>IF($I66 &gt;0, MIN(AK66,$I66-SUM($L66:AK66)), MAX(AK66,$I66-SUM($L66:AK66)))</f>
        <v>8.4573409608092351</v>
      </c>
      <c r="AM66" s="147">
        <f>IF($I66 &gt;0, MIN(AL66,$I66-SUM($L66:AL66)), MAX(AL66,$I66-SUM($L66:AL66)))</f>
        <v>8.4573409608092351</v>
      </c>
      <c r="AN66" s="147">
        <f>IF($I66 &gt;0, MIN(AM66,$I66-SUM($L66:AM66)), MAX(AM66,$I66-SUM($L66:AM66)))</f>
        <v>8.4573409608092351</v>
      </c>
      <c r="AO66" s="147">
        <f>IF($I66 &gt;0, MIN(AN66,$I66-SUM($L66:AN66)), MAX(AN66,$I66-SUM($L66:AN66)))</f>
        <v>8.4573409608092351</v>
      </c>
      <c r="AP66" s="147">
        <f>IF($I66 &gt;0, MIN(AO66,$I66-SUM($L66:AO66)), MAX(AO66,$I66-SUM($L66:AO66)))</f>
        <v>8.4573409608092351</v>
      </c>
      <c r="AQ66" s="147">
        <f>IF($I66 &gt;0, MIN(AP66,$I66-SUM($L66:AP66)), MAX(AP66,$I66-SUM($L66:AP66)))</f>
        <v>8.4573409608092351</v>
      </c>
      <c r="AR66" s="147">
        <f>IF($I66 &gt;0, MIN(AQ66,$I66-SUM($L66:AQ66)), MAX(AQ66,$I66-SUM($L66:AQ66)))</f>
        <v>8.4573409608092351</v>
      </c>
      <c r="AS66" s="147"/>
      <c r="AT66" s="147"/>
      <c r="AU66" s="147"/>
      <c r="AV66" s="147"/>
      <c r="AW66" s="147"/>
      <c r="AX66" s="147"/>
      <c r="AY66" s="147"/>
      <c r="AZ66" s="147"/>
      <c r="BA66" s="147"/>
      <c r="BB66" s="147"/>
      <c r="BC66" s="147"/>
      <c r="BD66" s="147"/>
      <c r="BE66" s="147"/>
      <c r="BF66" s="147"/>
      <c r="BG66" s="147"/>
      <c r="BH66" s="147"/>
      <c r="BI66" s="147"/>
      <c r="BJ66" s="147"/>
      <c r="BK66" s="147"/>
      <c r="BL66" s="147"/>
      <c r="BM66" s="147"/>
    </row>
    <row r="67" spans="2:73" ht="15" customHeight="1">
      <c r="D67" s="149"/>
      <c r="E67" s="184">
        <v>42094</v>
      </c>
      <c r="G67" s="158" t="s">
        <v>844</v>
      </c>
      <c r="H67" s="151"/>
      <c r="I67" s="147">
        <f t="shared" si="3"/>
        <v>181.50568328158491</v>
      </c>
      <c r="J67" s="31"/>
      <c r="K67" s="149"/>
      <c r="L67" s="147"/>
      <c r="M67" s="147"/>
      <c r="N67" s="147"/>
      <c r="O67" s="147"/>
      <c r="P67" s="147"/>
      <c r="Q67" s="147"/>
      <c r="R67" s="147"/>
      <c r="S67" s="147"/>
      <c r="T67" s="147"/>
      <c r="U67" s="147"/>
      <c r="V67" s="147"/>
      <c r="W67" s="147"/>
      <c r="X67" s="147"/>
      <c r="Y67" s="147"/>
      <c r="Z67" s="147"/>
      <c r="AA67" s="147"/>
      <c r="AB67" s="147"/>
      <c r="AC67" s="147"/>
      <c r="AD67" s="147"/>
      <c r="AE67" s="147"/>
      <c r="AF67" s="147"/>
      <c r="AG67" s="147"/>
      <c r="AH67" s="147"/>
      <c r="AI67" s="147"/>
      <c r="AJ67" s="107">
        <f>$I67/AI$37</f>
        <v>9.0752841640792461</v>
      </c>
      <c r="AK67" s="147">
        <f>IF($I67 &gt;0, MIN(AJ67,$I67-SUM($L67:AJ67)), MAX(AJ67,$I67-SUM($L67:AJ67)))</f>
        <v>9.0752841640792461</v>
      </c>
      <c r="AL67" s="147">
        <f>IF($I67 &gt;0, MIN(AK67,$I67-SUM($L67:AK67)), MAX(AK67,$I67-SUM($L67:AK67)))</f>
        <v>9.0752841640792461</v>
      </c>
      <c r="AM67" s="147">
        <f>IF($I67 &gt;0, MIN(AL67,$I67-SUM($L67:AL67)), MAX(AL67,$I67-SUM($L67:AL67)))</f>
        <v>9.0752841640792461</v>
      </c>
      <c r="AN67" s="147">
        <f>IF($I67 &gt;0, MIN(AM67,$I67-SUM($L67:AM67)), MAX(AM67,$I67-SUM($L67:AM67)))</f>
        <v>9.0752841640792461</v>
      </c>
      <c r="AO67" s="147">
        <f>IF($I67 &gt;0, MIN(AN67,$I67-SUM($L67:AN67)), MAX(AN67,$I67-SUM($L67:AN67)))</f>
        <v>9.0752841640792461</v>
      </c>
      <c r="AP67" s="147">
        <f>IF($I67 &gt;0, MIN(AO67,$I67-SUM($L67:AO67)), MAX(AO67,$I67-SUM($L67:AO67)))</f>
        <v>9.0752841640792461</v>
      </c>
      <c r="AQ67" s="147">
        <f>IF($I67 &gt;0, MIN(AP67,$I67-SUM($L67:AP67)), MAX(AP67,$I67-SUM($L67:AP67)))</f>
        <v>9.0752841640792461</v>
      </c>
      <c r="AR67" s="147">
        <f>IF($I67 &gt;0, MIN(AQ67,$I67-SUM($L67:AQ67)), MAX(AQ67,$I67-SUM($L67:AQ67)))</f>
        <v>9.0752841640792461</v>
      </c>
      <c r="AS67" s="147"/>
      <c r="AT67" s="147"/>
      <c r="AU67" s="147"/>
      <c r="AV67" s="147"/>
      <c r="AW67" s="147"/>
      <c r="AX67" s="147"/>
      <c r="AY67" s="147"/>
      <c r="AZ67" s="147"/>
      <c r="BA67" s="147"/>
      <c r="BB67" s="147"/>
      <c r="BC67" s="147"/>
      <c r="BD67" s="147"/>
      <c r="BE67" s="147"/>
      <c r="BF67" s="147"/>
      <c r="BG67" s="147"/>
      <c r="BH67" s="147"/>
      <c r="BI67" s="147"/>
      <c r="BJ67" s="147"/>
      <c r="BK67" s="147"/>
      <c r="BL67" s="147"/>
      <c r="BM67" s="147"/>
      <c r="BN67" s="147"/>
    </row>
    <row r="68" spans="2:73" ht="15" customHeight="1">
      <c r="D68" s="149"/>
      <c r="E68" s="184">
        <v>42460</v>
      </c>
      <c r="G68" s="158" t="s">
        <v>844</v>
      </c>
      <c r="H68" s="151"/>
      <c r="I68" s="147">
        <f t="shared" si="3"/>
        <v>157.2306932997239</v>
      </c>
      <c r="J68" s="31"/>
      <c r="K68" s="149"/>
      <c r="L68" s="147"/>
      <c r="M68" s="147"/>
      <c r="N68" s="147"/>
      <c r="O68" s="147"/>
      <c r="P68" s="147"/>
      <c r="Q68" s="147"/>
      <c r="R68" s="147"/>
      <c r="S68" s="147"/>
      <c r="T68" s="147"/>
      <c r="U68" s="147"/>
      <c r="V68" s="147"/>
      <c r="W68" s="147"/>
      <c r="X68" s="147"/>
      <c r="Y68" s="147"/>
      <c r="Z68" s="147"/>
      <c r="AA68" s="147"/>
      <c r="AB68" s="147"/>
      <c r="AC68" s="147"/>
      <c r="AD68" s="147"/>
      <c r="AE68" s="147"/>
      <c r="AF68" s="147"/>
      <c r="AG68" s="147"/>
      <c r="AH68" s="147"/>
      <c r="AI68" s="147"/>
      <c r="AJ68" s="147"/>
      <c r="AK68" s="107">
        <f>$I68/AJ$37</f>
        <v>6.7991651156637358</v>
      </c>
      <c r="AL68" s="147">
        <f>IF($I68 &gt;0, MIN(AK68,$I68-SUM($L68:AK68)), MAX(AK68,$I68-SUM($L68:AK68)))</f>
        <v>6.7991651156637358</v>
      </c>
      <c r="AM68" s="147">
        <f>IF($I68 &gt;0, MIN(AL68,$I68-SUM($L68:AL68)), MAX(AL68,$I68-SUM($L68:AL68)))</f>
        <v>6.7991651156637358</v>
      </c>
      <c r="AN68" s="147">
        <f>IF($I68 &gt;0, MIN(AM68,$I68-SUM($L68:AM68)), MAX(AM68,$I68-SUM($L68:AM68)))</f>
        <v>6.7991651156637358</v>
      </c>
      <c r="AO68" s="147">
        <f>IF($I68 &gt;0, MIN(AN68,$I68-SUM($L68:AN68)), MAX(AN68,$I68-SUM($L68:AN68)))</f>
        <v>6.7991651156637358</v>
      </c>
      <c r="AP68" s="147">
        <f>IF($I68 &gt;0, MIN(AO68,$I68-SUM($L68:AO68)), MAX(AO68,$I68-SUM($L68:AO68)))</f>
        <v>6.7991651156637358</v>
      </c>
      <c r="AQ68" s="147">
        <f>IF($I68 &gt;0, MIN(AP68,$I68-SUM($L68:AP68)), MAX(AP68,$I68-SUM($L68:AP68)))</f>
        <v>6.7991651156637358</v>
      </c>
      <c r="AR68" s="147">
        <f>IF($I68 &gt;0, MIN(AQ68,$I68-SUM($L68:AQ68)), MAX(AQ68,$I68-SUM($L68:AQ68)))</f>
        <v>6.7991651156637358</v>
      </c>
      <c r="AS68" s="147"/>
      <c r="AT68" s="147"/>
      <c r="AU68" s="147"/>
      <c r="AV68" s="147"/>
      <c r="AW68" s="147"/>
      <c r="AX68" s="147"/>
      <c r="AY68" s="147"/>
      <c r="AZ68" s="147"/>
      <c r="BA68" s="147"/>
      <c r="BB68" s="147"/>
      <c r="BC68" s="147"/>
      <c r="BD68" s="147"/>
      <c r="BE68" s="147"/>
      <c r="BF68" s="147"/>
      <c r="BG68" s="147"/>
      <c r="BH68" s="147"/>
      <c r="BI68" s="147"/>
      <c r="BJ68" s="147"/>
      <c r="BK68" s="147"/>
      <c r="BL68" s="147"/>
      <c r="BM68" s="147"/>
      <c r="BN68" s="147"/>
      <c r="BO68" s="147"/>
    </row>
    <row r="69" spans="2:73" ht="15" customHeight="1">
      <c r="D69" s="149"/>
      <c r="E69" s="184">
        <v>42825</v>
      </c>
      <c r="G69" s="158" t="s">
        <v>844</v>
      </c>
      <c r="H69" s="151"/>
      <c r="I69" s="147">
        <f t="shared" si="3"/>
        <v>171.88702831647345</v>
      </c>
      <c r="J69" s="31"/>
      <c r="K69" s="149"/>
      <c r="L69" s="147"/>
      <c r="M69" s="147"/>
      <c r="N69" s="147"/>
      <c r="O69" s="147"/>
      <c r="P69" s="147"/>
      <c r="Q69" s="147"/>
      <c r="R69" s="147"/>
      <c r="S69" s="147"/>
      <c r="T69" s="147"/>
      <c r="U69" s="147"/>
      <c r="V69" s="147"/>
      <c r="W69" s="147"/>
      <c r="X69" s="147"/>
      <c r="Y69" s="147"/>
      <c r="Z69" s="147"/>
      <c r="AA69" s="147"/>
      <c r="AB69" s="147"/>
      <c r="AC69" s="147"/>
      <c r="AD69" s="147"/>
      <c r="AE69" s="147"/>
      <c r="AF69" s="147"/>
      <c r="AG69" s="147"/>
      <c r="AH69" s="147"/>
      <c r="AI69" s="147"/>
      <c r="AJ69" s="147"/>
      <c r="AK69" s="147"/>
      <c r="AL69" s="107">
        <f>$I69/AK$37</f>
        <v>6.5480772691989886</v>
      </c>
      <c r="AM69" s="147">
        <f>IF($I69 &gt;0, MIN(AL69,$I69-SUM($L69:AL69)), MAX(AL69,$I69-SUM($L69:AL69)))</f>
        <v>6.5480772691989886</v>
      </c>
      <c r="AN69" s="147">
        <f>IF($I69 &gt;0, MIN(AM69,$I69-SUM($L69:AM69)), MAX(AM69,$I69-SUM($L69:AM69)))</f>
        <v>6.5480772691989886</v>
      </c>
      <c r="AO69" s="147">
        <f>IF($I69 &gt;0, MIN(AN69,$I69-SUM($L69:AN69)), MAX(AN69,$I69-SUM($L69:AN69)))</f>
        <v>6.5480772691989886</v>
      </c>
      <c r="AP69" s="147">
        <f>IF($I69 &gt;0, MIN(AO69,$I69-SUM($L69:AO69)), MAX(AO69,$I69-SUM($L69:AO69)))</f>
        <v>6.5480772691989886</v>
      </c>
      <c r="AQ69" s="147">
        <f>IF($I69 &gt;0, MIN(AP69,$I69-SUM($L69:AP69)), MAX(AP69,$I69-SUM($L69:AP69)))</f>
        <v>6.5480772691989886</v>
      </c>
      <c r="AR69" s="147">
        <f>IF($I69 &gt;0, MIN(AQ69,$I69-SUM($L69:AQ69)), MAX(AQ69,$I69-SUM($L69:AQ69)))</f>
        <v>6.5480772691989886</v>
      </c>
      <c r="AS69" s="147"/>
      <c r="AT69" s="147"/>
      <c r="AU69" s="147"/>
      <c r="AV69" s="147"/>
      <c r="AW69" s="147"/>
      <c r="AX69" s="147"/>
      <c r="AY69" s="147"/>
      <c r="AZ69" s="147"/>
      <c r="BA69" s="147"/>
      <c r="BB69" s="147"/>
      <c r="BC69" s="147"/>
      <c r="BD69" s="147"/>
      <c r="BE69" s="147"/>
      <c r="BF69" s="147"/>
      <c r="BG69" s="147"/>
      <c r="BH69" s="147"/>
      <c r="BI69" s="147"/>
      <c r="BJ69" s="147"/>
      <c r="BK69" s="147"/>
      <c r="BL69" s="147"/>
      <c r="BM69" s="147"/>
      <c r="BN69" s="147"/>
      <c r="BO69" s="147"/>
      <c r="BP69" s="147"/>
    </row>
    <row r="70" spans="2:73" ht="15" customHeight="1">
      <c r="D70" s="149"/>
      <c r="E70" s="184">
        <v>43190</v>
      </c>
      <c r="G70" s="158" t="s">
        <v>844</v>
      </c>
      <c r="H70" s="151"/>
      <c r="I70" s="147">
        <f t="shared" si="3"/>
        <v>167.63012731337571</v>
      </c>
      <c r="J70" s="31"/>
      <c r="K70" s="149"/>
      <c r="L70" s="147"/>
      <c r="M70" s="147"/>
      <c r="N70" s="147"/>
      <c r="O70" s="147"/>
      <c r="P70" s="147"/>
      <c r="Q70" s="147"/>
      <c r="R70" s="147"/>
      <c r="S70" s="147"/>
      <c r="T70" s="147"/>
      <c r="U70" s="147"/>
      <c r="V70" s="147"/>
      <c r="W70" s="147"/>
      <c r="X70" s="147"/>
      <c r="Y70" s="147"/>
      <c r="Z70" s="147"/>
      <c r="AA70" s="147"/>
      <c r="AB70" s="147"/>
      <c r="AC70" s="147"/>
      <c r="AD70" s="147"/>
      <c r="AE70" s="147"/>
      <c r="AF70" s="147"/>
      <c r="AG70" s="147"/>
      <c r="AH70" s="147"/>
      <c r="AI70" s="147"/>
      <c r="AJ70" s="147"/>
      <c r="AK70" s="147"/>
      <c r="AL70" s="147"/>
      <c r="AM70" s="107">
        <f>$I70/AL$37</f>
        <v>5.7065575255617267</v>
      </c>
      <c r="AN70" s="147">
        <f>IF($I70 &gt;0, MIN(AM70,$I70-SUM($L70:AM70)), MAX(AM70,$I70-SUM($L70:AM70)))</f>
        <v>5.7065575255617267</v>
      </c>
      <c r="AO70" s="147">
        <f>IF($I70 &gt;0, MIN(AN70,$I70-SUM($L70:AN70)), MAX(AN70,$I70-SUM($L70:AN70)))</f>
        <v>5.7065575255617267</v>
      </c>
      <c r="AP70" s="147">
        <f>IF($I70 &gt;0, MIN(AO70,$I70-SUM($L70:AO70)), MAX(AO70,$I70-SUM($L70:AO70)))</f>
        <v>5.7065575255617267</v>
      </c>
      <c r="AQ70" s="147">
        <f>IF($I70 &gt;0, MIN(AP70,$I70-SUM($L70:AP70)), MAX(AP70,$I70-SUM($L70:AP70)))</f>
        <v>5.7065575255617267</v>
      </c>
      <c r="AR70" s="147">
        <f>IF($I70 &gt;0, MIN(AQ70,$I70-SUM($L70:AQ70)), MAX(AQ70,$I70-SUM($L70:AQ70)))</f>
        <v>5.7065575255617267</v>
      </c>
      <c r="AS70" s="147"/>
      <c r="AT70" s="147"/>
      <c r="AU70" s="147"/>
      <c r="AV70" s="147"/>
      <c r="AW70" s="147"/>
      <c r="AX70" s="147"/>
      <c r="AY70" s="147"/>
      <c r="AZ70" s="147"/>
      <c r="BA70" s="147"/>
      <c r="BB70" s="147"/>
      <c r="BC70" s="147"/>
      <c r="BD70" s="147"/>
      <c r="BE70" s="147"/>
      <c r="BF70" s="147"/>
      <c r="BG70" s="147"/>
      <c r="BH70" s="147"/>
      <c r="BI70" s="147"/>
      <c r="BJ70" s="147"/>
      <c r="BK70" s="147"/>
      <c r="BL70" s="147"/>
      <c r="BM70" s="147"/>
      <c r="BN70" s="147"/>
      <c r="BO70" s="147"/>
      <c r="BP70" s="147"/>
      <c r="BQ70" s="147"/>
    </row>
    <row r="71" spans="2:73" ht="15" customHeight="1">
      <c r="D71" s="149"/>
      <c r="E71" s="184">
        <v>43555</v>
      </c>
      <c r="G71" s="158" t="s">
        <v>844</v>
      </c>
      <c r="H71" s="151"/>
      <c r="I71" s="147">
        <f t="shared" si="3"/>
        <v>162.14536051015963</v>
      </c>
      <c r="J71" s="31"/>
      <c r="K71" s="149"/>
      <c r="L71" s="147"/>
      <c r="M71" s="147"/>
      <c r="N71" s="147"/>
      <c r="O71" s="147"/>
      <c r="P71" s="147"/>
      <c r="Q71" s="147"/>
      <c r="R71" s="147"/>
      <c r="S71" s="147"/>
      <c r="T71" s="147"/>
      <c r="U71" s="147"/>
      <c r="V71" s="147"/>
      <c r="W71" s="147"/>
      <c r="X71" s="147"/>
      <c r="Y71" s="147"/>
      <c r="Z71" s="147"/>
      <c r="AA71" s="147"/>
      <c r="AB71" s="147"/>
      <c r="AC71" s="147"/>
      <c r="AD71" s="147"/>
      <c r="AE71" s="147"/>
      <c r="AF71" s="147"/>
      <c r="AG71" s="147"/>
      <c r="AH71" s="147"/>
      <c r="AI71" s="147"/>
      <c r="AJ71" s="147"/>
      <c r="AK71" s="147"/>
      <c r="AL71" s="147"/>
      <c r="AM71" s="147"/>
      <c r="AN71" s="107">
        <f>$I71/AM$37</f>
        <v>4.9890880156972193</v>
      </c>
      <c r="AO71" s="147">
        <f>IF($I71 &gt;0, MIN(AN71,$I71-SUM($L71:AN71)), MAX(AN71,$I71-SUM($L71:AN71)))</f>
        <v>4.9890880156972193</v>
      </c>
      <c r="AP71" s="147">
        <f>IF($I71 &gt;0, MIN(AO71,$I71-SUM($L71:AO71)), MAX(AO71,$I71-SUM($L71:AO71)))</f>
        <v>4.9890880156972193</v>
      </c>
      <c r="AQ71" s="147">
        <f>IF($I71 &gt;0, MIN(AP71,$I71-SUM($L71:AP71)), MAX(AP71,$I71-SUM($L71:AP71)))</f>
        <v>4.9890880156972193</v>
      </c>
      <c r="AR71" s="147">
        <f>IF($I71 &gt;0, MIN(AQ71,$I71-SUM($L71:AQ71)), MAX(AQ71,$I71-SUM($L71:AQ71)))</f>
        <v>4.9890880156972193</v>
      </c>
      <c r="AS71" s="147"/>
      <c r="AT71" s="147"/>
      <c r="AU71" s="147"/>
      <c r="AV71" s="147"/>
      <c r="AW71" s="147"/>
      <c r="AX71" s="147"/>
      <c r="AY71" s="147"/>
      <c r="AZ71" s="147"/>
      <c r="BA71" s="147"/>
      <c r="BB71" s="147"/>
      <c r="BC71" s="147"/>
      <c r="BD71" s="147"/>
      <c r="BE71" s="147"/>
      <c r="BF71" s="147"/>
      <c r="BG71" s="147"/>
      <c r="BH71" s="147"/>
      <c r="BI71" s="147"/>
      <c r="BJ71" s="147"/>
      <c r="BK71" s="147"/>
      <c r="BL71" s="147"/>
      <c r="BM71" s="147"/>
      <c r="BN71" s="147"/>
      <c r="BO71" s="147"/>
      <c r="BP71" s="147"/>
      <c r="BQ71" s="147"/>
      <c r="BR71" s="147"/>
    </row>
    <row r="72" spans="2:73" ht="15" customHeight="1">
      <c r="D72" s="149"/>
      <c r="E72" s="184">
        <v>43921</v>
      </c>
      <c r="G72" s="158" t="s">
        <v>844</v>
      </c>
      <c r="H72" s="151"/>
      <c r="I72" s="147">
        <f t="shared" si="3"/>
        <v>157.21615584475998</v>
      </c>
      <c r="J72" s="31"/>
      <c r="K72" s="149"/>
      <c r="L72" s="147"/>
      <c r="M72" s="147"/>
      <c r="N72" s="147"/>
      <c r="O72" s="147"/>
      <c r="P72" s="147"/>
      <c r="Q72" s="147"/>
      <c r="R72" s="147"/>
      <c r="S72" s="147"/>
      <c r="T72" s="147"/>
      <c r="U72" s="147"/>
      <c r="V72" s="147"/>
      <c r="W72" s="147"/>
      <c r="X72" s="147"/>
      <c r="Y72" s="147"/>
      <c r="Z72" s="147"/>
      <c r="AA72" s="147"/>
      <c r="AB72" s="147"/>
      <c r="AC72" s="147"/>
      <c r="AD72" s="147"/>
      <c r="AE72" s="147"/>
      <c r="AF72" s="147"/>
      <c r="AG72" s="147"/>
      <c r="AH72" s="147"/>
      <c r="AI72" s="147"/>
      <c r="AJ72" s="147"/>
      <c r="AK72" s="147"/>
      <c r="AL72" s="147"/>
      <c r="AM72" s="147"/>
      <c r="AN72" s="147"/>
      <c r="AO72" s="107">
        <f>$I72/AN$37</f>
        <v>4.4130850763441396</v>
      </c>
      <c r="AP72" s="147">
        <f>IF($I72 &gt;0, MIN(AO72,$I72-SUM($L72:AO72)), MAX(AO72,$I72-SUM($L72:AO72)))</f>
        <v>4.4130850763441396</v>
      </c>
      <c r="AQ72" s="147">
        <f>IF($I72 &gt;0, MIN(AP72,$I72-SUM($L72:AP72)), MAX(AP72,$I72-SUM($L72:AP72)))</f>
        <v>4.4130850763441396</v>
      </c>
      <c r="AR72" s="147">
        <f>IF($I72 &gt;0, MIN(AQ72,$I72-SUM($L72:AQ72)), MAX(AQ72,$I72-SUM($L72:AQ72)))</f>
        <v>4.4130850763441396</v>
      </c>
      <c r="AS72" s="147"/>
      <c r="AT72" s="147"/>
      <c r="AU72" s="147"/>
      <c r="AV72" s="147"/>
      <c r="AW72" s="147"/>
      <c r="AX72" s="147"/>
      <c r="AY72" s="147"/>
      <c r="AZ72" s="147"/>
      <c r="BA72" s="147"/>
      <c r="BB72" s="147"/>
      <c r="BC72" s="147"/>
      <c r="BD72" s="147"/>
      <c r="BE72" s="147"/>
      <c r="BF72" s="147"/>
      <c r="BG72" s="147"/>
      <c r="BH72" s="147"/>
      <c r="BI72" s="147"/>
      <c r="BJ72" s="147"/>
      <c r="BK72" s="147"/>
      <c r="BL72" s="147"/>
      <c r="BM72" s="147"/>
      <c r="BN72" s="147"/>
      <c r="BO72" s="147"/>
      <c r="BP72" s="147"/>
      <c r="BQ72" s="147"/>
      <c r="BR72" s="147"/>
      <c r="BS72" s="147"/>
    </row>
    <row r="73" spans="2:73" ht="15" customHeight="1">
      <c r="D73" s="149"/>
      <c r="E73" s="184">
        <v>44286</v>
      </c>
      <c r="G73" s="158" t="s">
        <v>844</v>
      </c>
      <c r="H73" s="151"/>
      <c r="I73" s="147">
        <f t="shared" si="3"/>
        <v>152.36174091460876</v>
      </c>
      <c r="J73" s="31"/>
      <c r="K73" s="149"/>
      <c r="L73" s="147"/>
      <c r="M73" s="147"/>
      <c r="N73" s="147"/>
      <c r="O73" s="147"/>
      <c r="P73" s="147"/>
      <c r="Q73" s="147"/>
      <c r="R73" s="147"/>
      <c r="S73" s="147"/>
      <c r="T73" s="147"/>
      <c r="U73" s="147"/>
      <c r="V73" s="147"/>
      <c r="W73" s="147"/>
      <c r="X73" s="147"/>
      <c r="Y73" s="147"/>
      <c r="Z73" s="147"/>
      <c r="AA73" s="147"/>
      <c r="AB73" s="147"/>
      <c r="AC73" s="147"/>
      <c r="AD73" s="147"/>
      <c r="AE73" s="147"/>
      <c r="AF73" s="147"/>
      <c r="AG73" s="147"/>
      <c r="AH73" s="147"/>
      <c r="AI73" s="147"/>
      <c r="AJ73" s="147"/>
      <c r="AK73" s="147"/>
      <c r="AL73" s="147"/>
      <c r="AM73" s="147"/>
      <c r="AN73" s="147"/>
      <c r="AO73" s="147"/>
      <c r="AP73" s="107">
        <f>$I73/AO$37</f>
        <v>3.9319158945705488</v>
      </c>
      <c r="AQ73" s="147">
        <f>IF($I73 &gt;0, MIN(AP73,$I73-SUM($L73:AP73)), MAX(AP73,$I73-SUM($L73:AP73)))</f>
        <v>3.9319158945705488</v>
      </c>
      <c r="AR73" s="147">
        <f>IF($I73 &gt;0, MIN(AQ73,$I73-SUM($L73:AQ73)), MAX(AQ73,$I73-SUM($L73:AQ73)))</f>
        <v>3.9319158945705488</v>
      </c>
      <c r="AS73" s="147"/>
      <c r="AT73" s="147"/>
      <c r="AU73" s="147"/>
      <c r="AV73" s="147"/>
      <c r="AW73" s="147"/>
      <c r="AX73" s="147"/>
      <c r="AY73" s="147"/>
      <c r="AZ73" s="147"/>
      <c r="BA73" s="147"/>
      <c r="BB73" s="147"/>
      <c r="BC73" s="147"/>
      <c r="BD73" s="147"/>
      <c r="BE73" s="147"/>
      <c r="BF73" s="147"/>
      <c r="BG73" s="147"/>
      <c r="BH73" s="147"/>
      <c r="BI73" s="147"/>
      <c r="BJ73" s="147"/>
      <c r="BK73" s="147"/>
      <c r="BL73" s="147"/>
      <c r="BM73" s="147"/>
      <c r="BN73" s="147"/>
      <c r="BO73" s="147"/>
      <c r="BP73" s="147"/>
      <c r="BQ73" s="147"/>
      <c r="BR73" s="147"/>
      <c r="BS73" s="147"/>
      <c r="BT73" s="147"/>
    </row>
    <row r="74" spans="2:73" ht="15" customHeight="1">
      <c r="D74" s="149"/>
      <c r="E74" s="307">
        <v>44651</v>
      </c>
      <c r="F74" s="154"/>
      <c r="G74" s="154" t="s">
        <v>844</v>
      </c>
      <c r="H74" s="156"/>
      <c r="I74" s="157">
        <f t="shared" si="3"/>
        <v>152.79897079574016</v>
      </c>
      <c r="J74" s="31"/>
      <c r="K74" s="149"/>
      <c r="L74" s="147"/>
      <c r="M74" s="147"/>
      <c r="N74" s="147"/>
      <c r="O74" s="147"/>
      <c r="P74" s="147"/>
      <c r="Q74" s="147"/>
      <c r="R74" s="147"/>
      <c r="S74" s="147"/>
      <c r="T74" s="147"/>
      <c r="U74" s="147"/>
      <c r="V74" s="147"/>
      <c r="W74" s="147"/>
      <c r="X74" s="147"/>
      <c r="Y74" s="147"/>
      <c r="Z74" s="147"/>
      <c r="AA74" s="147"/>
      <c r="AB74" s="147"/>
      <c r="AC74" s="147"/>
      <c r="AD74" s="147"/>
      <c r="AE74" s="147"/>
      <c r="AF74" s="147"/>
      <c r="AG74" s="147"/>
      <c r="AH74" s="147"/>
      <c r="AI74" s="147"/>
      <c r="AJ74" s="147"/>
      <c r="AK74" s="147"/>
      <c r="AL74" s="147"/>
      <c r="AM74" s="147"/>
      <c r="AN74" s="147"/>
      <c r="AO74" s="147"/>
      <c r="AP74" s="147"/>
      <c r="AQ74" s="107">
        <f>$I74/AP$37</f>
        <v>3.6489306458684219</v>
      </c>
      <c r="AR74" s="147">
        <f>IF($I74 &gt;0, MIN(AQ74,$I74-SUM($L74:AQ74)), MAX(AQ74,$I74-SUM($L74:AQ74)))</f>
        <v>3.6489306458684219</v>
      </c>
      <c r="AS74" s="147"/>
      <c r="AT74" s="147"/>
      <c r="AU74" s="147"/>
      <c r="AV74" s="147"/>
      <c r="AW74" s="147"/>
      <c r="AX74" s="147"/>
      <c r="AY74" s="147"/>
      <c r="AZ74" s="147"/>
      <c r="BA74" s="147"/>
      <c r="BB74" s="147"/>
      <c r="BC74" s="147"/>
      <c r="BD74" s="147"/>
      <c r="BE74" s="147"/>
      <c r="BF74" s="147"/>
      <c r="BG74" s="147"/>
      <c r="BH74" s="147"/>
      <c r="BI74" s="147"/>
      <c r="BJ74" s="147"/>
      <c r="BK74" s="147"/>
      <c r="BL74" s="147"/>
      <c r="BM74" s="147"/>
      <c r="BN74" s="147"/>
      <c r="BO74" s="147"/>
      <c r="BP74" s="147"/>
      <c r="BQ74" s="147"/>
      <c r="BR74" s="147"/>
      <c r="BS74" s="147"/>
      <c r="BT74" s="147"/>
      <c r="BU74" s="147"/>
    </row>
    <row r="75" spans="2:73" ht="15" customHeight="1">
      <c r="D75" s="149"/>
      <c r="E75" s="307">
        <v>45016</v>
      </c>
      <c r="F75" s="154"/>
      <c r="G75" s="154" t="s">
        <v>844</v>
      </c>
      <c r="H75" s="156"/>
      <c r="I75" s="157">
        <f t="shared" si="3"/>
        <v>148.8695577731709</v>
      </c>
      <c r="J75" s="31"/>
      <c r="K75" s="149"/>
      <c r="L75" s="147"/>
      <c r="M75" s="147"/>
      <c r="N75" s="147"/>
      <c r="O75" s="147"/>
      <c r="P75" s="147"/>
      <c r="Q75" s="147"/>
      <c r="R75" s="147"/>
      <c r="S75" s="147"/>
      <c r="T75" s="147"/>
      <c r="U75" s="147"/>
      <c r="V75" s="147"/>
      <c r="W75" s="147"/>
      <c r="X75" s="147"/>
      <c r="Y75" s="147"/>
      <c r="Z75" s="147"/>
      <c r="AA75" s="147"/>
      <c r="AB75" s="147"/>
      <c r="AC75" s="147"/>
      <c r="AD75" s="147"/>
      <c r="AE75" s="147"/>
      <c r="AF75" s="147"/>
      <c r="AG75" s="147"/>
      <c r="AH75" s="147"/>
      <c r="AI75" s="147"/>
      <c r="AJ75" s="147"/>
      <c r="AK75" s="147"/>
      <c r="AL75" s="147"/>
      <c r="AM75" s="147"/>
      <c r="AN75" s="147"/>
      <c r="AO75" s="147"/>
      <c r="AP75" s="147"/>
      <c r="AQ75" s="147"/>
    </row>
    <row r="76" spans="2:73" ht="15" customHeight="1">
      <c r="H76" s="147"/>
      <c r="I76" s="147"/>
      <c r="J76" s="31"/>
      <c r="K76" s="147"/>
      <c r="L76" s="147"/>
      <c r="M76" s="147"/>
      <c r="N76" s="147"/>
      <c r="O76" s="147"/>
      <c r="P76" s="147"/>
      <c r="Q76" s="147"/>
      <c r="R76" s="147"/>
      <c r="S76" s="147"/>
      <c r="T76" s="147"/>
      <c r="U76" s="147"/>
      <c r="V76" s="147"/>
      <c r="W76" s="147"/>
      <c r="X76" s="147"/>
      <c r="Y76" s="147"/>
      <c r="Z76" s="147"/>
      <c r="AA76" s="147"/>
      <c r="AB76" s="147"/>
      <c r="AC76" s="147"/>
      <c r="AD76" s="147"/>
      <c r="AE76" s="147"/>
      <c r="AF76" s="147"/>
      <c r="AG76" s="147"/>
      <c r="AH76" s="147"/>
      <c r="AI76" s="147"/>
      <c r="AJ76" s="147"/>
      <c r="AK76" s="147"/>
      <c r="AL76" s="147"/>
      <c r="AM76" s="147"/>
      <c r="AN76" s="147"/>
      <c r="AO76" s="147"/>
      <c r="AP76" s="147"/>
      <c r="AQ76" s="147"/>
    </row>
    <row r="77" spans="2:73" s="151" customFormat="1" ht="15" customHeight="1">
      <c r="B77" s="147"/>
      <c r="C77" s="17" t="s">
        <v>650</v>
      </c>
      <c r="D77" s="17"/>
      <c r="E77" s="17"/>
      <c r="F77" s="17"/>
      <c r="G77" s="17"/>
      <c r="H77" s="17"/>
      <c r="I77" s="332"/>
      <c r="J77" s="345"/>
      <c r="K77" s="332"/>
      <c r="L77" s="332"/>
      <c r="M77" s="332"/>
      <c r="N77" s="332"/>
      <c r="O77" s="332"/>
      <c r="P77" s="332"/>
      <c r="Q77" s="332"/>
      <c r="R77" s="332"/>
      <c r="S77" s="332"/>
      <c r="T77" s="332"/>
      <c r="U77" s="332"/>
      <c r="V77" s="332"/>
      <c r="W77" s="332"/>
      <c r="X77" s="332"/>
      <c r="Y77" s="332"/>
      <c r="Z77" s="332"/>
      <c r="AA77" s="332"/>
      <c r="AB77" s="332"/>
      <c r="AC77" s="332"/>
      <c r="AD77" s="332"/>
      <c r="AE77" s="332"/>
      <c r="AF77" s="332"/>
      <c r="AG77" s="332"/>
      <c r="AH77" s="332"/>
      <c r="AI77" s="332"/>
      <c r="AJ77" s="332"/>
      <c r="AK77" s="332"/>
      <c r="AL77" s="332"/>
      <c r="AM77" s="332"/>
      <c r="AN77" s="332"/>
      <c r="AO77" s="332"/>
      <c r="AP77" s="332"/>
      <c r="AQ77" s="332"/>
    </row>
    <row r="78" spans="2:73" s="151" customFormat="1" ht="15" customHeight="1">
      <c r="B78" s="147"/>
      <c r="C78" s="166" t="s">
        <v>649</v>
      </c>
      <c r="D78" s="166"/>
      <c r="E78" s="166"/>
      <c r="F78" s="166"/>
      <c r="G78" s="166"/>
      <c r="H78" s="166"/>
      <c r="I78" s="197"/>
      <c r="J78" s="197"/>
      <c r="K78" s="197"/>
      <c r="L78" s="197"/>
      <c r="M78" s="197"/>
      <c r="N78" s="197"/>
      <c r="O78" s="197"/>
      <c r="P78" s="197"/>
      <c r="Q78" s="197"/>
      <c r="R78" s="197"/>
      <c r="S78" s="197"/>
      <c r="T78" s="197"/>
      <c r="U78" s="197"/>
      <c r="V78" s="197"/>
      <c r="W78" s="197"/>
      <c r="X78" s="197"/>
      <c r="Y78" s="197"/>
      <c r="Z78" s="197"/>
      <c r="AA78" s="197"/>
      <c r="AB78" s="197"/>
      <c r="AC78" s="197"/>
      <c r="AD78" s="197"/>
      <c r="AE78" s="197"/>
      <c r="AF78" s="197"/>
      <c r="AG78" s="197"/>
      <c r="AH78" s="197"/>
      <c r="AI78" s="197"/>
      <c r="AJ78" s="197"/>
      <c r="AK78" s="197"/>
      <c r="AL78" s="197"/>
      <c r="AM78" s="197"/>
      <c r="AN78" s="197"/>
      <c r="AO78" s="197"/>
      <c r="AP78" s="197"/>
      <c r="AQ78" s="197"/>
    </row>
    <row r="79" spans="2:73" s="151" customFormat="1" ht="15" customHeight="1">
      <c r="B79" s="147"/>
      <c r="D79" s="147"/>
      <c r="E79" s="147"/>
      <c r="F79" s="147"/>
      <c r="G79" s="147"/>
      <c r="H79" s="147"/>
      <c r="I79" s="147"/>
      <c r="J79" s="31"/>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row>
    <row r="80" spans="2:73" s="151" customFormat="1" ht="15" customHeight="1">
      <c r="B80" s="147"/>
      <c r="D80" s="36" t="s">
        <v>120</v>
      </c>
      <c r="E80" s="36"/>
      <c r="F80" s="36"/>
      <c r="G80" s="36"/>
      <c r="H80" s="36"/>
      <c r="I80" s="201"/>
      <c r="J80" s="347"/>
      <c r="K80" s="201"/>
      <c r="L80" s="201"/>
      <c r="M80" s="201"/>
      <c r="N80" s="201"/>
      <c r="O80" s="201"/>
      <c r="P80" s="201"/>
      <c r="Q80" s="201"/>
      <c r="R80" s="201"/>
      <c r="S80" s="201"/>
      <c r="T80" s="201"/>
      <c r="U80" s="201"/>
      <c r="V80" s="201"/>
      <c r="W80" s="201"/>
      <c r="X80" s="201"/>
      <c r="Y80" s="201"/>
      <c r="Z80" s="201"/>
      <c r="AA80" s="201"/>
      <c r="AB80" s="201"/>
      <c r="AC80" s="201"/>
      <c r="AD80" s="201"/>
      <c r="AE80" s="201"/>
      <c r="AF80" s="201"/>
      <c r="AG80" s="201"/>
      <c r="AH80" s="201"/>
      <c r="AI80" s="201"/>
      <c r="AJ80" s="201"/>
      <c r="AK80" s="201"/>
      <c r="AL80" s="201"/>
      <c r="AM80" s="201"/>
      <c r="AN80" s="201"/>
      <c r="AO80" s="201"/>
      <c r="AP80" s="201"/>
      <c r="AQ80" s="201"/>
    </row>
    <row r="81" spans="2:44" s="151" customFormat="1" ht="15" customHeight="1">
      <c r="B81" s="147"/>
      <c r="D81" s="147"/>
      <c r="E81" s="147"/>
      <c r="F81" s="147"/>
      <c r="G81" s="147"/>
      <c r="H81" s="147"/>
      <c r="I81" s="147"/>
      <c r="J81" s="31"/>
      <c r="K81" s="147"/>
      <c r="L81" s="147"/>
      <c r="M81" s="147"/>
      <c r="N81" s="147"/>
      <c r="O81" s="147"/>
      <c r="P81" s="147"/>
      <c r="Q81" s="147"/>
      <c r="R81" s="147"/>
      <c r="S81" s="147"/>
      <c r="T81" s="147"/>
      <c r="U81" s="147"/>
      <c r="V81" s="147"/>
      <c r="W81" s="147"/>
      <c r="X81" s="147"/>
      <c r="Y81" s="147"/>
      <c r="Z81" s="147"/>
      <c r="AA81" s="147"/>
      <c r="AB81" s="147"/>
      <c r="AC81" s="147"/>
      <c r="AD81" s="147"/>
      <c r="AE81" s="147"/>
      <c r="AF81" s="147"/>
      <c r="AG81" s="147"/>
      <c r="AH81" s="147"/>
      <c r="AI81" s="147"/>
      <c r="AJ81" s="147"/>
      <c r="AK81" s="147"/>
      <c r="AL81" s="147"/>
      <c r="AM81" s="147"/>
      <c r="AN81" s="147"/>
      <c r="AO81" s="147"/>
      <c r="AP81" s="147"/>
      <c r="AQ81" s="147"/>
    </row>
    <row r="82" spans="2:44" s="151" customFormat="1" ht="15" customHeight="1">
      <c r="E82" s="147" t="s">
        <v>648</v>
      </c>
      <c r="F82" s="147"/>
      <c r="G82" s="147" t="s">
        <v>51</v>
      </c>
      <c r="H82" s="147"/>
      <c r="I82" s="147"/>
      <c r="J82" s="31" t="s">
        <v>56</v>
      </c>
      <c r="K82" s="309">
        <f>Input!K325</f>
        <v>33.299999999999997</v>
      </c>
      <c r="L82" s="309">
        <f>Input!L325</f>
        <v>33.299999999999997</v>
      </c>
      <c r="M82" s="309">
        <f>Input!M325</f>
        <v>33.299999999999997</v>
      </c>
      <c r="N82" s="309">
        <f>Input!N325</f>
        <v>33.299999999999997</v>
      </c>
      <c r="O82" s="309">
        <f>Input!O325</f>
        <v>33.299999999999997</v>
      </c>
      <c r="P82" s="309">
        <f>Input!P325</f>
        <v>33.299999999999997</v>
      </c>
      <c r="Q82" s="309">
        <f>Input!Q325</f>
        <v>33.299999999999997</v>
      </c>
      <c r="R82" s="309">
        <f>Input!R325</f>
        <v>33.299999999999997</v>
      </c>
      <c r="S82" s="309">
        <f>Input!S325</f>
        <v>33.299999999999997</v>
      </c>
      <c r="T82" s="309">
        <f>Input!T325</f>
        <v>33.299999999999997</v>
      </c>
      <c r="U82" s="309">
        <f>Input!U325</f>
        <v>33.299999999999997</v>
      </c>
      <c r="V82" s="309">
        <f>Input!V325</f>
        <v>33.299999999999997</v>
      </c>
      <c r="W82" s="309">
        <f>Input!W325</f>
        <v>33.299999999999997</v>
      </c>
      <c r="X82" s="309">
        <f>Input!X325</f>
        <v>33.299999999999997</v>
      </c>
      <c r="Y82" s="309">
        <f>Input!Y325</f>
        <v>33.299999999999997</v>
      </c>
      <c r="Z82" s="309">
        <f>Input!Z325</f>
        <v>33.299999999999997</v>
      </c>
      <c r="AA82" s="309">
        <f>Input!AA325</f>
        <v>33.299999999999997</v>
      </c>
      <c r="AB82" s="309">
        <f>Input!AB325</f>
        <v>33.299999999999997</v>
      </c>
      <c r="AC82" s="309">
        <f>Input!AC325</f>
        <v>33.299999999999997</v>
      </c>
      <c r="AD82" s="309">
        <f>Input!AD325</f>
        <v>33.299999999999997</v>
      </c>
      <c r="AE82" s="309">
        <f>Input!AE325</f>
        <v>33.299999999999997</v>
      </c>
      <c r="AF82" s="309">
        <f>Input!AF325</f>
        <v>33.299999999999997</v>
      </c>
      <c r="AG82" s="309">
        <f>Input!AG325</f>
        <v>33.299999999999997</v>
      </c>
      <c r="AH82" s="309">
        <f>Input!AH325</f>
        <v>33.299999999999997</v>
      </c>
      <c r="AI82" s="309">
        <f>Input!AI325</f>
        <v>33.299999999999997</v>
      </c>
      <c r="AJ82" s="309">
        <f>Input!AJ325</f>
        <v>23.125</v>
      </c>
      <c r="AK82" s="309">
        <f>Input!AK325</f>
        <v>26.25</v>
      </c>
      <c r="AL82" s="309">
        <f>Input!AL325</f>
        <v>29.375</v>
      </c>
      <c r="AM82" s="309">
        <f>Input!AM325</f>
        <v>32.5</v>
      </c>
      <c r="AN82" s="309">
        <f>Input!AN325</f>
        <v>35.625</v>
      </c>
      <c r="AO82" s="309">
        <f>Input!AO325</f>
        <v>38.75</v>
      </c>
      <c r="AP82" s="309">
        <f>Input!AP325</f>
        <v>41.875</v>
      </c>
      <c r="AQ82" s="309">
        <f>Input!AQ325</f>
        <v>45</v>
      </c>
    </row>
    <row r="83" spans="2:44" s="151" customFormat="1" ht="15" customHeight="1">
      <c r="E83" s="147" t="s">
        <v>647</v>
      </c>
      <c r="F83" s="147"/>
      <c r="G83" s="147" t="s">
        <v>61</v>
      </c>
      <c r="H83" s="147"/>
      <c r="I83" s="147"/>
      <c r="J83" s="31" t="s">
        <v>56</v>
      </c>
      <c r="K83" s="107"/>
      <c r="L83" s="147" t="b">
        <f t="shared" ref="L83:Y83" si="4">YEAR(L$7) &lt; YEAR($I$28) +  IF($I$30=12,$I$29,$I$29+1)</f>
        <v>1</v>
      </c>
      <c r="M83" s="147" t="b">
        <f t="shared" si="4"/>
        <v>1</v>
      </c>
      <c r="N83" s="147" t="b">
        <f t="shared" si="4"/>
        <v>1</v>
      </c>
      <c r="O83" s="147" t="b">
        <f t="shared" si="4"/>
        <v>1</v>
      </c>
      <c r="P83" s="147" t="b">
        <f t="shared" si="4"/>
        <v>1</v>
      </c>
      <c r="Q83" s="147" t="b">
        <f t="shared" si="4"/>
        <v>1</v>
      </c>
      <c r="R83" s="147" t="b">
        <f t="shared" si="4"/>
        <v>1</v>
      </c>
      <c r="S83" s="147" t="b">
        <f t="shared" si="4"/>
        <v>1</v>
      </c>
      <c r="T83" s="147" t="b">
        <f t="shared" si="4"/>
        <v>1</v>
      </c>
      <c r="U83" s="147" t="b">
        <f t="shared" si="4"/>
        <v>1</v>
      </c>
      <c r="V83" s="147" t="b">
        <f t="shared" si="4"/>
        <v>1</v>
      </c>
      <c r="W83" s="147" t="b">
        <f t="shared" si="4"/>
        <v>1</v>
      </c>
      <c r="X83" s="147" t="b">
        <f t="shared" si="4"/>
        <v>1</v>
      </c>
      <c r="Y83" s="147" t="b">
        <f t="shared" si="4"/>
        <v>0</v>
      </c>
      <c r="Z83" s="157" t="b">
        <f>YEAR(Z$7) &lt; YEAR($I$28) +  IF($I$30=12,$I$29,$I$29+1)</f>
        <v>0</v>
      </c>
      <c r="AA83" s="147" t="b">
        <f t="shared" ref="AA83:AQ83" si="5">YEAR(AA$7) &lt; YEAR($I$28) +  IF($I$30=12,$I$29,$I$29+1)</f>
        <v>0</v>
      </c>
      <c r="AB83" s="147" t="b">
        <f t="shared" si="5"/>
        <v>0</v>
      </c>
      <c r="AC83" s="147" t="b">
        <f t="shared" si="5"/>
        <v>0</v>
      </c>
      <c r="AD83" s="147" t="b">
        <f t="shared" si="5"/>
        <v>0</v>
      </c>
      <c r="AE83" s="147" t="b">
        <f t="shared" si="5"/>
        <v>0</v>
      </c>
      <c r="AF83" s="147" t="b">
        <f t="shared" si="5"/>
        <v>0</v>
      </c>
      <c r="AG83" s="147" t="b">
        <f t="shared" si="5"/>
        <v>0</v>
      </c>
      <c r="AH83" s="147" t="b">
        <f t="shared" si="5"/>
        <v>0</v>
      </c>
      <c r="AI83" s="147" t="b">
        <f t="shared" si="5"/>
        <v>0</v>
      </c>
      <c r="AJ83" s="147" t="b">
        <f t="shared" si="5"/>
        <v>0</v>
      </c>
      <c r="AK83" s="147" t="b">
        <f t="shared" si="5"/>
        <v>0</v>
      </c>
      <c r="AL83" s="147" t="b">
        <f t="shared" si="5"/>
        <v>0</v>
      </c>
      <c r="AM83" s="147" t="b">
        <f t="shared" si="5"/>
        <v>0</v>
      </c>
      <c r="AN83" s="147" t="b">
        <f t="shared" si="5"/>
        <v>0</v>
      </c>
      <c r="AO83" s="147" t="b">
        <f t="shared" si="5"/>
        <v>0</v>
      </c>
      <c r="AP83" s="147" t="b">
        <f t="shared" si="5"/>
        <v>0</v>
      </c>
      <c r="AQ83" s="147" t="b">
        <f t="shared" si="5"/>
        <v>0</v>
      </c>
    </row>
    <row r="84" spans="2:44" s="151" customFormat="1" ht="15" customHeight="1">
      <c r="E84" s="147"/>
      <c r="F84" s="147"/>
      <c r="G84" s="147"/>
      <c r="H84" s="147"/>
      <c r="I84" s="147"/>
      <c r="J84" s="31"/>
      <c r="K84" s="147"/>
      <c r="L84" s="147"/>
      <c r="M84" s="147"/>
      <c r="N84" s="147"/>
      <c r="O84" s="147"/>
      <c r="P84" s="147"/>
      <c r="Q84" s="147"/>
      <c r="R84" s="147"/>
      <c r="S84" s="147"/>
      <c r="T84" s="147"/>
      <c r="U84" s="147"/>
      <c r="V84" s="147"/>
      <c r="W84" s="147"/>
      <c r="X84" s="147"/>
      <c r="Y84" s="147"/>
      <c r="Z84" s="147"/>
      <c r="AA84" s="147"/>
      <c r="AB84" s="147"/>
      <c r="AC84" s="147"/>
      <c r="AD84" s="147"/>
      <c r="AE84" s="147"/>
      <c r="AF84" s="147"/>
      <c r="AG84" s="147"/>
      <c r="AH84" s="147"/>
      <c r="AI84" s="147"/>
      <c r="AJ84" s="147"/>
      <c r="AK84" s="147"/>
      <c r="AL84" s="147"/>
      <c r="AM84" s="147"/>
      <c r="AN84" s="147"/>
      <c r="AO84" s="147"/>
      <c r="AP84" s="147"/>
      <c r="AQ84" s="147"/>
    </row>
    <row r="85" spans="2:44" ht="15" customHeight="1">
      <c r="D85" s="36" t="s">
        <v>118</v>
      </c>
      <c r="E85" s="36"/>
      <c r="F85" s="36"/>
      <c r="G85" s="36"/>
      <c r="H85" s="36"/>
      <c r="I85" s="201"/>
      <c r="J85" s="347"/>
      <c r="K85" s="201"/>
      <c r="L85" s="201"/>
      <c r="M85" s="201"/>
      <c r="N85" s="201"/>
      <c r="O85" s="201"/>
      <c r="P85" s="201"/>
      <c r="Q85" s="201"/>
      <c r="R85" s="201"/>
      <c r="S85" s="201"/>
      <c r="T85" s="201"/>
      <c r="U85" s="201"/>
      <c r="V85" s="201"/>
      <c r="W85" s="201"/>
      <c r="X85" s="201"/>
      <c r="Y85" s="201"/>
      <c r="Z85" s="201"/>
      <c r="AA85" s="201"/>
      <c r="AB85" s="201"/>
      <c r="AC85" s="201"/>
      <c r="AD85" s="201"/>
      <c r="AE85" s="201"/>
      <c r="AF85" s="201"/>
      <c r="AG85" s="201"/>
      <c r="AH85" s="201"/>
      <c r="AI85" s="201"/>
      <c r="AJ85" s="201"/>
      <c r="AK85" s="201"/>
      <c r="AL85" s="201"/>
      <c r="AM85" s="201"/>
      <c r="AN85" s="201"/>
      <c r="AO85" s="201"/>
      <c r="AP85" s="201"/>
      <c r="AQ85" s="201"/>
    </row>
    <row r="86" spans="2:44" ht="15" customHeight="1">
      <c r="D86" s="149"/>
      <c r="E86" s="149"/>
      <c r="I86" s="149"/>
      <c r="J86" s="153"/>
      <c r="K86" s="147"/>
      <c r="L86" s="147"/>
      <c r="M86" s="147"/>
      <c r="N86" s="147"/>
      <c r="O86" s="147"/>
      <c r="P86" s="147"/>
      <c r="Q86" s="147"/>
      <c r="R86" s="147"/>
      <c r="S86" s="147"/>
      <c r="T86" s="147"/>
      <c r="U86" s="147"/>
      <c r="V86" s="147"/>
      <c r="W86" s="147"/>
      <c r="X86" s="147"/>
      <c r="Y86" s="147"/>
      <c r="Z86" s="147"/>
      <c r="AA86" s="147"/>
      <c r="AB86" s="147"/>
      <c r="AC86" s="147"/>
      <c r="AD86" s="147"/>
      <c r="AE86" s="147"/>
      <c r="AF86" s="147"/>
      <c r="AG86" s="147"/>
      <c r="AH86" s="147"/>
      <c r="AI86" s="147"/>
      <c r="AJ86" s="147"/>
      <c r="AK86" s="147"/>
      <c r="AL86" s="147"/>
      <c r="AM86" s="147"/>
      <c r="AN86" s="147"/>
      <c r="AO86" s="147"/>
      <c r="AP86" s="147"/>
      <c r="AQ86" s="147"/>
    </row>
    <row r="87" spans="2:44" ht="15" customHeight="1">
      <c r="D87" s="149"/>
      <c r="E87" s="106" t="s">
        <v>646</v>
      </c>
      <c r="I87" s="106" t="s">
        <v>28</v>
      </c>
      <c r="J87" s="153"/>
      <c r="K87" s="147"/>
      <c r="L87" s="147"/>
      <c r="M87" s="147"/>
      <c r="N87" s="147"/>
      <c r="O87" s="147"/>
      <c r="P87" s="147"/>
      <c r="Q87" s="147"/>
      <c r="R87" s="147"/>
      <c r="S87" s="147"/>
      <c r="T87" s="147"/>
      <c r="U87" s="147"/>
      <c r="V87" s="147"/>
      <c r="W87" s="147"/>
      <c r="X87" s="147"/>
      <c r="Y87" s="147"/>
      <c r="Z87" s="147"/>
      <c r="AA87" s="147"/>
      <c r="AB87" s="147"/>
      <c r="AC87" s="147"/>
      <c r="AD87" s="147"/>
      <c r="AE87" s="147"/>
      <c r="AF87" s="147"/>
      <c r="AG87" s="147"/>
      <c r="AH87" s="147"/>
      <c r="AI87" s="147"/>
      <c r="AJ87" s="147"/>
      <c r="AK87" s="147"/>
      <c r="AL87" s="147"/>
      <c r="AM87" s="147"/>
      <c r="AN87" s="147"/>
      <c r="AO87" s="147"/>
      <c r="AP87" s="147"/>
      <c r="AQ87" s="147"/>
    </row>
    <row r="88" spans="2:44" ht="15" customHeight="1">
      <c r="D88" s="149"/>
      <c r="E88" s="184">
        <v>33328</v>
      </c>
      <c r="G88" s="158" t="s">
        <v>844</v>
      </c>
      <c r="H88" s="151"/>
      <c r="I88" s="147">
        <f>INDEX($K$18:$AQ$18,1,MATCH(E88,$K$7:$AQ$7,0))</f>
        <v>21.107503804376339</v>
      </c>
      <c r="J88" s="31" t="s">
        <v>56</v>
      </c>
      <c r="K88" s="149"/>
      <c r="L88" s="107">
        <f>$I88/K$82</f>
        <v>0.63385897310439465</v>
      </c>
      <c r="M88" s="147">
        <f>IF($I88 &gt;0, MIN(L88,$I88-SUM($L88:L88)), MAX(L88,$I88-SUM($L88:L88)))</f>
        <v>0.63385897310439465</v>
      </c>
      <c r="N88" s="147">
        <f>IF($I88 &gt;0, MIN(M88,$I88-SUM($L88:M88)), MAX(M88,$I88-SUM($L88:M88)))</f>
        <v>0.63385897310439465</v>
      </c>
      <c r="O88" s="147">
        <f>IF($I88 &gt;0, MIN(N88,$I88-SUM($L88:N88)), MAX(N88,$I88-SUM($L88:N88)))</f>
        <v>0.63385897310439465</v>
      </c>
      <c r="P88" s="147">
        <f>IF($I88 &gt;0, MIN(O88,$I88-SUM($L88:O88)), MAX(O88,$I88-SUM($L88:O88)))</f>
        <v>0.63385897310439465</v>
      </c>
      <c r="Q88" s="147">
        <f>IF($I88 &gt;0, MIN(P88,$I88-SUM($L88:P88)), MAX(P88,$I88-SUM($L88:P88)))</f>
        <v>0.63385897310439465</v>
      </c>
      <c r="R88" s="147">
        <f>IF($I88 &gt;0, MIN(Q88,$I88-SUM($L88:Q88)), MAX(Q88,$I88-SUM($L88:Q88)))</f>
        <v>0.63385897310439465</v>
      </c>
      <c r="S88" s="147">
        <f>IF($I88 &gt;0, MIN(R88,$I88-SUM($L88:R88)), MAX(R88,$I88-SUM($L88:R88)))</f>
        <v>0.63385897310439465</v>
      </c>
      <c r="T88" s="147">
        <f>IF($I88 &gt;0, MIN(S88,$I88-SUM($L88:S88)), MAX(S88,$I88-SUM($L88:S88)))</f>
        <v>0.63385897310439465</v>
      </c>
      <c r="U88" s="147">
        <f>IF($I88 &gt;0, MIN(T88,$I88-SUM($L88:T88)), MAX(T88,$I88-SUM($L88:T88)))</f>
        <v>0.63385897310439465</v>
      </c>
      <c r="V88" s="147">
        <f>IF($I88 &gt;0, MIN(U88,$I88-SUM($L88:U88)), MAX(U88,$I88-SUM($L88:U88)))</f>
        <v>0.63385897310439465</v>
      </c>
      <c r="W88" s="147">
        <f>IF($I88 &gt;0, MIN(V88,$I88-SUM($L88:V88)), MAX(V88,$I88-SUM($L88:V88)))</f>
        <v>0.63385897310439465</v>
      </c>
      <c r="X88" s="147">
        <f>IF($I88 &gt;0, MIN(W88,$I88-SUM($L88:W88)), MAX(W88,$I88-SUM($L88:W88)))</f>
        <v>0.63385897310439465</v>
      </c>
      <c r="Y88" s="147">
        <f>IF($I88 &gt;0, MIN(X88,$I88-SUM($L88:X88)), MAX(X88,$I88-SUM($L88:X88)))</f>
        <v>0.63385897310439465</v>
      </c>
      <c r="Z88" s="147">
        <f>IF($I88 &gt;0, MIN(Y88,$I88-SUM($L88:Y88)), MAX(Y88,$I88-SUM($L88:Y88)))</f>
        <v>0.63385897310439465</v>
      </c>
      <c r="AA88" s="147">
        <f>IF($I88 &gt;0, MIN(Z88,$I88-SUM($L88:Z88)), MAX(Z88,$I88-SUM($L88:Z88)))</f>
        <v>0.63385897310439465</v>
      </c>
      <c r="AB88" s="147">
        <f>IF($I88 &gt;0, MIN(AA88,$I88-SUM($L88:AA88)), MAX(AA88,$I88-SUM($L88:AA88)))</f>
        <v>0.63385897310439465</v>
      </c>
      <c r="AC88" s="147">
        <f>IF($I88 &gt;0, MIN(AB88,$I88-SUM($L88:AB88)), MAX(AB88,$I88-SUM($L88:AB88)))</f>
        <v>0.63385897310439465</v>
      </c>
      <c r="AD88" s="147">
        <f>IF($I88 &gt;0, MIN(AC88,$I88-SUM($L88:AC88)), MAX(AC88,$I88-SUM($L88:AC88)))</f>
        <v>0.63385897310439465</v>
      </c>
      <c r="AE88" s="147">
        <f>IF($I88 &gt;0, MIN(AD88,$I88-SUM($L88:AD88)), MAX(AD88,$I88-SUM($L88:AD88)))</f>
        <v>0.63385897310439465</v>
      </c>
      <c r="AF88" s="147">
        <f>IF($I88 &gt;0, MIN(AE88,$I88-SUM($L88:AE88)), MAX(AE88,$I88-SUM($L88:AE88)))</f>
        <v>0.63385897310439465</v>
      </c>
      <c r="AG88" s="147">
        <f>IF($I88 &gt;0, MIN(AF88,$I88-SUM($L88:AF88)), MAX(AF88,$I88-SUM($L88:AF88)))</f>
        <v>0.63385897310439465</v>
      </c>
      <c r="AH88" s="147">
        <f>IF($I88 &gt;0, MIN(AG88,$I88-SUM($L88:AG88)), MAX(AG88,$I88-SUM($L88:AG88)))</f>
        <v>0.63385897310439465</v>
      </c>
      <c r="AI88" s="147">
        <f>IF($I88 &gt;0, MIN(AH88,$I88-SUM($L88:AH88)), MAX(AH88,$I88-SUM($L88:AH88)))</f>
        <v>0.63385897310439465</v>
      </c>
      <c r="AJ88" s="147">
        <f>IF($I88 &gt;0, MIN(AI88,$I88-SUM($L88:AI88)), MAX(AI88,$I88-SUM($L88:AI88)))</f>
        <v>0.63385897310439465</v>
      </c>
      <c r="AK88" s="147">
        <f>IF($I88 &gt;0, MIN(AJ88,$I88-SUM($L88:AJ88)), MAX(AJ88,$I88-SUM($L88:AJ88)))</f>
        <v>0.63385897310439465</v>
      </c>
      <c r="AL88" s="147">
        <f>IF($I88 &gt;0, MIN(AK88,$I88-SUM($L88:AK88)), MAX(AK88,$I88-SUM($L88:AK88)))</f>
        <v>0.63385897310439465</v>
      </c>
      <c r="AM88" s="147">
        <f>IF($I88 &gt;0, MIN(AL88,$I88-SUM($L88:AL88)), MAX(AL88,$I88-SUM($L88:AL88)))</f>
        <v>0.63385897310439465</v>
      </c>
      <c r="AN88" s="147">
        <f>IF($I88 &gt;0, MIN(AM88,$I88-SUM($L88:AM88)), MAX(AM88,$I88-SUM($L88:AM88)))</f>
        <v>0.63385897310439465</v>
      </c>
      <c r="AO88" s="147">
        <f>IF($I88 &gt;0, MIN(AN88,$I88-SUM($L88:AN88)), MAX(AN88,$I88-SUM($L88:AN88)))</f>
        <v>0.63385897310439465</v>
      </c>
      <c r="AP88" s="147">
        <f>IF($I88 &gt;0, MIN(AO88,$I88-SUM($L88:AO88)), MAX(AO88,$I88-SUM($L88:AO88)))</f>
        <v>0.63385897310439465</v>
      </c>
      <c r="AQ88" s="147">
        <f>IF($I88 &gt;0, MIN(AP88,$I88-SUM($L88:AP88)), MAX(AP88,$I88-SUM($L88:AP88)))</f>
        <v>0.63385897310439465</v>
      </c>
    </row>
    <row r="89" spans="2:44" ht="15" customHeight="1">
      <c r="D89" s="149"/>
      <c r="E89" s="184">
        <v>33694</v>
      </c>
      <c r="G89" s="158" t="s">
        <v>844</v>
      </c>
      <c r="H89" s="151"/>
      <c r="I89" s="147">
        <f t="shared" ref="I89:I118" si="6">INDEX($K$18:$AQ$18,1,MATCH(E89,$K$7:$AQ$7,0))</f>
        <v>79.191656609119988</v>
      </c>
      <c r="J89" s="31" t="s">
        <v>56</v>
      </c>
      <c r="K89" s="149"/>
      <c r="L89" s="149"/>
      <c r="M89" s="107">
        <f>$I89/L$82</f>
        <v>2.3781278260996994</v>
      </c>
      <c r="N89" s="147">
        <f>IF($I89 &gt;0, MIN(M89,$I89-SUM($L89:M89)), MAX(M89,$I89-SUM($L89:M89)))</f>
        <v>2.3781278260996994</v>
      </c>
      <c r="O89" s="147">
        <f>IF($I89 &gt;0, MIN(N89,$I89-SUM($L89:N89)), MAX(N89,$I89-SUM($L89:N89)))</f>
        <v>2.3781278260996994</v>
      </c>
      <c r="P89" s="147">
        <f>IF($I89 &gt;0, MIN(O89,$I89-SUM($L89:O89)), MAX(O89,$I89-SUM($L89:O89)))</f>
        <v>2.3781278260996994</v>
      </c>
      <c r="Q89" s="147">
        <f>IF($I89 &gt;0, MIN(P89,$I89-SUM($L89:P89)), MAX(P89,$I89-SUM($L89:P89)))</f>
        <v>2.3781278260996994</v>
      </c>
      <c r="R89" s="147">
        <f>IF($I89 &gt;0, MIN(Q89,$I89-SUM($L89:Q89)), MAX(Q89,$I89-SUM($L89:Q89)))</f>
        <v>2.3781278260996994</v>
      </c>
      <c r="S89" s="147">
        <f>IF($I89 &gt;0, MIN(R89,$I89-SUM($L89:R89)), MAX(R89,$I89-SUM($L89:R89)))</f>
        <v>2.3781278260996994</v>
      </c>
      <c r="T89" s="147">
        <f>IF($I89 &gt;0, MIN(S89,$I89-SUM($L89:S89)), MAX(S89,$I89-SUM($L89:S89)))</f>
        <v>2.3781278260996994</v>
      </c>
      <c r="U89" s="147">
        <f>IF($I89 &gt;0, MIN(T89,$I89-SUM($L89:T89)), MAX(T89,$I89-SUM($L89:T89)))</f>
        <v>2.3781278260996994</v>
      </c>
      <c r="V89" s="147">
        <f>IF($I89 &gt;0, MIN(U89,$I89-SUM($L89:U89)), MAX(U89,$I89-SUM($L89:U89)))</f>
        <v>2.3781278260996994</v>
      </c>
      <c r="W89" s="147">
        <f>IF($I89 &gt;0, MIN(V89,$I89-SUM($L89:V89)), MAX(V89,$I89-SUM($L89:V89)))</f>
        <v>2.3781278260996994</v>
      </c>
      <c r="X89" s="147">
        <f>IF($I89 &gt;0, MIN(W89,$I89-SUM($L89:W89)), MAX(W89,$I89-SUM($L89:W89)))</f>
        <v>2.3781278260996994</v>
      </c>
      <c r="Y89" s="147">
        <f>IF($I89 &gt;0, MIN(X89,$I89-SUM($L89:X89)), MAX(X89,$I89-SUM($L89:X89)))</f>
        <v>2.3781278260996994</v>
      </c>
      <c r="Z89" s="147">
        <f>IF($I89 &gt;0, MIN(Y89,$I89-SUM($L89:Y89)), MAX(Y89,$I89-SUM($L89:Y89)))</f>
        <v>2.3781278260996994</v>
      </c>
      <c r="AA89" s="147">
        <f>IF($I89 &gt;0, MIN(Z89,$I89-SUM($L89:Z89)), MAX(Z89,$I89-SUM($L89:Z89)))</f>
        <v>2.3781278260996994</v>
      </c>
      <c r="AB89" s="147">
        <f>IF($I89 &gt;0, MIN(AA89,$I89-SUM($L89:AA89)), MAX(AA89,$I89-SUM($L89:AA89)))</f>
        <v>2.3781278260996994</v>
      </c>
      <c r="AC89" s="147">
        <f>IF($I89 &gt;0, MIN(AB89,$I89-SUM($L89:AB89)), MAX(AB89,$I89-SUM($L89:AB89)))</f>
        <v>2.3781278260996994</v>
      </c>
      <c r="AD89" s="147">
        <f>IF($I89 &gt;0, MIN(AC89,$I89-SUM($L89:AC89)), MAX(AC89,$I89-SUM($L89:AC89)))</f>
        <v>2.3781278260996994</v>
      </c>
      <c r="AE89" s="147">
        <f>IF($I89 &gt;0, MIN(AD89,$I89-SUM($L89:AD89)), MAX(AD89,$I89-SUM($L89:AD89)))</f>
        <v>2.3781278260996994</v>
      </c>
      <c r="AF89" s="147">
        <f>IF($I89 &gt;0, MIN(AE89,$I89-SUM($L89:AE89)), MAX(AE89,$I89-SUM($L89:AE89)))</f>
        <v>2.3781278260996994</v>
      </c>
      <c r="AG89" s="147">
        <f>IF($I89 &gt;0, MIN(AF89,$I89-SUM($L89:AF89)), MAX(AF89,$I89-SUM($L89:AF89)))</f>
        <v>2.3781278260996994</v>
      </c>
      <c r="AH89" s="147">
        <f>IF($I89 &gt;0, MIN(AG89,$I89-SUM($L89:AG89)), MAX(AG89,$I89-SUM($L89:AG89)))</f>
        <v>2.3781278260996994</v>
      </c>
      <c r="AI89" s="147">
        <f>IF($I89 &gt;0, MIN(AH89,$I89-SUM($L89:AH89)), MAX(AH89,$I89-SUM($L89:AH89)))</f>
        <v>2.3781278260996994</v>
      </c>
      <c r="AJ89" s="147">
        <f>IF($I89 &gt;0, MIN(AI89,$I89-SUM($L89:AI89)), MAX(AI89,$I89-SUM($L89:AI89)))</f>
        <v>2.3781278260996994</v>
      </c>
      <c r="AK89" s="147">
        <f>IF($I89 &gt;0, MIN(AJ89,$I89-SUM($L89:AJ89)), MAX(AJ89,$I89-SUM($L89:AJ89)))</f>
        <v>2.3781278260996994</v>
      </c>
      <c r="AL89" s="147">
        <f>IF($I89 &gt;0, MIN(AK89,$I89-SUM($L89:AK89)), MAX(AK89,$I89-SUM($L89:AK89)))</f>
        <v>2.3781278260996994</v>
      </c>
      <c r="AM89" s="147">
        <f>IF($I89 &gt;0, MIN(AL89,$I89-SUM($L89:AL89)), MAX(AL89,$I89-SUM($L89:AL89)))</f>
        <v>2.3781278260996994</v>
      </c>
      <c r="AN89" s="147">
        <f>IF($I89 &gt;0, MIN(AM89,$I89-SUM($L89:AM89)), MAX(AM89,$I89-SUM($L89:AM89)))</f>
        <v>2.3781278260996994</v>
      </c>
      <c r="AO89" s="147">
        <f>IF($I89 &gt;0, MIN(AN89,$I89-SUM($L89:AN89)), MAX(AN89,$I89-SUM($L89:AN89)))</f>
        <v>2.3781278260996994</v>
      </c>
      <c r="AP89" s="147">
        <f>IF($I89 &gt;0, MIN(AO89,$I89-SUM($L89:AO89)), MAX(AO89,$I89-SUM($L89:AO89)))</f>
        <v>2.3781278260996994</v>
      </c>
      <c r="AQ89" s="147">
        <f>IF($I89 &gt;0, MIN(AP89,$I89-SUM($L89:AP89)), MAX(AP89,$I89-SUM($L89:AP89)))</f>
        <v>2.3781278260996994</v>
      </c>
      <c r="AR89" s="147">
        <f>IF($I89 &gt;0, MIN(AQ89,$I89-SUM($L89:AQ89)), MAX(AQ89,$I89-SUM($L89:AQ89)))</f>
        <v>2.3781278260996994</v>
      </c>
    </row>
    <row r="90" spans="2:44" ht="15" customHeight="1">
      <c r="D90" s="149"/>
      <c r="E90" s="184">
        <v>34059</v>
      </c>
      <c r="G90" s="158" t="s">
        <v>844</v>
      </c>
      <c r="H90" s="151"/>
      <c r="I90" s="147">
        <f t="shared" si="6"/>
        <v>79.191656609119988</v>
      </c>
      <c r="J90" s="31" t="s">
        <v>56</v>
      </c>
      <c r="K90" s="149"/>
      <c r="L90" s="147"/>
      <c r="M90" s="147"/>
      <c r="N90" s="107">
        <f>$I90/M$82</f>
        <v>2.3781278260996994</v>
      </c>
      <c r="O90" s="147">
        <f>IF($I90 &gt;0, MIN(N90,$I90-SUM($L90:N90)), MAX(N90,$I90-SUM($L90:N90)))</f>
        <v>2.3781278260996994</v>
      </c>
      <c r="P90" s="147">
        <f>IF($I90 &gt;0, MIN(O90,$I90-SUM($L90:O90)), MAX(O90,$I90-SUM($L90:O90)))</f>
        <v>2.3781278260996994</v>
      </c>
      <c r="Q90" s="147">
        <f>IF($I90 &gt;0, MIN(P90,$I90-SUM($L90:P90)), MAX(P90,$I90-SUM($L90:P90)))</f>
        <v>2.3781278260996994</v>
      </c>
      <c r="R90" s="147">
        <f>IF($I90 &gt;0, MIN(Q90,$I90-SUM($L90:Q90)), MAX(Q90,$I90-SUM($L90:Q90)))</f>
        <v>2.3781278260996994</v>
      </c>
      <c r="S90" s="147">
        <f>IF($I90 &gt;0, MIN(R90,$I90-SUM($L90:R90)), MAX(R90,$I90-SUM($L90:R90)))</f>
        <v>2.3781278260996994</v>
      </c>
      <c r="T90" s="147">
        <f>IF($I90 &gt;0, MIN(S90,$I90-SUM($L90:S90)), MAX(S90,$I90-SUM($L90:S90)))</f>
        <v>2.3781278260996994</v>
      </c>
      <c r="U90" s="147">
        <f>IF($I90 &gt;0, MIN(T90,$I90-SUM($L90:T90)), MAX(T90,$I90-SUM($L90:T90)))</f>
        <v>2.3781278260996994</v>
      </c>
      <c r="V90" s="147">
        <f>IF($I90 &gt;0, MIN(U90,$I90-SUM($L90:U90)), MAX(U90,$I90-SUM($L90:U90)))</f>
        <v>2.3781278260996994</v>
      </c>
      <c r="W90" s="147">
        <f>IF($I90 &gt;0, MIN(V90,$I90-SUM($L90:V90)), MAX(V90,$I90-SUM($L90:V90)))</f>
        <v>2.3781278260996994</v>
      </c>
      <c r="X90" s="147">
        <f>IF($I90 &gt;0, MIN(W90,$I90-SUM($L90:W90)), MAX(W90,$I90-SUM($L90:W90)))</f>
        <v>2.3781278260996994</v>
      </c>
      <c r="Y90" s="147">
        <f>IF($I90 &gt;0, MIN(X90,$I90-SUM($L90:X90)), MAX(X90,$I90-SUM($L90:X90)))</f>
        <v>2.3781278260996994</v>
      </c>
      <c r="Z90" s="147">
        <f>IF($I90 &gt;0, MIN(Y90,$I90-SUM($L90:Y90)), MAX(Y90,$I90-SUM($L90:Y90)))</f>
        <v>2.3781278260996994</v>
      </c>
      <c r="AA90" s="147">
        <f>IF($I90 &gt;0, MIN(Z90,$I90-SUM($L90:Z90)), MAX(Z90,$I90-SUM($L90:Z90)))</f>
        <v>2.3781278260996994</v>
      </c>
      <c r="AB90" s="147">
        <f>IF($I90 &gt;0, MIN(AA90,$I90-SUM($L90:AA90)), MAX(AA90,$I90-SUM($L90:AA90)))</f>
        <v>2.3781278260996994</v>
      </c>
      <c r="AC90" s="147">
        <f>IF($I90 &gt;0, MIN(AB90,$I90-SUM($L90:AB90)), MAX(AB90,$I90-SUM($L90:AB90)))</f>
        <v>2.3781278260996994</v>
      </c>
      <c r="AD90" s="147">
        <f>IF($I90 &gt;0, MIN(AC90,$I90-SUM($L90:AC90)), MAX(AC90,$I90-SUM($L90:AC90)))</f>
        <v>2.3781278260996994</v>
      </c>
      <c r="AE90" s="147">
        <f>IF($I90 &gt;0, MIN(AD90,$I90-SUM($L90:AD90)), MAX(AD90,$I90-SUM($L90:AD90)))</f>
        <v>2.3781278260996994</v>
      </c>
      <c r="AF90" s="147">
        <f>IF($I90 &gt;0, MIN(AE90,$I90-SUM($L90:AE90)), MAX(AE90,$I90-SUM($L90:AE90)))</f>
        <v>2.3781278260996994</v>
      </c>
      <c r="AG90" s="147">
        <f>IF($I90 &gt;0, MIN(AF90,$I90-SUM($L90:AF90)), MAX(AF90,$I90-SUM($L90:AF90)))</f>
        <v>2.3781278260996994</v>
      </c>
      <c r="AH90" s="147">
        <f>IF($I90 &gt;0, MIN(AG90,$I90-SUM($L90:AG90)), MAX(AG90,$I90-SUM($L90:AG90)))</f>
        <v>2.3781278260996994</v>
      </c>
      <c r="AI90" s="147">
        <f>IF($I90 &gt;0, MIN(AH90,$I90-SUM($L90:AH90)), MAX(AH90,$I90-SUM($L90:AH90)))</f>
        <v>2.3781278260996994</v>
      </c>
      <c r="AJ90" s="147">
        <f>IF($I90 &gt;0, MIN(AI90,$I90-SUM($L90:AI90)), MAX(AI90,$I90-SUM($L90:AI90)))</f>
        <v>2.3781278260996994</v>
      </c>
      <c r="AK90" s="147">
        <f>IF($I90 &gt;0, MIN(AJ90,$I90-SUM($L90:AJ90)), MAX(AJ90,$I90-SUM($L90:AJ90)))</f>
        <v>2.3781278260996994</v>
      </c>
      <c r="AL90" s="147">
        <f>IF($I90 &gt;0, MIN(AK90,$I90-SUM($L90:AK90)), MAX(AK90,$I90-SUM($L90:AK90)))</f>
        <v>2.3781278260996994</v>
      </c>
      <c r="AM90" s="147">
        <f>IF($I90 &gt;0, MIN(AL90,$I90-SUM($L90:AL90)), MAX(AL90,$I90-SUM($L90:AL90)))</f>
        <v>2.3781278260996994</v>
      </c>
      <c r="AN90" s="147">
        <f>IF($I90 &gt;0, MIN(AM90,$I90-SUM($L90:AM90)), MAX(AM90,$I90-SUM($L90:AM90)))</f>
        <v>2.3781278260996994</v>
      </c>
      <c r="AO90" s="147">
        <f>IF($I90 &gt;0, MIN(AN90,$I90-SUM($L90:AN90)), MAX(AN90,$I90-SUM($L90:AN90)))</f>
        <v>2.3781278260996994</v>
      </c>
      <c r="AP90" s="147">
        <f>IF($I90 &gt;0, MIN(AO90,$I90-SUM($L90:AO90)), MAX(AO90,$I90-SUM($L90:AO90)))</f>
        <v>2.3781278260996994</v>
      </c>
      <c r="AQ90" s="147">
        <f>IF($I90 &gt;0, MIN(AP90,$I90-SUM($L90:AP90)), MAX(AP90,$I90-SUM($L90:AP90)))</f>
        <v>2.3781278260996994</v>
      </c>
      <c r="AR90" s="147">
        <f>IF($I90 &gt;0, MIN(AQ90,$I90-SUM($L90:AQ90)), MAX(AQ90,$I90-SUM($L90:AQ90)))</f>
        <v>2.3781278260996994</v>
      </c>
    </row>
    <row r="91" spans="2:44" ht="15" customHeight="1">
      <c r="D91" s="149"/>
      <c r="E91" s="184">
        <v>34424</v>
      </c>
      <c r="G91" s="158" t="s">
        <v>844</v>
      </c>
      <c r="H91" s="151"/>
      <c r="I91" s="147">
        <f t="shared" si="6"/>
        <v>88.435818859211835</v>
      </c>
      <c r="J91" s="31" t="s">
        <v>56</v>
      </c>
      <c r="K91" s="149"/>
      <c r="L91" s="147"/>
      <c r="M91" s="147"/>
      <c r="N91" s="147"/>
      <c r="O91" s="107">
        <f>$I91/N$82</f>
        <v>2.6557302960724276</v>
      </c>
      <c r="P91" s="147">
        <f>IF($I91 &gt;0, MIN(O91,$I91-SUM($L91:O91)), MAX(O91,$I91-SUM($L91:O91)))</f>
        <v>2.6557302960724276</v>
      </c>
      <c r="Q91" s="147">
        <f>IF($I91 &gt;0, MIN(P91,$I91-SUM($L91:P91)), MAX(P91,$I91-SUM($L91:P91)))</f>
        <v>2.6557302960724276</v>
      </c>
      <c r="R91" s="147">
        <f>IF($I91 &gt;0, MIN(Q91,$I91-SUM($L91:Q91)), MAX(Q91,$I91-SUM($L91:Q91)))</f>
        <v>2.6557302960724276</v>
      </c>
      <c r="S91" s="147">
        <f>IF($I91 &gt;0, MIN(R91,$I91-SUM($L91:R91)), MAX(R91,$I91-SUM($L91:R91)))</f>
        <v>2.6557302960724276</v>
      </c>
      <c r="T91" s="147">
        <f>IF($I91 &gt;0, MIN(S91,$I91-SUM($L91:S91)), MAX(S91,$I91-SUM($L91:S91)))</f>
        <v>2.6557302960724276</v>
      </c>
      <c r="U91" s="147">
        <f>IF($I91 &gt;0, MIN(T91,$I91-SUM($L91:T91)), MAX(T91,$I91-SUM($L91:T91)))</f>
        <v>2.6557302960724276</v>
      </c>
      <c r="V91" s="147">
        <f>IF($I91 &gt;0, MIN(U91,$I91-SUM($L91:U91)), MAX(U91,$I91-SUM($L91:U91)))</f>
        <v>2.6557302960724276</v>
      </c>
      <c r="W91" s="147">
        <f>IF($I91 &gt;0, MIN(V91,$I91-SUM($L91:V91)), MAX(V91,$I91-SUM($L91:V91)))</f>
        <v>2.6557302960724276</v>
      </c>
      <c r="X91" s="147">
        <f>IF($I91 &gt;0, MIN(W91,$I91-SUM($L91:W91)), MAX(W91,$I91-SUM($L91:W91)))</f>
        <v>2.6557302960724276</v>
      </c>
      <c r="Y91" s="147">
        <f>IF($I91 &gt;0, MIN(X91,$I91-SUM($L91:X91)), MAX(X91,$I91-SUM($L91:X91)))</f>
        <v>2.6557302960724276</v>
      </c>
      <c r="Z91" s="147">
        <f>IF($I91 &gt;0, MIN(Y91,$I91-SUM($L91:Y91)), MAX(Y91,$I91-SUM($L91:Y91)))</f>
        <v>2.6557302960724276</v>
      </c>
      <c r="AA91" s="147">
        <f>IF($I91 &gt;0, MIN(Z91,$I91-SUM($L91:Z91)), MAX(Z91,$I91-SUM($L91:Z91)))</f>
        <v>2.6557302960724276</v>
      </c>
      <c r="AB91" s="147">
        <f>IF($I91 &gt;0, MIN(AA91,$I91-SUM($L91:AA91)), MAX(AA91,$I91-SUM($L91:AA91)))</f>
        <v>2.6557302960724276</v>
      </c>
      <c r="AC91" s="147">
        <f>IF($I91 &gt;0, MIN(AB91,$I91-SUM($L91:AB91)), MAX(AB91,$I91-SUM($L91:AB91)))</f>
        <v>2.6557302960724276</v>
      </c>
      <c r="AD91" s="147">
        <f>IF($I91 &gt;0, MIN(AC91,$I91-SUM($L91:AC91)), MAX(AC91,$I91-SUM($L91:AC91)))</f>
        <v>2.6557302960724276</v>
      </c>
      <c r="AE91" s="147">
        <f>IF($I91 &gt;0, MIN(AD91,$I91-SUM($L91:AD91)), MAX(AD91,$I91-SUM($L91:AD91)))</f>
        <v>2.6557302960724276</v>
      </c>
      <c r="AF91" s="147">
        <f>IF($I91 &gt;0, MIN(AE91,$I91-SUM($L91:AE91)), MAX(AE91,$I91-SUM($L91:AE91)))</f>
        <v>2.6557302960724276</v>
      </c>
      <c r="AG91" s="147">
        <f>IF($I91 &gt;0, MIN(AF91,$I91-SUM($L91:AF91)), MAX(AF91,$I91-SUM($L91:AF91)))</f>
        <v>2.6557302960724276</v>
      </c>
      <c r="AH91" s="147">
        <f>IF($I91 &gt;0, MIN(AG91,$I91-SUM($L91:AG91)), MAX(AG91,$I91-SUM($L91:AG91)))</f>
        <v>2.6557302960724276</v>
      </c>
      <c r="AI91" s="147">
        <f>IF($I91 &gt;0, MIN(AH91,$I91-SUM($L91:AH91)), MAX(AH91,$I91-SUM($L91:AH91)))</f>
        <v>2.6557302960724276</v>
      </c>
      <c r="AJ91" s="147">
        <f>IF($I91 &gt;0, MIN(AI91,$I91-SUM($L91:AI91)), MAX(AI91,$I91-SUM($L91:AI91)))</f>
        <v>2.6557302960724276</v>
      </c>
      <c r="AK91" s="147">
        <f>IF($I91 &gt;0, MIN(AJ91,$I91-SUM($L91:AJ91)), MAX(AJ91,$I91-SUM($L91:AJ91)))</f>
        <v>2.6557302960724276</v>
      </c>
      <c r="AL91" s="147">
        <f>IF($I91 &gt;0, MIN(AK91,$I91-SUM($L91:AK91)), MAX(AK91,$I91-SUM($L91:AK91)))</f>
        <v>2.6557302960724276</v>
      </c>
      <c r="AM91" s="147">
        <f>IF($I91 &gt;0, MIN(AL91,$I91-SUM($L91:AL91)), MAX(AL91,$I91-SUM($L91:AL91)))</f>
        <v>2.6557302960724276</v>
      </c>
      <c r="AN91" s="147">
        <f>IF($I91 &gt;0, MIN(AM91,$I91-SUM($L91:AM91)), MAX(AM91,$I91-SUM($L91:AM91)))</f>
        <v>2.6557302960724276</v>
      </c>
      <c r="AO91" s="147">
        <f>IF($I91 &gt;0, MIN(AN91,$I91-SUM($L91:AN91)), MAX(AN91,$I91-SUM($L91:AN91)))</f>
        <v>2.6557302960724276</v>
      </c>
      <c r="AP91" s="147">
        <f>IF($I91 &gt;0, MIN(AO91,$I91-SUM($L91:AO91)), MAX(AO91,$I91-SUM($L91:AO91)))</f>
        <v>2.6557302960724276</v>
      </c>
      <c r="AQ91" s="147">
        <f>IF($I91 &gt;0, MIN(AP91,$I91-SUM($L91:AP91)), MAX(AP91,$I91-SUM($L91:AP91)))</f>
        <v>2.6557302960724276</v>
      </c>
      <c r="AR91" s="147">
        <f>IF($I91 &gt;0, MIN(AQ91,$I91-SUM($L91:AQ91)), MAX(AQ91,$I91-SUM($L91:AQ91)))</f>
        <v>2.6557302960724276</v>
      </c>
    </row>
    <row r="92" spans="2:44" ht="15" customHeight="1">
      <c r="D92" s="149"/>
      <c r="E92" s="184">
        <v>34789</v>
      </c>
      <c r="G92" s="158" t="s">
        <v>844</v>
      </c>
      <c r="H92" s="151"/>
      <c r="I92" s="147">
        <f t="shared" si="6"/>
        <v>64.092858267303342</v>
      </c>
      <c r="J92" s="31" t="s">
        <v>56</v>
      </c>
      <c r="K92" s="149"/>
      <c r="L92" s="147"/>
      <c r="M92" s="147"/>
      <c r="N92" s="147"/>
      <c r="O92" s="149"/>
      <c r="P92" s="107">
        <f>$I92/O$82</f>
        <v>1.924710458477578</v>
      </c>
      <c r="Q92" s="147">
        <f>IF($I92 &gt;0, MIN(P92,$I92-SUM($L92:P92)), MAX(P92,$I92-SUM($L92:P92)))</f>
        <v>1.924710458477578</v>
      </c>
      <c r="R92" s="147">
        <f>IF($I92 &gt;0, MIN(Q92,$I92-SUM($L92:Q92)), MAX(Q92,$I92-SUM($L92:Q92)))</f>
        <v>1.924710458477578</v>
      </c>
      <c r="S92" s="147">
        <f>IF($I92 &gt;0, MIN(R92,$I92-SUM($L92:R92)), MAX(R92,$I92-SUM($L92:R92)))</f>
        <v>1.924710458477578</v>
      </c>
      <c r="T92" s="147">
        <f>IF($I92 &gt;0, MIN(S92,$I92-SUM($L92:S92)), MAX(S92,$I92-SUM($L92:S92)))</f>
        <v>1.924710458477578</v>
      </c>
      <c r="U92" s="147">
        <f>IF($I92 &gt;0, MIN(T92,$I92-SUM($L92:T92)), MAX(T92,$I92-SUM($L92:T92)))</f>
        <v>1.924710458477578</v>
      </c>
      <c r="V92" s="147">
        <f>IF($I92 &gt;0, MIN(U92,$I92-SUM($L92:U92)), MAX(U92,$I92-SUM($L92:U92)))</f>
        <v>1.924710458477578</v>
      </c>
      <c r="W92" s="147">
        <f>IF($I92 &gt;0, MIN(V92,$I92-SUM($L92:V92)), MAX(V92,$I92-SUM($L92:V92)))</f>
        <v>1.924710458477578</v>
      </c>
      <c r="X92" s="147">
        <f>IF($I92 &gt;0, MIN(W92,$I92-SUM($L92:W92)), MAX(W92,$I92-SUM($L92:W92)))</f>
        <v>1.924710458477578</v>
      </c>
      <c r="Y92" s="147">
        <f>IF($I92 &gt;0, MIN(X92,$I92-SUM($L92:X92)), MAX(X92,$I92-SUM($L92:X92)))</f>
        <v>1.924710458477578</v>
      </c>
      <c r="Z92" s="147">
        <f>IF($I92 &gt;0, MIN(Y92,$I92-SUM($L92:Y92)), MAX(Y92,$I92-SUM($L92:Y92)))</f>
        <v>1.924710458477578</v>
      </c>
      <c r="AA92" s="147">
        <f>IF($I92 &gt;0, MIN(Z92,$I92-SUM($L92:Z92)), MAX(Z92,$I92-SUM($L92:Z92)))</f>
        <v>1.924710458477578</v>
      </c>
      <c r="AB92" s="147">
        <f>IF($I92 &gt;0, MIN(AA92,$I92-SUM($L92:AA92)), MAX(AA92,$I92-SUM($L92:AA92)))</f>
        <v>1.924710458477578</v>
      </c>
      <c r="AC92" s="147">
        <f>IF($I92 &gt;0, MIN(AB92,$I92-SUM($L92:AB92)), MAX(AB92,$I92-SUM($L92:AB92)))</f>
        <v>1.924710458477578</v>
      </c>
      <c r="AD92" s="147">
        <f>IF($I92 &gt;0, MIN(AC92,$I92-SUM($L92:AC92)), MAX(AC92,$I92-SUM($L92:AC92)))</f>
        <v>1.924710458477578</v>
      </c>
      <c r="AE92" s="147">
        <f>IF($I92 &gt;0, MIN(AD92,$I92-SUM($L92:AD92)), MAX(AD92,$I92-SUM($L92:AD92)))</f>
        <v>1.924710458477578</v>
      </c>
      <c r="AF92" s="147">
        <f>IF($I92 &gt;0, MIN(AE92,$I92-SUM($L92:AE92)), MAX(AE92,$I92-SUM($L92:AE92)))</f>
        <v>1.924710458477578</v>
      </c>
      <c r="AG92" s="147">
        <f>IF($I92 &gt;0, MIN(AF92,$I92-SUM($L92:AF92)), MAX(AF92,$I92-SUM($L92:AF92)))</f>
        <v>1.924710458477578</v>
      </c>
      <c r="AH92" s="147">
        <f>IF($I92 &gt;0, MIN(AG92,$I92-SUM($L92:AG92)), MAX(AG92,$I92-SUM($L92:AG92)))</f>
        <v>1.924710458477578</v>
      </c>
      <c r="AI92" s="147">
        <f>IF($I92 &gt;0, MIN(AH92,$I92-SUM($L92:AH92)), MAX(AH92,$I92-SUM($L92:AH92)))</f>
        <v>1.924710458477578</v>
      </c>
      <c r="AJ92" s="147">
        <f>IF($I92 &gt;0, MIN(AI92,$I92-SUM($L92:AI92)), MAX(AI92,$I92-SUM($L92:AI92)))</f>
        <v>1.924710458477578</v>
      </c>
      <c r="AK92" s="147">
        <f>IF($I92 &gt;0, MIN(AJ92,$I92-SUM($L92:AJ92)), MAX(AJ92,$I92-SUM($L92:AJ92)))</f>
        <v>1.924710458477578</v>
      </c>
      <c r="AL92" s="147">
        <f>IF($I92 &gt;0, MIN(AK92,$I92-SUM($L92:AK92)), MAX(AK92,$I92-SUM($L92:AK92)))</f>
        <v>1.924710458477578</v>
      </c>
      <c r="AM92" s="147">
        <f>IF($I92 &gt;0, MIN(AL92,$I92-SUM($L92:AL92)), MAX(AL92,$I92-SUM($L92:AL92)))</f>
        <v>1.924710458477578</v>
      </c>
      <c r="AN92" s="147">
        <f>IF($I92 &gt;0, MIN(AM92,$I92-SUM($L92:AM92)), MAX(AM92,$I92-SUM($L92:AM92)))</f>
        <v>1.924710458477578</v>
      </c>
      <c r="AO92" s="147">
        <f>IF($I92 &gt;0, MIN(AN92,$I92-SUM($L92:AN92)), MAX(AN92,$I92-SUM($L92:AN92)))</f>
        <v>1.924710458477578</v>
      </c>
      <c r="AP92" s="147">
        <f>IF($I92 &gt;0, MIN(AO92,$I92-SUM($L92:AO92)), MAX(AO92,$I92-SUM($L92:AO92)))</f>
        <v>1.924710458477578</v>
      </c>
      <c r="AQ92" s="147">
        <f>IF($I92 &gt;0, MIN(AP92,$I92-SUM($L92:AP92)), MAX(AP92,$I92-SUM($L92:AP92)))</f>
        <v>1.924710458477578</v>
      </c>
      <c r="AR92" s="147">
        <f>IF($I92 &gt;0, MIN(AQ92,$I92-SUM($L92:AQ92)), MAX(AQ92,$I92-SUM($L92:AQ92)))</f>
        <v>1.924710458477578</v>
      </c>
    </row>
    <row r="93" spans="2:44" ht="15" customHeight="1">
      <c r="D93" s="149"/>
      <c r="E93" s="184">
        <v>35155</v>
      </c>
      <c r="G93" s="158" t="s">
        <v>844</v>
      </c>
      <c r="H93" s="151"/>
      <c r="I93" s="147">
        <f t="shared" si="6"/>
        <v>49.148129296321557</v>
      </c>
      <c r="J93" s="31" t="s">
        <v>56</v>
      </c>
      <c r="K93" s="149"/>
      <c r="L93" s="147"/>
      <c r="M93" s="147"/>
      <c r="N93" s="147"/>
      <c r="O93" s="149"/>
      <c r="P93" s="149"/>
      <c r="Q93" s="107">
        <f>$I93/P$82</f>
        <v>1.4759197986883352</v>
      </c>
      <c r="R93" s="147">
        <f>IF($I93 &gt;0, MIN(Q93,$I93-SUM($L93:Q93)), MAX(Q93,$I93-SUM($L93:Q93)))</f>
        <v>1.4759197986883352</v>
      </c>
      <c r="S93" s="147">
        <f>IF($I93 &gt;0, MIN(R93,$I93-SUM($L93:R93)), MAX(R93,$I93-SUM($L93:R93)))</f>
        <v>1.4759197986883352</v>
      </c>
      <c r="T93" s="147">
        <f>IF($I93 &gt;0, MIN(S93,$I93-SUM($L93:S93)), MAX(S93,$I93-SUM($L93:S93)))</f>
        <v>1.4759197986883352</v>
      </c>
      <c r="U93" s="147">
        <f>IF($I93 &gt;0, MIN(T93,$I93-SUM($L93:T93)), MAX(T93,$I93-SUM($L93:T93)))</f>
        <v>1.4759197986883352</v>
      </c>
      <c r="V93" s="147">
        <f>IF($I93 &gt;0, MIN(U93,$I93-SUM($L93:U93)), MAX(U93,$I93-SUM($L93:U93)))</f>
        <v>1.4759197986883352</v>
      </c>
      <c r="W93" s="147">
        <f>IF($I93 &gt;0, MIN(V93,$I93-SUM($L93:V93)), MAX(V93,$I93-SUM($L93:V93)))</f>
        <v>1.4759197986883352</v>
      </c>
      <c r="X93" s="147">
        <f>IF($I93 &gt;0, MIN(W93,$I93-SUM($L93:W93)), MAX(W93,$I93-SUM($L93:W93)))</f>
        <v>1.4759197986883352</v>
      </c>
      <c r="Y93" s="147">
        <f>IF($I93 &gt;0, MIN(X93,$I93-SUM($L93:X93)), MAX(X93,$I93-SUM($L93:X93)))</f>
        <v>1.4759197986883352</v>
      </c>
      <c r="Z93" s="147">
        <f>IF($I93 &gt;0, MIN(Y93,$I93-SUM($L93:Y93)), MAX(Y93,$I93-SUM($L93:Y93)))</f>
        <v>1.4759197986883352</v>
      </c>
      <c r="AA93" s="147">
        <f>IF($I93 &gt;0, MIN(Z93,$I93-SUM($L93:Z93)), MAX(Z93,$I93-SUM($L93:Z93)))</f>
        <v>1.4759197986883352</v>
      </c>
      <c r="AB93" s="147">
        <f>IF($I93 &gt;0, MIN(AA93,$I93-SUM($L93:AA93)), MAX(AA93,$I93-SUM($L93:AA93)))</f>
        <v>1.4759197986883352</v>
      </c>
      <c r="AC93" s="147">
        <f>IF($I93 &gt;0, MIN(AB93,$I93-SUM($L93:AB93)), MAX(AB93,$I93-SUM($L93:AB93)))</f>
        <v>1.4759197986883352</v>
      </c>
      <c r="AD93" s="147">
        <f>IF($I93 &gt;0, MIN(AC93,$I93-SUM($L93:AC93)), MAX(AC93,$I93-SUM($L93:AC93)))</f>
        <v>1.4759197986883352</v>
      </c>
      <c r="AE93" s="147">
        <f>IF($I93 &gt;0, MIN(AD93,$I93-SUM($L93:AD93)), MAX(AD93,$I93-SUM($L93:AD93)))</f>
        <v>1.4759197986883352</v>
      </c>
      <c r="AF93" s="147">
        <f>IF($I93 &gt;0, MIN(AE93,$I93-SUM($L93:AE93)), MAX(AE93,$I93-SUM($L93:AE93)))</f>
        <v>1.4759197986883352</v>
      </c>
      <c r="AG93" s="147">
        <f>IF($I93 &gt;0, MIN(AF93,$I93-SUM($L93:AF93)), MAX(AF93,$I93-SUM($L93:AF93)))</f>
        <v>1.4759197986883352</v>
      </c>
      <c r="AH93" s="147">
        <f>IF($I93 &gt;0, MIN(AG93,$I93-SUM($L93:AG93)), MAX(AG93,$I93-SUM($L93:AG93)))</f>
        <v>1.4759197986883352</v>
      </c>
      <c r="AI93" s="147">
        <f>IF($I93 &gt;0, MIN(AH93,$I93-SUM($L93:AH93)), MAX(AH93,$I93-SUM($L93:AH93)))</f>
        <v>1.4759197986883352</v>
      </c>
      <c r="AJ93" s="147">
        <f>IF($I93 &gt;0, MIN(AI93,$I93-SUM($L93:AI93)), MAX(AI93,$I93-SUM($L93:AI93)))</f>
        <v>1.4759197986883352</v>
      </c>
      <c r="AK93" s="147">
        <f>IF($I93 &gt;0, MIN(AJ93,$I93-SUM($L93:AJ93)), MAX(AJ93,$I93-SUM($L93:AJ93)))</f>
        <v>1.4759197986883352</v>
      </c>
      <c r="AL93" s="147">
        <f>IF($I93 &gt;0, MIN(AK93,$I93-SUM($L93:AK93)), MAX(AK93,$I93-SUM($L93:AK93)))</f>
        <v>1.4759197986883352</v>
      </c>
      <c r="AM93" s="147">
        <f>IF($I93 &gt;0, MIN(AL93,$I93-SUM($L93:AL93)), MAX(AL93,$I93-SUM($L93:AL93)))</f>
        <v>1.4759197986883352</v>
      </c>
      <c r="AN93" s="147">
        <f>IF($I93 &gt;0, MIN(AM93,$I93-SUM($L93:AM93)), MAX(AM93,$I93-SUM($L93:AM93)))</f>
        <v>1.4759197986883352</v>
      </c>
      <c r="AO93" s="147">
        <f>IF($I93 &gt;0, MIN(AN93,$I93-SUM($L93:AN93)), MAX(AN93,$I93-SUM($L93:AN93)))</f>
        <v>1.4759197986883352</v>
      </c>
      <c r="AP93" s="147">
        <f>IF($I93 &gt;0, MIN(AO93,$I93-SUM($L93:AO93)), MAX(AO93,$I93-SUM($L93:AO93)))</f>
        <v>1.4759197986883352</v>
      </c>
      <c r="AQ93" s="147">
        <f>IF($I93 &gt;0, MIN(AP93,$I93-SUM($L93:AP93)), MAX(AP93,$I93-SUM($L93:AP93)))</f>
        <v>1.4759197986883352</v>
      </c>
      <c r="AR93" s="147">
        <f>IF($I93 &gt;0, MIN(AQ93,$I93-SUM($L93:AQ93)), MAX(AQ93,$I93-SUM($L93:AQ93)))</f>
        <v>1.4759197986883352</v>
      </c>
    </row>
    <row r="94" spans="2:44" ht="15" customHeight="1">
      <c r="D94" s="149"/>
      <c r="E94" s="184">
        <v>35520</v>
      </c>
      <c r="G94" s="158" t="s">
        <v>844</v>
      </c>
      <c r="H94" s="151"/>
      <c r="I94" s="147">
        <f t="shared" si="6"/>
        <v>62.860303300624423</v>
      </c>
      <c r="J94" s="31" t="s">
        <v>56</v>
      </c>
      <c r="K94" s="149"/>
      <c r="L94" s="147"/>
      <c r="M94" s="147"/>
      <c r="N94" s="147"/>
      <c r="O94" s="149"/>
      <c r="P94" s="149"/>
      <c r="Q94" s="149"/>
      <c r="R94" s="107">
        <f>$I94/Q$82</f>
        <v>1.8876967958145474</v>
      </c>
      <c r="S94" s="147">
        <f>IF($I94 &gt;0, MIN(R94,$I94-SUM($L94:R94)), MAX(R94,$I94-SUM($L94:R94)))</f>
        <v>1.8876967958145474</v>
      </c>
      <c r="T94" s="147">
        <f>IF($I94 &gt;0, MIN(S94,$I94-SUM($L94:S94)), MAX(S94,$I94-SUM($L94:S94)))</f>
        <v>1.8876967958145474</v>
      </c>
      <c r="U94" s="147">
        <f>IF($I94 &gt;0, MIN(T94,$I94-SUM($L94:T94)), MAX(T94,$I94-SUM($L94:T94)))</f>
        <v>1.8876967958145474</v>
      </c>
      <c r="V94" s="147">
        <f>IF($I94 &gt;0, MIN(U94,$I94-SUM($L94:U94)), MAX(U94,$I94-SUM($L94:U94)))</f>
        <v>1.8876967958145474</v>
      </c>
      <c r="W94" s="147">
        <f>IF($I94 &gt;0, MIN(V94,$I94-SUM($L94:V94)), MAX(V94,$I94-SUM($L94:V94)))</f>
        <v>1.8876967958145474</v>
      </c>
      <c r="X94" s="147">
        <f>IF($I94 &gt;0, MIN(W94,$I94-SUM($L94:W94)), MAX(W94,$I94-SUM($L94:W94)))</f>
        <v>1.8876967958145474</v>
      </c>
      <c r="Y94" s="147">
        <f>IF($I94 &gt;0, MIN(X94,$I94-SUM($L94:X94)), MAX(X94,$I94-SUM($L94:X94)))</f>
        <v>1.8876967958145474</v>
      </c>
      <c r="Z94" s="147">
        <f>IF($I94 &gt;0, MIN(Y94,$I94-SUM($L94:Y94)), MAX(Y94,$I94-SUM($L94:Y94)))</f>
        <v>1.8876967958145474</v>
      </c>
      <c r="AA94" s="147">
        <f>IF($I94 &gt;0, MIN(Z94,$I94-SUM($L94:Z94)), MAX(Z94,$I94-SUM($L94:Z94)))</f>
        <v>1.8876967958145474</v>
      </c>
      <c r="AB94" s="147">
        <f>IF($I94 &gt;0, MIN(AA94,$I94-SUM($L94:AA94)), MAX(AA94,$I94-SUM($L94:AA94)))</f>
        <v>1.8876967958145474</v>
      </c>
      <c r="AC94" s="147">
        <f>IF($I94 &gt;0, MIN(AB94,$I94-SUM($L94:AB94)), MAX(AB94,$I94-SUM($L94:AB94)))</f>
        <v>1.8876967958145474</v>
      </c>
      <c r="AD94" s="147">
        <f>IF($I94 &gt;0, MIN(AC94,$I94-SUM($L94:AC94)), MAX(AC94,$I94-SUM($L94:AC94)))</f>
        <v>1.8876967958145474</v>
      </c>
      <c r="AE94" s="147">
        <f>IF($I94 &gt;0, MIN(AD94,$I94-SUM($L94:AD94)), MAX(AD94,$I94-SUM($L94:AD94)))</f>
        <v>1.8876967958145474</v>
      </c>
      <c r="AF94" s="147">
        <f>IF($I94 &gt;0, MIN(AE94,$I94-SUM($L94:AE94)), MAX(AE94,$I94-SUM($L94:AE94)))</f>
        <v>1.8876967958145474</v>
      </c>
      <c r="AG94" s="147">
        <f>IF($I94 &gt;0, MIN(AF94,$I94-SUM($L94:AF94)), MAX(AF94,$I94-SUM($L94:AF94)))</f>
        <v>1.8876967958145474</v>
      </c>
      <c r="AH94" s="147">
        <f>IF($I94 &gt;0, MIN(AG94,$I94-SUM($L94:AG94)), MAX(AG94,$I94-SUM($L94:AG94)))</f>
        <v>1.8876967958145474</v>
      </c>
      <c r="AI94" s="147">
        <f>IF($I94 &gt;0, MIN(AH94,$I94-SUM($L94:AH94)), MAX(AH94,$I94-SUM($L94:AH94)))</f>
        <v>1.8876967958145474</v>
      </c>
      <c r="AJ94" s="147">
        <f>IF($I94 &gt;0, MIN(AI94,$I94-SUM($L94:AI94)), MAX(AI94,$I94-SUM($L94:AI94)))</f>
        <v>1.8876967958145474</v>
      </c>
      <c r="AK94" s="147">
        <f>IF($I94 &gt;0, MIN(AJ94,$I94-SUM($L94:AJ94)), MAX(AJ94,$I94-SUM($L94:AJ94)))</f>
        <v>1.8876967958145474</v>
      </c>
      <c r="AL94" s="147">
        <f>IF($I94 &gt;0, MIN(AK94,$I94-SUM($L94:AK94)), MAX(AK94,$I94-SUM($L94:AK94)))</f>
        <v>1.8876967958145474</v>
      </c>
      <c r="AM94" s="147">
        <f>IF($I94 &gt;0, MIN(AL94,$I94-SUM($L94:AL94)), MAX(AL94,$I94-SUM($L94:AL94)))</f>
        <v>1.8876967958145474</v>
      </c>
      <c r="AN94" s="147">
        <f>IF($I94 &gt;0, MIN(AM94,$I94-SUM($L94:AM94)), MAX(AM94,$I94-SUM($L94:AM94)))</f>
        <v>1.8876967958145474</v>
      </c>
      <c r="AO94" s="147">
        <f>IF($I94 &gt;0, MIN(AN94,$I94-SUM($L94:AN94)), MAX(AN94,$I94-SUM($L94:AN94)))</f>
        <v>1.8876967958145474</v>
      </c>
      <c r="AP94" s="147">
        <f>IF($I94 &gt;0, MIN(AO94,$I94-SUM($L94:AO94)), MAX(AO94,$I94-SUM($L94:AO94)))</f>
        <v>1.8876967958145474</v>
      </c>
      <c r="AQ94" s="147">
        <f>IF($I94 &gt;0, MIN(AP94,$I94-SUM($L94:AP94)), MAX(AP94,$I94-SUM($L94:AP94)))</f>
        <v>1.8876967958145474</v>
      </c>
      <c r="AR94" s="147">
        <f>IF($I94 &gt;0, MIN(AQ94,$I94-SUM($L94:AQ94)), MAX(AQ94,$I94-SUM($L94:AQ94)))</f>
        <v>1.8876967958145474</v>
      </c>
    </row>
    <row r="95" spans="2:44" ht="15" customHeight="1">
      <c r="D95" s="149"/>
      <c r="E95" s="184">
        <v>35885</v>
      </c>
      <c r="G95" s="158" t="s">
        <v>844</v>
      </c>
      <c r="H95" s="151"/>
      <c r="I95" s="147">
        <f t="shared" si="6"/>
        <v>44.371978800440779</v>
      </c>
      <c r="J95" s="31" t="s">
        <v>56</v>
      </c>
      <c r="K95" s="149"/>
      <c r="L95" s="147"/>
      <c r="M95" s="147"/>
      <c r="N95" s="147"/>
      <c r="O95" s="149"/>
      <c r="P95" s="149"/>
      <c r="Q95" s="149"/>
      <c r="R95" s="149"/>
      <c r="S95" s="107">
        <f>$I95/R$82</f>
        <v>1.3324918558690926</v>
      </c>
      <c r="T95" s="147">
        <f>IF($I95 &gt;0, MIN(S95,$I95-SUM($L95:S95)), MAX(S95,$I95-SUM($L95:S95)))</f>
        <v>1.3324918558690926</v>
      </c>
      <c r="U95" s="147">
        <f>IF($I95 &gt;0, MIN(T95,$I95-SUM($L95:T95)), MAX(T95,$I95-SUM($L95:T95)))</f>
        <v>1.3324918558690926</v>
      </c>
      <c r="V95" s="147">
        <f>IF($I95 &gt;0, MIN(U95,$I95-SUM($L95:U95)), MAX(U95,$I95-SUM($L95:U95)))</f>
        <v>1.3324918558690926</v>
      </c>
      <c r="W95" s="147">
        <f>IF($I95 &gt;0, MIN(V95,$I95-SUM($L95:V95)), MAX(V95,$I95-SUM($L95:V95)))</f>
        <v>1.3324918558690926</v>
      </c>
      <c r="X95" s="147">
        <f>IF($I95 &gt;0, MIN(W95,$I95-SUM($L95:W95)), MAX(W95,$I95-SUM($L95:W95)))</f>
        <v>1.3324918558690926</v>
      </c>
      <c r="Y95" s="147">
        <f>IF($I95 &gt;0, MIN(X95,$I95-SUM($L95:X95)), MAX(X95,$I95-SUM($L95:X95)))</f>
        <v>1.3324918558690926</v>
      </c>
      <c r="Z95" s="147">
        <f>IF($I95 &gt;0, MIN(Y95,$I95-SUM($L95:Y95)), MAX(Y95,$I95-SUM($L95:Y95)))</f>
        <v>1.3324918558690926</v>
      </c>
      <c r="AA95" s="147">
        <f>IF($I95 &gt;0, MIN(Z95,$I95-SUM($L95:Z95)), MAX(Z95,$I95-SUM($L95:Z95)))</f>
        <v>1.3324918558690926</v>
      </c>
      <c r="AB95" s="147">
        <f>IF($I95 &gt;0, MIN(AA95,$I95-SUM($L95:AA95)), MAX(AA95,$I95-SUM($L95:AA95)))</f>
        <v>1.3324918558690926</v>
      </c>
      <c r="AC95" s="147">
        <f>IF($I95 &gt;0, MIN(AB95,$I95-SUM($L95:AB95)), MAX(AB95,$I95-SUM($L95:AB95)))</f>
        <v>1.3324918558690926</v>
      </c>
      <c r="AD95" s="147">
        <f>IF($I95 &gt;0, MIN(AC95,$I95-SUM($L95:AC95)), MAX(AC95,$I95-SUM($L95:AC95)))</f>
        <v>1.3324918558690926</v>
      </c>
      <c r="AE95" s="147">
        <f>IF($I95 &gt;0, MIN(AD95,$I95-SUM($L95:AD95)), MAX(AD95,$I95-SUM($L95:AD95)))</f>
        <v>1.3324918558690926</v>
      </c>
      <c r="AF95" s="147">
        <f>IF($I95 &gt;0, MIN(AE95,$I95-SUM($L95:AE95)), MAX(AE95,$I95-SUM($L95:AE95)))</f>
        <v>1.3324918558690926</v>
      </c>
      <c r="AG95" s="147">
        <f>IF($I95 &gt;0, MIN(AF95,$I95-SUM($L95:AF95)), MAX(AF95,$I95-SUM($L95:AF95)))</f>
        <v>1.3324918558690926</v>
      </c>
      <c r="AH95" s="147">
        <f>IF($I95 &gt;0, MIN(AG95,$I95-SUM($L95:AG95)), MAX(AG95,$I95-SUM($L95:AG95)))</f>
        <v>1.3324918558690926</v>
      </c>
      <c r="AI95" s="147">
        <f>IF($I95 &gt;0, MIN(AH95,$I95-SUM($L95:AH95)), MAX(AH95,$I95-SUM($L95:AH95)))</f>
        <v>1.3324918558690926</v>
      </c>
      <c r="AJ95" s="147">
        <f>IF($I95 &gt;0, MIN(AI95,$I95-SUM($L95:AI95)), MAX(AI95,$I95-SUM($L95:AI95)))</f>
        <v>1.3324918558690926</v>
      </c>
      <c r="AK95" s="147">
        <f>IF($I95 &gt;0, MIN(AJ95,$I95-SUM($L95:AJ95)), MAX(AJ95,$I95-SUM($L95:AJ95)))</f>
        <v>1.3324918558690926</v>
      </c>
      <c r="AL95" s="147">
        <f>IF($I95 &gt;0, MIN(AK95,$I95-SUM($L95:AK95)), MAX(AK95,$I95-SUM($L95:AK95)))</f>
        <v>1.3324918558690926</v>
      </c>
      <c r="AM95" s="147">
        <f>IF($I95 &gt;0, MIN(AL95,$I95-SUM($L95:AL95)), MAX(AL95,$I95-SUM($L95:AL95)))</f>
        <v>1.3324918558690926</v>
      </c>
      <c r="AN95" s="147">
        <f>IF($I95 &gt;0, MIN(AM95,$I95-SUM($L95:AM95)), MAX(AM95,$I95-SUM($L95:AM95)))</f>
        <v>1.3324918558690926</v>
      </c>
      <c r="AO95" s="147">
        <f>IF($I95 &gt;0, MIN(AN95,$I95-SUM($L95:AN95)), MAX(AN95,$I95-SUM($L95:AN95)))</f>
        <v>1.3324918558690926</v>
      </c>
      <c r="AP95" s="147">
        <f>IF($I95 &gt;0, MIN(AO95,$I95-SUM($L95:AO95)), MAX(AO95,$I95-SUM($L95:AO95)))</f>
        <v>1.3324918558690926</v>
      </c>
      <c r="AQ95" s="147">
        <f>IF($I95 &gt;0, MIN(AP95,$I95-SUM($L95:AP95)), MAX(AP95,$I95-SUM($L95:AP95)))</f>
        <v>1.3324918558690926</v>
      </c>
      <c r="AR95" s="147">
        <f>IF($I95 &gt;0, MIN(AQ95,$I95-SUM($L95:AQ95)), MAX(AQ95,$I95-SUM($L95:AQ95)))</f>
        <v>1.3324918558690926</v>
      </c>
    </row>
    <row r="96" spans="2:44" ht="15" customHeight="1">
      <c r="D96" s="149"/>
      <c r="E96" s="184">
        <v>36250</v>
      </c>
      <c r="G96" s="158" t="s">
        <v>844</v>
      </c>
      <c r="H96" s="151"/>
      <c r="I96" s="147">
        <f t="shared" si="6"/>
        <v>63.649615795633814</v>
      </c>
      <c r="J96" s="31" t="s">
        <v>56</v>
      </c>
      <c r="K96" s="149"/>
      <c r="L96" s="147"/>
      <c r="M96" s="147"/>
      <c r="N96" s="147"/>
      <c r="O96" s="149"/>
      <c r="P96" s="149"/>
      <c r="Q96" s="149"/>
      <c r="R96" s="149"/>
      <c r="S96" s="149"/>
      <c r="T96" s="107">
        <f>$I96/S$82</f>
        <v>1.9113998737427573</v>
      </c>
      <c r="U96" s="147">
        <f>IF($I96 &gt;0, MIN(T96,$I96-SUM($L96:T96)), MAX(T96,$I96-SUM($L96:T96)))</f>
        <v>1.9113998737427573</v>
      </c>
      <c r="V96" s="147">
        <f>IF($I96 &gt;0, MIN(U96,$I96-SUM($L96:U96)), MAX(U96,$I96-SUM($L96:U96)))</f>
        <v>1.9113998737427573</v>
      </c>
      <c r="W96" s="147">
        <f>IF($I96 &gt;0, MIN(V96,$I96-SUM($L96:V96)), MAX(V96,$I96-SUM($L96:V96)))</f>
        <v>1.9113998737427573</v>
      </c>
      <c r="X96" s="147">
        <f>IF($I96 &gt;0, MIN(W96,$I96-SUM($L96:W96)), MAX(W96,$I96-SUM($L96:W96)))</f>
        <v>1.9113998737427573</v>
      </c>
      <c r="Y96" s="147">
        <f>IF($I96 &gt;0, MIN(X96,$I96-SUM($L96:X96)), MAX(X96,$I96-SUM($L96:X96)))</f>
        <v>1.9113998737427573</v>
      </c>
      <c r="Z96" s="147">
        <f>IF($I96 &gt;0, MIN(Y96,$I96-SUM($L96:Y96)), MAX(Y96,$I96-SUM($L96:Y96)))</f>
        <v>1.9113998737427573</v>
      </c>
      <c r="AA96" s="147">
        <f>IF($I96 &gt;0, MIN(Z96,$I96-SUM($L96:Z96)), MAX(Z96,$I96-SUM($L96:Z96)))</f>
        <v>1.9113998737427573</v>
      </c>
      <c r="AB96" s="147">
        <f>IF($I96 &gt;0, MIN(AA96,$I96-SUM($L96:AA96)), MAX(AA96,$I96-SUM($L96:AA96)))</f>
        <v>1.9113998737427573</v>
      </c>
      <c r="AC96" s="147">
        <f>IF($I96 &gt;0, MIN(AB96,$I96-SUM($L96:AB96)), MAX(AB96,$I96-SUM($L96:AB96)))</f>
        <v>1.9113998737427573</v>
      </c>
      <c r="AD96" s="147">
        <f>IF($I96 &gt;0, MIN(AC96,$I96-SUM($L96:AC96)), MAX(AC96,$I96-SUM($L96:AC96)))</f>
        <v>1.9113998737427573</v>
      </c>
      <c r="AE96" s="147">
        <f>IF($I96 &gt;0, MIN(AD96,$I96-SUM($L96:AD96)), MAX(AD96,$I96-SUM($L96:AD96)))</f>
        <v>1.9113998737427573</v>
      </c>
      <c r="AF96" s="147">
        <f>IF($I96 &gt;0, MIN(AE96,$I96-SUM($L96:AE96)), MAX(AE96,$I96-SUM($L96:AE96)))</f>
        <v>1.9113998737427573</v>
      </c>
      <c r="AG96" s="147">
        <f>IF($I96 &gt;0, MIN(AF96,$I96-SUM($L96:AF96)), MAX(AF96,$I96-SUM($L96:AF96)))</f>
        <v>1.9113998737427573</v>
      </c>
      <c r="AH96" s="147">
        <f>IF($I96 &gt;0, MIN(AG96,$I96-SUM($L96:AG96)), MAX(AG96,$I96-SUM($L96:AG96)))</f>
        <v>1.9113998737427573</v>
      </c>
      <c r="AI96" s="147">
        <f>IF($I96 &gt;0, MIN(AH96,$I96-SUM($L96:AH96)), MAX(AH96,$I96-SUM($L96:AH96)))</f>
        <v>1.9113998737427573</v>
      </c>
      <c r="AJ96" s="147">
        <f>IF($I96 &gt;0, MIN(AI96,$I96-SUM($L96:AI96)), MAX(AI96,$I96-SUM($L96:AI96)))</f>
        <v>1.9113998737427573</v>
      </c>
      <c r="AK96" s="147">
        <f>IF($I96 &gt;0, MIN(AJ96,$I96-SUM($L96:AJ96)), MAX(AJ96,$I96-SUM($L96:AJ96)))</f>
        <v>1.9113998737427573</v>
      </c>
      <c r="AL96" s="147">
        <f>IF($I96 &gt;0, MIN(AK96,$I96-SUM($L96:AK96)), MAX(AK96,$I96-SUM($L96:AK96)))</f>
        <v>1.9113998737427573</v>
      </c>
      <c r="AM96" s="147">
        <f>IF($I96 &gt;0, MIN(AL96,$I96-SUM($L96:AL96)), MAX(AL96,$I96-SUM($L96:AL96)))</f>
        <v>1.9113998737427573</v>
      </c>
      <c r="AN96" s="147">
        <f>IF($I96 &gt;0, MIN(AM96,$I96-SUM($L96:AM96)), MAX(AM96,$I96-SUM($L96:AM96)))</f>
        <v>1.9113998737427573</v>
      </c>
      <c r="AO96" s="147">
        <f>IF($I96 &gt;0, MIN(AN96,$I96-SUM($L96:AN96)), MAX(AN96,$I96-SUM($L96:AN96)))</f>
        <v>1.9113998737427573</v>
      </c>
      <c r="AP96" s="147">
        <f>IF($I96 &gt;0, MIN(AO96,$I96-SUM($L96:AO96)), MAX(AO96,$I96-SUM($L96:AO96)))</f>
        <v>1.9113998737427573</v>
      </c>
      <c r="AQ96" s="147">
        <f>IF($I96 &gt;0, MIN(AP96,$I96-SUM($L96:AP96)), MAX(AP96,$I96-SUM($L96:AP96)))</f>
        <v>1.9113998737427573</v>
      </c>
      <c r="AR96" s="147">
        <f>IF($I96 &gt;0, MIN(AQ96,$I96-SUM($L96:AQ96)), MAX(AQ96,$I96-SUM($L96:AQ96)))</f>
        <v>1.9113998737427573</v>
      </c>
    </row>
    <row r="97" spans="4:44" ht="15" customHeight="1">
      <c r="D97" s="149"/>
      <c r="E97" s="184">
        <v>36616</v>
      </c>
      <c r="G97" s="158" t="s">
        <v>844</v>
      </c>
      <c r="H97" s="151"/>
      <c r="I97" s="147">
        <f t="shared" si="6"/>
        <v>59.863375413285262</v>
      </c>
      <c r="J97" s="31" t="s">
        <v>56</v>
      </c>
      <c r="K97" s="149"/>
      <c r="L97" s="147"/>
      <c r="M97" s="147"/>
      <c r="N97" s="147"/>
      <c r="O97" s="149"/>
      <c r="P97" s="149"/>
      <c r="Q97" s="149"/>
      <c r="R97" s="149"/>
      <c r="S97" s="149"/>
      <c r="T97" s="149"/>
      <c r="U97" s="107">
        <f>$I97/T$82</f>
        <v>1.7976989613599179</v>
      </c>
      <c r="V97" s="147">
        <f>IF($I97 &gt;0, MIN(U97,$I97-SUM($L97:U97)), MAX(U97,$I97-SUM($L97:U97)))</f>
        <v>1.7976989613599179</v>
      </c>
      <c r="W97" s="147">
        <f>IF($I97 &gt;0, MIN(V97,$I97-SUM($L97:V97)), MAX(V97,$I97-SUM($L97:V97)))</f>
        <v>1.7976989613599179</v>
      </c>
      <c r="X97" s="147">
        <f>IF($I97 &gt;0, MIN(W97,$I97-SUM($L97:W97)), MAX(W97,$I97-SUM($L97:W97)))</f>
        <v>1.7976989613599179</v>
      </c>
      <c r="Y97" s="147">
        <f>IF($I97 &gt;0, MIN(X97,$I97-SUM($L97:X97)), MAX(X97,$I97-SUM($L97:X97)))</f>
        <v>1.7976989613599179</v>
      </c>
      <c r="Z97" s="147">
        <f>IF($I97 &gt;0, MIN(Y97,$I97-SUM($L97:Y97)), MAX(Y97,$I97-SUM($L97:Y97)))</f>
        <v>1.7976989613599179</v>
      </c>
      <c r="AA97" s="147">
        <f>IF($I97 &gt;0, MIN(Z97,$I97-SUM($L97:Z97)), MAX(Z97,$I97-SUM($L97:Z97)))</f>
        <v>1.7976989613599179</v>
      </c>
      <c r="AB97" s="147">
        <f>IF($I97 &gt;0, MIN(AA97,$I97-SUM($L97:AA97)), MAX(AA97,$I97-SUM($L97:AA97)))</f>
        <v>1.7976989613599179</v>
      </c>
      <c r="AC97" s="147">
        <f>IF($I97 &gt;0, MIN(AB97,$I97-SUM($L97:AB97)), MAX(AB97,$I97-SUM($L97:AB97)))</f>
        <v>1.7976989613599179</v>
      </c>
      <c r="AD97" s="147">
        <f>IF($I97 &gt;0, MIN(AC97,$I97-SUM($L97:AC97)), MAX(AC97,$I97-SUM($L97:AC97)))</f>
        <v>1.7976989613599179</v>
      </c>
      <c r="AE97" s="147">
        <f>IF($I97 &gt;0, MIN(AD97,$I97-SUM($L97:AD97)), MAX(AD97,$I97-SUM($L97:AD97)))</f>
        <v>1.7976989613599179</v>
      </c>
      <c r="AF97" s="147">
        <f>IF($I97 &gt;0, MIN(AE97,$I97-SUM($L97:AE97)), MAX(AE97,$I97-SUM($L97:AE97)))</f>
        <v>1.7976989613599179</v>
      </c>
      <c r="AG97" s="147">
        <f>IF($I97 &gt;0, MIN(AF97,$I97-SUM($L97:AF97)), MAX(AF97,$I97-SUM($L97:AF97)))</f>
        <v>1.7976989613599179</v>
      </c>
      <c r="AH97" s="147">
        <f>IF($I97 &gt;0, MIN(AG97,$I97-SUM($L97:AG97)), MAX(AG97,$I97-SUM($L97:AG97)))</f>
        <v>1.7976989613599179</v>
      </c>
      <c r="AI97" s="147">
        <f>IF($I97 &gt;0, MIN(AH97,$I97-SUM($L97:AH97)), MAX(AH97,$I97-SUM($L97:AH97)))</f>
        <v>1.7976989613599179</v>
      </c>
      <c r="AJ97" s="147">
        <f>IF($I97 &gt;0, MIN(AI97,$I97-SUM($L97:AI97)), MAX(AI97,$I97-SUM($L97:AI97)))</f>
        <v>1.7976989613599179</v>
      </c>
      <c r="AK97" s="147">
        <f>IF($I97 &gt;0, MIN(AJ97,$I97-SUM($L97:AJ97)), MAX(AJ97,$I97-SUM($L97:AJ97)))</f>
        <v>1.7976989613599179</v>
      </c>
      <c r="AL97" s="147">
        <f>IF($I97 &gt;0, MIN(AK97,$I97-SUM($L97:AK97)), MAX(AK97,$I97-SUM($L97:AK97)))</f>
        <v>1.7976989613599179</v>
      </c>
      <c r="AM97" s="147">
        <f>IF($I97 &gt;0, MIN(AL97,$I97-SUM($L97:AL97)), MAX(AL97,$I97-SUM($L97:AL97)))</f>
        <v>1.7976989613599179</v>
      </c>
      <c r="AN97" s="147">
        <f>IF($I97 &gt;0, MIN(AM97,$I97-SUM($L97:AM97)), MAX(AM97,$I97-SUM($L97:AM97)))</f>
        <v>1.7976989613599179</v>
      </c>
      <c r="AO97" s="147">
        <f>IF($I97 &gt;0, MIN(AN97,$I97-SUM($L97:AN97)), MAX(AN97,$I97-SUM($L97:AN97)))</f>
        <v>1.7976989613599179</v>
      </c>
      <c r="AP97" s="147">
        <f>IF($I97 &gt;0, MIN(AO97,$I97-SUM($L97:AO97)), MAX(AO97,$I97-SUM($L97:AO97)))</f>
        <v>1.7976989613599179</v>
      </c>
      <c r="AQ97" s="147">
        <f>IF($I97 &gt;0, MIN(AP97,$I97-SUM($L97:AP97)), MAX(AP97,$I97-SUM($L97:AP97)))</f>
        <v>1.7976989613599179</v>
      </c>
      <c r="AR97" s="147">
        <f>IF($I97 &gt;0, MIN(AQ97,$I97-SUM($L97:AQ97)), MAX(AQ97,$I97-SUM($L97:AQ97)))</f>
        <v>1.7976989613599179</v>
      </c>
    </row>
    <row r="98" spans="4:44" ht="15" customHeight="1">
      <c r="D98" s="149"/>
      <c r="E98" s="184">
        <v>36981</v>
      </c>
      <c r="G98" s="158" t="s">
        <v>844</v>
      </c>
      <c r="H98" s="151"/>
      <c r="I98" s="147">
        <f t="shared" si="6"/>
        <v>75.409125401303626</v>
      </c>
      <c r="J98" s="31" t="s">
        <v>56</v>
      </c>
      <c r="K98" s="149"/>
      <c r="L98" s="147"/>
      <c r="M98" s="147"/>
      <c r="N98" s="147"/>
      <c r="O98" s="149"/>
      <c r="P98" s="149"/>
      <c r="Q98" s="149"/>
      <c r="R98" s="149"/>
      <c r="S98" s="149"/>
      <c r="T98" s="149"/>
      <c r="U98" s="149"/>
      <c r="V98" s="107">
        <f>$I98/U$82</f>
        <v>2.2645383003394484</v>
      </c>
      <c r="W98" s="147">
        <f>IF($I98 &gt;0, MIN(V98,$I98-SUM($L98:V98)), MAX(V98,$I98-SUM($L98:V98)))</f>
        <v>2.2645383003394484</v>
      </c>
      <c r="X98" s="147">
        <f>IF($I98 &gt;0, MIN(W98,$I98-SUM($L98:W98)), MAX(W98,$I98-SUM($L98:W98)))</f>
        <v>2.2645383003394484</v>
      </c>
      <c r="Y98" s="147">
        <f>IF($I98 &gt;0, MIN(X98,$I98-SUM($L98:X98)), MAX(X98,$I98-SUM($L98:X98)))</f>
        <v>2.2645383003394484</v>
      </c>
      <c r="Z98" s="147">
        <f>IF($I98 &gt;0, MIN(Y98,$I98-SUM($L98:Y98)), MAX(Y98,$I98-SUM($L98:Y98)))</f>
        <v>2.2645383003394484</v>
      </c>
      <c r="AA98" s="147">
        <f>IF($I98 &gt;0, MIN(Z98,$I98-SUM($L98:Z98)), MAX(Z98,$I98-SUM($L98:Z98)))</f>
        <v>2.2645383003394484</v>
      </c>
      <c r="AB98" s="147">
        <f>IF($I98 &gt;0, MIN(AA98,$I98-SUM($L98:AA98)), MAX(AA98,$I98-SUM($L98:AA98)))</f>
        <v>2.2645383003394484</v>
      </c>
      <c r="AC98" s="147">
        <f>IF($I98 &gt;0, MIN(AB98,$I98-SUM($L98:AB98)), MAX(AB98,$I98-SUM($L98:AB98)))</f>
        <v>2.2645383003394484</v>
      </c>
      <c r="AD98" s="147">
        <f>IF($I98 &gt;0, MIN(AC98,$I98-SUM($L98:AC98)), MAX(AC98,$I98-SUM($L98:AC98)))</f>
        <v>2.2645383003394484</v>
      </c>
      <c r="AE98" s="147">
        <f>IF($I98 &gt;0, MIN(AD98,$I98-SUM($L98:AD98)), MAX(AD98,$I98-SUM($L98:AD98)))</f>
        <v>2.2645383003394484</v>
      </c>
      <c r="AF98" s="147">
        <f>IF($I98 &gt;0, MIN(AE98,$I98-SUM($L98:AE98)), MAX(AE98,$I98-SUM($L98:AE98)))</f>
        <v>2.2645383003394484</v>
      </c>
      <c r="AG98" s="147">
        <f>IF($I98 &gt;0, MIN(AF98,$I98-SUM($L98:AF98)), MAX(AF98,$I98-SUM($L98:AF98)))</f>
        <v>2.2645383003394484</v>
      </c>
      <c r="AH98" s="147">
        <f>IF($I98 &gt;0, MIN(AG98,$I98-SUM($L98:AG98)), MAX(AG98,$I98-SUM($L98:AG98)))</f>
        <v>2.2645383003394484</v>
      </c>
      <c r="AI98" s="147">
        <f>IF($I98 &gt;0, MIN(AH98,$I98-SUM($L98:AH98)), MAX(AH98,$I98-SUM($L98:AH98)))</f>
        <v>2.2645383003394484</v>
      </c>
      <c r="AJ98" s="147">
        <f>IF($I98 &gt;0, MIN(AI98,$I98-SUM($L98:AI98)), MAX(AI98,$I98-SUM($L98:AI98)))</f>
        <v>2.2645383003394484</v>
      </c>
      <c r="AK98" s="147">
        <f>IF($I98 &gt;0, MIN(AJ98,$I98-SUM($L98:AJ98)), MAX(AJ98,$I98-SUM($L98:AJ98)))</f>
        <v>2.2645383003394484</v>
      </c>
      <c r="AL98" s="147">
        <f>IF($I98 &gt;0, MIN(AK98,$I98-SUM($L98:AK98)), MAX(AK98,$I98-SUM($L98:AK98)))</f>
        <v>2.2645383003394484</v>
      </c>
      <c r="AM98" s="147">
        <f>IF($I98 &gt;0, MIN(AL98,$I98-SUM($L98:AL98)), MAX(AL98,$I98-SUM($L98:AL98)))</f>
        <v>2.2645383003394484</v>
      </c>
      <c r="AN98" s="147">
        <f>IF($I98 &gt;0, MIN(AM98,$I98-SUM($L98:AM98)), MAX(AM98,$I98-SUM($L98:AM98)))</f>
        <v>2.2645383003394484</v>
      </c>
      <c r="AO98" s="147">
        <f>IF($I98 &gt;0, MIN(AN98,$I98-SUM($L98:AN98)), MAX(AN98,$I98-SUM($L98:AN98)))</f>
        <v>2.2645383003394484</v>
      </c>
      <c r="AP98" s="147">
        <f>IF($I98 &gt;0, MIN(AO98,$I98-SUM($L98:AO98)), MAX(AO98,$I98-SUM($L98:AO98)))</f>
        <v>2.2645383003394484</v>
      </c>
      <c r="AQ98" s="147">
        <f>IF($I98 &gt;0, MIN(AP98,$I98-SUM($L98:AP98)), MAX(AP98,$I98-SUM($L98:AP98)))</f>
        <v>2.2645383003394484</v>
      </c>
      <c r="AR98" s="147">
        <f>IF($I98 &gt;0, MIN(AQ98,$I98-SUM($L98:AQ98)), MAX(AQ98,$I98-SUM($L98:AQ98)))</f>
        <v>2.2645383003394484</v>
      </c>
    </row>
    <row r="99" spans="4:44" ht="15" customHeight="1">
      <c r="D99" s="149"/>
      <c r="E99" s="184">
        <v>37346</v>
      </c>
      <c r="G99" s="158" t="s">
        <v>844</v>
      </c>
      <c r="H99" s="151"/>
      <c r="I99" s="147">
        <f t="shared" si="6"/>
        <v>103.78739782668701</v>
      </c>
      <c r="J99" s="31" t="s">
        <v>56</v>
      </c>
      <c r="K99" s="149"/>
      <c r="L99" s="147"/>
      <c r="M99" s="147"/>
      <c r="N99" s="147"/>
      <c r="O99" s="149"/>
      <c r="P99" s="149"/>
      <c r="Q99" s="149"/>
      <c r="R99" s="149"/>
      <c r="S99" s="149"/>
      <c r="T99" s="149"/>
      <c r="U99" s="149"/>
      <c r="V99" s="149"/>
      <c r="W99" s="107">
        <f>$I99/V$82</f>
        <v>3.1167386734740847</v>
      </c>
      <c r="X99" s="147">
        <f>IF($I99 &gt;0, MIN(W99,$I99-SUM($L99:W99)), MAX(W99,$I99-SUM($L99:W99)))</f>
        <v>3.1167386734740847</v>
      </c>
      <c r="Y99" s="147">
        <f>IF($I99 &gt;0, MIN(X99,$I99-SUM($L99:X99)), MAX(X99,$I99-SUM($L99:X99)))</f>
        <v>3.1167386734740847</v>
      </c>
      <c r="Z99" s="147">
        <f>IF($I99 &gt;0, MIN(Y99,$I99-SUM($L99:Y99)), MAX(Y99,$I99-SUM($L99:Y99)))</f>
        <v>3.1167386734740847</v>
      </c>
      <c r="AA99" s="147">
        <f>IF($I99 &gt;0, MIN(Z99,$I99-SUM($L99:Z99)), MAX(Z99,$I99-SUM($L99:Z99)))</f>
        <v>3.1167386734740847</v>
      </c>
      <c r="AB99" s="147">
        <f>IF($I99 &gt;0, MIN(AA99,$I99-SUM($L99:AA99)), MAX(AA99,$I99-SUM($L99:AA99)))</f>
        <v>3.1167386734740847</v>
      </c>
      <c r="AC99" s="147">
        <f>IF($I99 &gt;0, MIN(AB99,$I99-SUM($L99:AB99)), MAX(AB99,$I99-SUM($L99:AB99)))</f>
        <v>3.1167386734740847</v>
      </c>
      <c r="AD99" s="147">
        <f>IF($I99 &gt;0, MIN(AC99,$I99-SUM($L99:AC99)), MAX(AC99,$I99-SUM($L99:AC99)))</f>
        <v>3.1167386734740847</v>
      </c>
      <c r="AE99" s="147">
        <f>IF($I99 &gt;0, MIN(AD99,$I99-SUM($L99:AD99)), MAX(AD99,$I99-SUM($L99:AD99)))</f>
        <v>3.1167386734740847</v>
      </c>
      <c r="AF99" s="147">
        <f>IF($I99 &gt;0, MIN(AE99,$I99-SUM($L99:AE99)), MAX(AE99,$I99-SUM($L99:AE99)))</f>
        <v>3.1167386734740847</v>
      </c>
      <c r="AG99" s="147">
        <f>IF($I99 &gt;0, MIN(AF99,$I99-SUM($L99:AF99)), MAX(AF99,$I99-SUM($L99:AF99)))</f>
        <v>3.1167386734740847</v>
      </c>
      <c r="AH99" s="147">
        <f>IF($I99 &gt;0, MIN(AG99,$I99-SUM($L99:AG99)), MAX(AG99,$I99-SUM($L99:AG99)))</f>
        <v>3.1167386734740847</v>
      </c>
      <c r="AI99" s="147">
        <f>IF($I99 &gt;0, MIN(AH99,$I99-SUM($L99:AH99)), MAX(AH99,$I99-SUM($L99:AH99)))</f>
        <v>3.1167386734740847</v>
      </c>
      <c r="AJ99" s="147">
        <f>IF($I99 &gt;0, MIN(AI99,$I99-SUM($L99:AI99)), MAX(AI99,$I99-SUM($L99:AI99)))</f>
        <v>3.1167386734740847</v>
      </c>
      <c r="AK99" s="147">
        <f>IF($I99 &gt;0, MIN(AJ99,$I99-SUM($L99:AJ99)), MAX(AJ99,$I99-SUM($L99:AJ99)))</f>
        <v>3.1167386734740847</v>
      </c>
      <c r="AL99" s="147">
        <f>IF($I99 &gt;0, MIN(AK99,$I99-SUM($L99:AK99)), MAX(AK99,$I99-SUM($L99:AK99)))</f>
        <v>3.1167386734740847</v>
      </c>
      <c r="AM99" s="147">
        <f>IF($I99 &gt;0, MIN(AL99,$I99-SUM($L99:AL99)), MAX(AL99,$I99-SUM($L99:AL99)))</f>
        <v>3.1167386734740847</v>
      </c>
      <c r="AN99" s="147">
        <f>IF($I99 &gt;0, MIN(AM99,$I99-SUM($L99:AM99)), MAX(AM99,$I99-SUM($L99:AM99)))</f>
        <v>3.1167386734740847</v>
      </c>
      <c r="AO99" s="147">
        <f>IF($I99 &gt;0, MIN(AN99,$I99-SUM($L99:AN99)), MAX(AN99,$I99-SUM($L99:AN99)))</f>
        <v>3.1167386734740847</v>
      </c>
      <c r="AP99" s="147">
        <f>IF($I99 &gt;0, MIN(AO99,$I99-SUM($L99:AO99)), MAX(AO99,$I99-SUM($L99:AO99)))</f>
        <v>3.1167386734740847</v>
      </c>
      <c r="AQ99" s="147">
        <f>IF($I99 &gt;0, MIN(AP99,$I99-SUM($L99:AP99)), MAX(AP99,$I99-SUM($L99:AP99)))</f>
        <v>3.1167386734740847</v>
      </c>
      <c r="AR99" s="147">
        <f>IF($I99 &gt;0, MIN(AQ99,$I99-SUM($L99:AQ99)), MAX(AQ99,$I99-SUM($L99:AQ99)))</f>
        <v>3.1167386734740847</v>
      </c>
    </row>
    <row r="100" spans="4:44" ht="15" customHeight="1">
      <c r="D100" s="149"/>
      <c r="E100" s="184">
        <v>37711</v>
      </c>
      <c r="G100" s="158" t="s">
        <v>844</v>
      </c>
      <c r="H100" s="151"/>
      <c r="I100" s="147">
        <f t="shared" si="6"/>
        <v>96.620140606251795</v>
      </c>
      <c r="J100" s="31" t="s">
        <v>56</v>
      </c>
      <c r="K100" s="149"/>
      <c r="L100" s="147"/>
      <c r="M100" s="147"/>
      <c r="N100" s="147"/>
      <c r="O100" s="149"/>
      <c r="P100" s="149"/>
      <c r="Q100" s="149"/>
      <c r="R100" s="149"/>
      <c r="S100" s="149"/>
      <c r="T100" s="149"/>
      <c r="U100" s="149"/>
      <c r="V100" s="149"/>
      <c r="W100" s="149"/>
      <c r="X100" s="107">
        <f>$I100/W$82</f>
        <v>2.9015057239114657</v>
      </c>
      <c r="Y100" s="147">
        <f>IF($I100 &gt;0, MIN(X100,$I100-SUM($L100:X100)), MAX(X100,$I100-SUM($L100:X100)))</f>
        <v>2.9015057239114657</v>
      </c>
      <c r="Z100" s="147">
        <f>IF($I100 &gt;0, MIN(Y100,$I100-SUM($L100:Y100)), MAX(Y100,$I100-SUM($L100:Y100)))</f>
        <v>2.9015057239114657</v>
      </c>
      <c r="AA100" s="147">
        <f>IF($I100 &gt;0, MIN(Z100,$I100-SUM($L100:Z100)), MAX(Z100,$I100-SUM($L100:Z100)))</f>
        <v>2.9015057239114657</v>
      </c>
      <c r="AB100" s="147">
        <f>IF($I100 &gt;0, MIN(AA100,$I100-SUM($L100:AA100)), MAX(AA100,$I100-SUM($L100:AA100)))</f>
        <v>2.9015057239114657</v>
      </c>
      <c r="AC100" s="147">
        <f>IF($I100 &gt;0, MIN(AB100,$I100-SUM($L100:AB100)), MAX(AB100,$I100-SUM($L100:AB100)))</f>
        <v>2.9015057239114657</v>
      </c>
      <c r="AD100" s="147">
        <f>IF($I100 &gt;0, MIN(AC100,$I100-SUM($L100:AC100)), MAX(AC100,$I100-SUM($L100:AC100)))</f>
        <v>2.9015057239114657</v>
      </c>
      <c r="AE100" s="147">
        <f>IF($I100 &gt;0, MIN(AD100,$I100-SUM($L100:AD100)), MAX(AD100,$I100-SUM($L100:AD100)))</f>
        <v>2.9015057239114657</v>
      </c>
      <c r="AF100" s="147">
        <f>IF($I100 &gt;0, MIN(AE100,$I100-SUM($L100:AE100)), MAX(AE100,$I100-SUM($L100:AE100)))</f>
        <v>2.9015057239114657</v>
      </c>
      <c r="AG100" s="147">
        <f>IF($I100 &gt;0, MIN(AF100,$I100-SUM($L100:AF100)), MAX(AF100,$I100-SUM($L100:AF100)))</f>
        <v>2.9015057239114657</v>
      </c>
      <c r="AH100" s="147">
        <f>IF($I100 &gt;0, MIN(AG100,$I100-SUM($L100:AG100)), MAX(AG100,$I100-SUM($L100:AG100)))</f>
        <v>2.9015057239114657</v>
      </c>
      <c r="AI100" s="147">
        <f>IF($I100 &gt;0, MIN(AH100,$I100-SUM($L100:AH100)), MAX(AH100,$I100-SUM($L100:AH100)))</f>
        <v>2.9015057239114657</v>
      </c>
      <c r="AJ100" s="147">
        <f>IF($I100 &gt;0, MIN(AI100,$I100-SUM($L100:AI100)), MAX(AI100,$I100-SUM($L100:AI100)))</f>
        <v>2.9015057239114657</v>
      </c>
      <c r="AK100" s="147">
        <f>IF($I100 &gt;0, MIN(AJ100,$I100-SUM($L100:AJ100)), MAX(AJ100,$I100-SUM($L100:AJ100)))</f>
        <v>2.9015057239114657</v>
      </c>
      <c r="AL100" s="147">
        <f>IF($I100 &gt;0, MIN(AK100,$I100-SUM($L100:AK100)), MAX(AK100,$I100-SUM($L100:AK100)))</f>
        <v>2.9015057239114657</v>
      </c>
      <c r="AM100" s="147">
        <f>IF($I100 &gt;0, MIN(AL100,$I100-SUM($L100:AL100)), MAX(AL100,$I100-SUM($L100:AL100)))</f>
        <v>2.9015057239114657</v>
      </c>
      <c r="AN100" s="147">
        <f>IF($I100 &gt;0, MIN(AM100,$I100-SUM($L100:AM100)), MAX(AM100,$I100-SUM($L100:AM100)))</f>
        <v>2.9015057239114657</v>
      </c>
      <c r="AO100" s="147">
        <f>IF($I100 &gt;0, MIN(AN100,$I100-SUM($L100:AN100)), MAX(AN100,$I100-SUM($L100:AN100)))</f>
        <v>2.9015057239114657</v>
      </c>
      <c r="AP100" s="147">
        <f>IF($I100 &gt;0, MIN(AO100,$I100-SUM($L100:AO100)), MAX(AO100,$I100-SUM($L100:AO100)))</f>
        <v>2.9015057239114657</v>
      </c>
      <c r="AQ100" s="147">
        <f>IF($I100 &gt;0, MIN(AP100,$I100-SUM($L100:AP100)), MAX(AP100,$I100-SUM($L100:AP100)))</f>
        <v>2.9015057239114657</v>
      </c>
      <c r="AR100" s="147">
        <f>IF($I100 &gt;0, MIN(AQ100,$I100-SUM($L100:AQ100)), MAX(AQ100,$I100-SUM($L100:AQ100)))</f>
        <v>2.9015057239114657</v>
      </c>
    </row>
    <row r="101" spans="4:44" ht="15" customHeight="1">
      <c r="D101" s="149"/>
      <c r="E101" s="184">
        <v>38077</v>
      </c>
      <c r="G101" s="158" t="s">
        <v>844</v>
      </c>
      <c r="H101" s="151"/>
      <c r="I101" s="147">
        <f t="shared" si="6"/>
        <v>99.090190437046175</v>
      </c>
      <c r="J101" s="31" t="s">
        <v>56</v>
      </c>
      <c r="K101" s="149"/>
      <c r="L101" s="147"/>
      <c r="M101" s="147"/>
      <c r="N101" s="147"/>
      <c r="O101" s="149"/>
      <c r="P101" s="149"/>
      <c r="Q101" s="149"/>
      <c r="R101" s="149"/>
      <c r="S101" s="149"/>
      <c r="T101" s="149"/>
      <c r="U101" s="149"/>
      <c r="V101" s="149"/>
      <c r="W101" s="149"/>
      <c r="X101" s="149"/>
      <c r="Y101" s="107">
        <f>$I101/X$82</f>
        <v>2.9756813945058913</v>
      </c>
      <c r="Z101" s="147">
        <f>IF($I101 &gt;0, MIN(Y101,$I101-SUM($L101:Y101)), MAX(Y101,$I101-SUM($L101:Y101)))</f>
        <v>2.9756813945058913</v>
      </c>
      <c r="AA101" s="147">
        <f>IF($I101 &gt;0, MIN(Z101,$I101-SUM($L101:Z101)), MAX(Z101,$I101-SUM($L101:Z101)))</f>
        <v>2.9756813945058913</v>
      </c>
      <c r="AB101" s="147">
        <f>IF($I101 &gt;0, MIN(AA101,$I101-SUM($L101:AA101)), MAX(AA101,$I101-SUM($L101:AA101)))</f>
        <v>2.9756813945058913</v>
      </c>
      <c r="AC101" s="147">
        <f>IF($I101 &gt;0, MIN(AB101,$I101-SUM($L101:AB101)), MAX(AB101,$I101-SUM($L101:AB101)))</f>
        <v>2.9756813945058913</v>
      </c>
      <c r="AD101" s="147">
        <f>IF($I101 &gt;0, MIN(AC101,$I101-SUM($L101:AC101)), MAX(AC101,$I101-SUM($L101:AC101)))</f>
        <v>2.9756813945058913</v>
      </c>
      <c r="AE101" s="147">
        <f>IF($I101 &gt;0, MIN(AD101,$I101-SUM($L101:AD101)), MAX(AD101,$I101-SUM($L101:AD101)))</f>
        <v>2.9756813945058913</v>
      </c>
      <c r="AF101" s="147">
        <f>IF($I101 &gt;0, MIN(AE101,$I101-SUM($L101:AE101)), MAX(AE101,$I101-SUM($L101:AE101)))</f>
        <v>2.9756813945058913</v>
      </c>
      <c r="AG101" s="147">
        <f>IF($I101 &gt;0, MIN(AF101,$I101-SUM($L101:AF101)), MAX(AF101,$I101-SUM($L101:AF101)))</f>
        <v>2.9756813945058913</v>
      </c>
      <c r="AH101" s="147">
        <f>IF($I101 &gt;0, MIN(AG101,$I101-SUM($L101:AG101)), MAX(AG101,$I101-SUM($L101:AG101)))</f>
        <v>2.9756813945058913</v>
      </c>
      <c r="AI101" s="147">
        <f>IF($I101 &gt;0, MIN(AH101,$I101-SUM($L101:AH101)), MAX(AH101,$I101-SUM($L101:AH101)))</f>
        <v>2.9756813945058913</v>
      </c>
      <c r="AJ101" s="147">
        <f>IF($I101 &gt;0, MIN(AI101,$I101-SUM($L101:AI101)), MAX(AI101,$I101-SUM($L101:AI101)))</f>
        <v>2.9756813945058913</v>
      </c>
      <c r="AK101" s="147">
        <f>IF($I101 &gt;0, MIN(AJ101,$I101-SUM($L101:AJ101)), MAX(AJ101,$I101-SUM($L101:AJ101)))</f>
        <v>2.9756813945058913</v>
      </c>
      <c r="AL101" s="147">
        <f>IF($I101 &gt;0, MIN(AK101,$I101-SUM($L101:AK101)), MAX(AK101,$I101-SUM($L101:AK101)))</f>
        <v>2.9756813945058913</v>
      </c>
      <c r="AM101" s="147">
        <f>IF($I101 &gt;0, MIN(AL101,$I101-SUM($L101:AL101)), MAX(AL101,$I101-SUM($L101:AL101)))</f>
        <v>2.9756813945058913</v>
      </c>
      <c r="AN101" s="147">
        <f>IF($I101 &gt;0, MIN(AM101,$I101-SUM($L101:AM101)), MAX(AM101,$I101-SUM($L101:AM101)))</f>
        <v>2.9756813945058913</v>
      </c>
      <c r="AO101" s="147">
        <f>IF($I101 &gt;0, MIN(AN101,$I101-SUM($L101:AN101)), MAX(AN101,$I101-SUM($L101:AN101)))</f>
        <v>2.9756813945058913</v>
      </c>
      <c r="AP101" s="147">
        <f>IF($I101 &gt;0, MIN(AO101,$I101-SUM($L101:AO101)), MAX(AO101,$I101-SUM($L101:AO101)))</f>
        <v>2.9756813945058913</v>
      </c>
      <c r="AQ101" s="147">
        <f>IF($I101 &gt;0, MIN(AP101,$I101-SUM($L101:AP101)), MAX(AP101,$I101-SUM($L101:AP101)))</f>
        <v>2.9756813945058913</v>
      </c>
      <c r="AR101" s="147">
        <f>IF($I101 &gt;0, MIN(AQ101,$I101-SUM($L101:AQ101)), MAX(AQ101,$I101-SUM($L101:AQ101)))</f>
        <v>2.9756813945058913</v>
      </c>
    </row>
    <row r="102" spans="4:44" ht="15" customHeight="1">
      <c r="D102" s="149"/>
      <c r="E102" s="184">
        <v>38442</v>
      </c>
      <c r="G102" s="158" t="s">
        <v>844</v>
      </c>
      <c r="H102" s="151"/>
      <c r="I102" s="147">
        <f t="shared" si="6"/>
        <v>106.75865775226399</v>
      </c>
      <c r="J102" s="31" t="s">
        <v>56</v>
      </c>
      <c r="K102" s="149"/>
      <c r="L102" s="147"/>
      <c r="M102" s="147"/>
      <c r="N102" s="147"/>
      <c r="O102" s="149"/>
      <c r="P102" s="149"/>
      <c r="Q102" s="149"/>
      <c r="R102" s="149"/>
      <c r="S102" s="149"/>
      <c r="T102" s="149"/>
      <c r="U102" s="149"/>
      <c r="V102" s="149"/>
      <c r="W102" s="149"/>
      <c r="X102" s="149"/>
      <c r="Y102" s="149"/>
      <c r="Z102" s="107">
        <f>$I102/Y$82</f>
        <v>3.2059656982661862</v>
      </c>
      <c r="AA102" s="147">
        <f>IF($I102 &gt;0, MIN(Z102,$I102-SUM($L102:Z102)), MAX(Z102,$I102-SUM($L102:Z102)))</f>
        <v>3.2059656982661862</v>
      </c>
      <c r="AB102" s="147">
        <f>IF($I102 &gt;0, MIN(AA102,$I102-SUM($L102:AA102)), MAX(AA102,$I102-SUM($L102:AA102)))</f>
        <v>3.2059656982661862</v>
      </c>
      <c r="AC102" s="147">
        <f>IF($I102 &gt;0, MIN(AB102,$I102-SUM($L102:AB102)), MAX(AB102,$I102-SUM($L102:AB102)))</f>
        <v>3.2059656982661862</v>
      </c>
      <c r="AD102" s="147">
        <f>IF($I102 &gt;0, MIN(AC102,$I102-SUM($L102:AC102)), MAX(AC102,$I102-SUM($L102:AC102)))</f>
        <v>3.2059656982661862</v>
      </c>
      <c r="AE102" s="147">
        <f>IF($I102 &gt;0, MIN(AD102,$I102-SUM($L102:AD102)), MAX(AD102,$I102-SUM($L102:AD102)))</f>
        <v>3.2059656982661862</v>
      </c>
      <c r="AF102" s="147">
        <f>IF($I102 &gt;0, MIN(AE102,$I102-SUM($L102:AE102)), MAX(AE102,$I102-SUM($L102:AE102)))</f>
        <v>3.2059656982661862</v>
      </c>
      <c r="AG102" s="147">
        <f>IF($I102 &gt;0, MIN(AF102,$I102-SUM($L102:AF102)), MAX(AF102,$I102-SUM($L102:AF102)))</f>
        <v>3.2059656982661862</v>
      </c>
      <c r="AH102" s="147">
        <f>IF($I102 &gt;0, MIN(AG102,$I102-SUM($L102:AG102)), MAX(AG102,$I102-SUM($L102:AG102)))</f>
        <v>3.2059656982661862</v>
      </c>
      <c r="AI102" s="147">
        <f>IF($I102 &gt;0, MIN(AH102,$I102-SUM($L102:AH102)), MAX(AH102,$I102-SUM($L102:AH102)))</f>
        <v>3.2059656982661862</v>
      </c>
      <c r="AJ102" s="147">
        <f>IF($I102 &gt;0, MIN(AI102,$I102-SUM($L102:AI102)), MAX(AI102,$I102-SUM($L102:AI102)))</f>
        <v>3.2059656982661862</v>
      </c>
      <c r="AK102" s="147">
        <f>IF($I102 &gt;0, MIN(AJ102,$I102-SUM($L102:AJ102)), MAX(AJ102,$I102-SUM($L102:AJ102)))</f>
        <v>3.2059656982661862</v>
      </c>
      <c r="AL102" s="147">
        <f>IF($I102 &gt;0, MIN(AK102,$I102-SUM($L102:AK102)), MAX(AK102,$I102-SUM($L102:AK102)))</f>
        <v>3.2059656982661862</v>
      </c>
      <c r="AM102" s="147">
        <f>IF($I102 &gt;0, MIN(AL102,$I102-SUM($L102:AL102)), MAX(AL102,$I102-SUM($L102:AL102)))</f>
        <v>3.2059656982661862</v>
      </c>
      <c r="AN102" s="147">
        <f>IF($I102 &gt;0, MIN(AM102,$I102-SUM($L102:AM102)), MAX(AM102,$I102-SUM($L102:AM102)))</f>
        <v>3.2059656982661862</v>
      </c>
      <c r="AO102" s="147">
        <f>IF($I102 &gt;0, MIN(AN102,$I102-SUM($L102:AN102)), MAX(AN102,$I102-SUM($L102:AN102)))</f>
        <v>3.2059656982661862</v>
      </c>
      <c r="AP102" s="147">
        <f>IF($I102 &gt;0, MIN(AO102,$I102-SUM($L102:AO102)), MAX(AO102,$I102-SUM($L102:AO102)))</f>
        <v>3.2059656982661862</v>
      </c>
      <c r="AQ102" s="147">
        <f>IF($I102 &gt;0, MIN(AP102,$I102-SUM($L102:AP102)), MAX(AP102,$I102-SUM($L102:AP102)))</f>
        <v>3.2059656982661862</v>
      </c>
      <c r="AR102" s="147">
        <f>IF($I102 &gt;0, MIN(AQ102,$I102-SUM($L102:AQ102)), MAX(AQ102,$I102-SUM($L102:AQ102)))</f>
        <v>3.2059656982661862</v>
      </c>
    </row>
    <row r="103" spans="4:44" ht="15" customHeight="1">
      <c r="D103" s="149"/>
      <c r="E103" s="184">
        <v>38807</v>
      </c>
      <c r="G103" s="158" t="s">
        <v>844</v>
      </c>
      <c r="H103" s="151"/>
      <c r="I103" s="147">
        <f t="shared" si="6"/>
        <v>125.68988489878477</v>
      </c>
      <c r="J103" s="31" t="s">
        <v>56</v>
      </c>
      <c r="K103" s="149"/>
      <c r="L103" s="147"/>
      <c r="M103" s="147"/>
      <c r="N103" s="147"/>
      <c r="O103" s="149"/>
      <c r="P103" s="149"/>
      <c r="Q103" s="149"/>
      <c r="R103" s="149"/>
      <c r="S103" s="149"/>
      <c r="T103" s="149"/>
      <c r="U103" s="149"/>
      <c r="V103" s="149"/>
      <c r="W103" s="149"/>
      <c r="X103" s="149"/>
      <c r="Y103" s="149"/>
      <c r="Z103" s="149"/>
      <c r="AA103" s="107">
        <f>$I103/Z$82</f>
        <v>3.7744710179815248</v>
      </c>
      <c r="AB103" s="147">
        <f>IF($I103 &gt;0, MIN(AA103,$I103-SUM($L103:AA103)), MAX(AA103,$I103-SUM($L103:AA103)))</f>
        <v>3.7744710179815248</v>
      </c>
      <c r="AC103" s="147">
        <f>IF($I103 &gt;0, MIN(AB103,$I103-SUM($L103:AB103)), MAX(AB103,$I103-SUM($L103:AB103)))</f>
        <v>3.7744710179815248</v>
      </c>
      <c r="AD103" s="147">
        <f>IF($I103 &gt;0, MIN(AC103,$I103-SUM($L103:AC103)), MAX(AC103,$I103-SUM($L103:AC103)))</f>
        <v>3.7744710179815248</v>
      </c>
      <c r="AE103" s="147">
        <f>IF($I103 &gt;0, MIN(AD103,$I103-SUM($L103:AD103)), MAX(AD103,$I103-SUM($L103:AD103)))</f>
        <v>3.7744710179815248</v>
      </c>
      <c r="AF103" s="147">
        <f>IF($I103 &gt;0, MIN(AE103,$I103-SUM($L103:AE103)), MAX(AE103,$I103-SUM($L103:AE103)))</f>
        <v>3.7744710179815248</v>
      </c>
      <c r="AG103" s="147">
        <f>IF($I103 &gt;0, MIN(AF103,$I103-SUM($L103:AF103)), MAX(AF103,$I103-SUM($L103:AF103)))</f>
        <v>3.7744710179815248</v>
      </c>
      <c r="AH103" s="147">
        <f>IF($I103 &gt;0, MIN(AG103,$I103-SUM($L103:AG103)), MAX(AG103,$I103-SUM($L103:AG103)))</f>
        <v>3.7744710179815248</v>
      </c>
      <c r="AI103" s="147">
        <f>IF($I103 &gt;0, MIN(AH103,$I103-SUM($L103:AH103)), MAX(AH103,$I103-SUM($L103:AH103)))</f>
        <v>3.7744710179815248</v>
      </c>
      <c r="AJ103" s="147">
        <f>IF($I103 &gt;0, MIN(AI103,$I103-SUM($L103:AI103)), MAX(AI103,$I103-SUM($L103:AI103)))</f>
        <v>3.7744710179815248</v>
      </c>
      <c r="AK103" s="147">
        <f>IF($I103 &gt;0, MIN(AJ103,$I103-SUM($L103:AJ103)), MAX(AJ103,$I103-SUM($L103:AJ103)))</f>
        <v>3.7744710179815248</v>
      </c>
      <c r="AL103" s="147">
        <f>IF($I103 &gt;0, MIN(AK103,$I103-SUM($L103:AK103)), MAX(AK103,$I103-SUM($L103:AK103)))</f>
        <v>3.7744710179815248</v>
      </c>
      <c r="AM103" s="147">
        <f>IF($I103 &gt;0, MIN(AL103,$I103-SUM($L103:AL103)), MAX(AL103,$I103-SUM($L103:AL103)))</f>
        <v>3.7744710179815248</v>
      </c>
      <c r="AN103" s="147">
        <f>IF($I103 &gt;0, MIN(AM103,$I103-SUM($L103:AM103)), MAX(AM103,$I103-SUM($L103:AM103)))</f>
        <v>3.7744710179815248</v>
      </c>
      <c r="AO103" s="147">
        <f>IF($I103 &gt;0, MIN(AN103,$I103-SUM($L103:AN103)), MAX(AN103,$I103-SUM($L103:AN103)))</f>
        <v>3.7744710179815248</v>
      </c>
      <c r="AP103" s="147">
        <f>IF($I103 &gt;0, MIN(AO103,$I103-SUM($L103:AO103)), MAX(AO103,$I103-SUM($L103:AO103)))</f>
        <v>3.7744710179815248</v>
      </c>
      <c r="AQ103" s="147">
        <f>IF($I103 &gt;0, MIN(AP103,$I103-SUM($L103:AP103)), MAX(AP103,$I103-SUM($L103:AP103)))</f>
        <v>3.7744710179815248</v>
      </c>
      <c r="AR103" s="147">
        <f>IF($I103 &gt;0, MIN(AQ103,$I103-SUM($L103:AQ103)), MAX(AQ103,$I103-SUM($L103:AQ103)))</f>
        <v>3.7744710179815248</v>
      </c>
    </row>
    <row r="104" spans="4:44" ht="15" customHeight="1">
      <c r="D104" s="149"/>
      <c r="E104" s="184">
        <v>39172</v>
      </c>
      <c r="G104" s="158" t="s">
        <v>844</v>
      </c>
      <c r="H104" s="151"/>
      <c r="I104" s="147">
        <f t="shared" si="6"/>
        <v>99.791717315630706</v>
      </c>
      <c r="J104" s="31" t="s">
        <v>56</v>
      </c>
      <c r="K104" s="149"/>
      <c r="L104" s="147"/>
      <c r="M104" s="147"/>
      <c r="N104" s="147"/>
      <c r="O104" s="149"/>
      <c r="P104" s="149"/>
      <c r="Q104" s="149"/>
      <c r="R104" s="149"/>
      <c r="S104" s="149"/>
      <c r="T104" s="149"/>
      <c r="U104" s="149"/>
      <c r="V104" s="149"/>
      <c r="W104" s="149"/>
      <c r="X104" s="149"/>
      <c r="Y104" s="149"/>
      <c r="Z104" s="149"/>
      <c r="AA104" s="149"/>
      <c r="AB104" s="107">
        <f>$I104/AA$82</f>
        <v>2.9967482677366579</v>
      </c>
      <c r="AC104" s="147">
        <f>IF($I104 &gt;0, MIN(AB104,$I104-SUM($L104:AB104)), MAX(AB104,$I104-SUM($L104:AB104)))</f>
        <v>2.9967482677366579</v>
      </c>
      <c r="AD104" s="147">
        <f>IF($I104 &gt;0, MIN(AC104,$I104-SUM($L104:AC104)), MAX(AC104,$I104-SUM($L104:AC104)))</f>
        <v>2.9967482677366579</v>
      </c>
      <c r="AE104" s="147">
        <f>IF($I104 &gt;0, MIN(AD104,$I104-SUM($L104:AD104)), MAX(AD104,$I104-SUM($L104:AD104)))</f>
        <v>2.9967482677366579</v>
      </c>
      <c r="AF104" s="147">
        <f>IF($I104 &gt;0, MIN(AE104,$I104-SUM($L104:AE104)), MAX(AE104,$I104-SUM($L104:AE104)))</f>
        <v>2.9967482677366579</v>
      </c>
      <c r="AG104" s="147">
        <f>IF($I104 &gt;0, MIN(AF104,$I104-SUM($L104:AF104)), MAX(AF104,$I104-SUM($L104:AF104)))</f>
        <v>2.9967482677366579</v>
      </c>
      <c r="AH104" s="147">
        <f>IF($I104 &gt;0, MIN(AG104,$I104-SUM($L104:AG104)), MAX(AG104,$I104-SUM($L104:AG104)))</f>
        <v>2.9967482677366579</v>
      </c>
      <c r="AI104" s="147">
        <f>IF($I104 &gt;0, MIN(AH104,$I104-SUM($L104:AH104)), MAX(AH104,$I104-SUM($L104:AH104)))</f>
        <v>2.9967482677366579</v>
      </c>
      <c r="AJ104" s="147">
        <f>IF($I104 &gt;0, MIN(AI104,$I104-SUM($L104:AI104)), MAX(AI104,$I104-SUM($L104:AI104)))</f>
        <v>2.9967482677366579</v>
      </c>
      <c r="AK104" s="147">
        <f>IF($I104 &gt;0, MIN(AJ104,$I104-SUM($L104:AJ104)), MAX(AJ104,$I104-SUM($L104:AJ104)))</f>
        <v>2.9967482677366579</v>
      </c>
      <c r="AL104" s="147">
        <f>IF($I104 &gt;0, MIN(AK104,$I104-SUM($L104:AK104)), MAX(AK104,$I104-SUM($L104:AK104)))</f>
        <v>2.9967482677366579</v>
      </c>
      <c r="AM104" s="147">
        <f>IF($I104 &gt;0, MIN(AL104,$I104-SUM($L104:AL104)), MAX(AL104,$I104-SUM($L104:AL104)))</f>
        <v>2.9967482677366579</v>
      </c>
      <c r="AN104" s="147">
        <f>IF($I104 &gt;0, MIN(AM104,$I104-SUM($L104:AM104)), MAX(AM104,$I104-SUM($L104:AM104)))</f>
        <v>2.9967482677366579</v>
      </c>
      <c r="AO104" s="147">
        <f>IF($I104 &gt;0, MIN(AN104,$I104-SUM($L104:AN104)), MAX(AN104,$I104-SUM($L104:AN104)))</f>
        <v>2.9967482677366579</v>
      </c>
      <c r="AP104" s="147">
        <f>IF($I104 &gt;0, MIN(AO104,$I104-SUM($L104:AO104)), MAX(AO104,$I104-SUM($L104:AO104)))</f>
        <v>2.9967482677366579</v>
      </c>
      <c r="AQ104" s="147">
        <f>IF($I104 &gt;0, MIN(AP104,$I104-SUM($L104:AP104)), MAX(AP104,$I104-SUM($L104:AP104)))</f>
        <v>2.9967482677366579</v>
      </c>
      <c r="AR104" s="147">
        <f>IF($I104 &gt;0, MIN(AQ104,$I104-SUM($L104:AQ104)), MAX(AQ104,$I104-SUM($L104:AQ104)))</f>
        <v>2.9967482677366579</v>
      </c>
    </row>
    <row r="105" spans="4:44" ht="15" customHeight="1">
      <c r="D105" s="149"/>
      <c r="E105" s="184">
        <v>39538</v>
      </c>
      <c r="G105" s="158" t="s">
        <v>844</v>
      </c>
      <c r="H105" s="151"/>
      <c r="I105" s="147">
        <f t="shared" si="6"/>
        <v>139.35065489182935</v>
      </c>
      <c r="J105" s="31" t="s">
        <v>56</v>
      </c>
      <c r="K105" s="149"/>
      <c r="L105" s="147"/>
      <c r="M105" s="147"/>
      <c r="N105" s="147"/>
      <c r="O105" s="149"/>
      <c r="P105" s="149"/>
      <c r="Q105" s="149"/>
      <c r="R105" s="149"/>
      <c r="S105" s="149"/>
      <c r="T105" s="149"/>
      <c r="U105" s="149"/>
      <c r="V105" s="149"/>
      <c r="W105" s="149"/>
      <c r="X105" s="149"/>
      <c r="Y105" s="149"/>
      <c r="Z105" s="149"/>
      <c r="AA105" s="149"/>
      <c r="AB105" s="149"/>
      <c r="AC105" s="107">
        <f>$I105/AB$82</f>
        <v>4.1847043511059869</v>
      </c>
      <c r="AD105" s="147">
        <f>IF($I105 &gt;0, MIN(AC105,$I105-SUM($L105:AC105)), MAX(AC105,$I105-SUM($L105:AC105)))</f>
        <v>4.1847043511059869</v>
      </c>
      <c r="AE105" s="147">
        <f>IF($I105 &gt;0, MIN(AD105,$I105-SUM($L105:AD105)), MAX(AD105,$I105-SUM($L105:AD105)))</f>
        <v>4.1847043511059869</v>
      </c>
      <c r="AF105" s="147">
        <f>IF($I105 &gt;0, MIN(AE105,$I105-SUM($L105:AE105)), MAX(AE105,$I105-SUM($L105:AE105)))</f>
        <v>4.1847043511059869</v>
      </c>
      <c r="AG105" s="147">
        <f>IF($I105 &gt;0, MIN(AF105,$I105-SUM($L105:AF105)), MAX(AF105,$I105-SUM($L105:AF105)))</f>
        <v>4.1847043511059869</v>
      </c>
      <c r="AH105" s="147">
        <f>IF($I105 &gt;0, MIN(AG105,$I105-SUM($L105:AG105)), MAX(AG105,$I105-SUM($L105:AG105)))</f>
        <v>4.1847043511059869</v>
      </c>
      <c r="AI105" s="147">
        <f>IF($I105 &gt;0, MIN(AH105,$I105-SUM($L105:AH105)), MAX(AH105,$I105-SUM($L105:AH105)))</f>
        <v>4.1847043511059869</v>
      </c>
      <c r="AJ105" s="147">
        <f>IF($I105 &gt;0, MIN(AI105,$I105-SUM($L105:AI105)), MAX(AI105,$I105-SUM($L105:AI105)))</f>
        <v>4.1847043511059869</v>
      </c>
      <c r="AK105" s="147">
        <f>IF($I105 &gt;0, MIN(AJ105,$I105-SUM($L105:AJ105)), MAX(AJ105,$I105-SUM($L105:AJ105)))</f>
        <v>4.1847043511059869</v>
      </c>
      <c r="AL105" s="147">
        <f>IF($I105 &gt;0, MIN(AK105,$I105-SUM($L105:AK105)), MAX(AK105,$I105-SUM($L105:AK105)))</f>
        <v>4.1847043511059869</v>
      </c>
      <c r="AM105" s="147">
        <f>IF($I105 &gt;0, MIN(AL105,$I105-SUM($L105:AL105)), MAX(AL105,$I105-SUM($L105:AL105)))</f>
        <v>4.1847043511059869</v>
      </c>
      <c r="AN105" s="147">
        <f>IF($I105 &gt;0, MIN(AM105,$I105-SUM($L105:AM105)), MAX(AM105,$I105-SUM($L105:AM105)))</f>
        <v>4.1847043511059869</v>
      </c>
      <c r="AO105" s="147">
        <f>IF($I105 &gt;0, MIN(AN105,$I105-SUM($L105:AN105)), MAX(AN105,$I105-SUM($L105:AN105)))</f>
        <v>4.1847043511059869</v>
      </c>
      <c r="AP105" s="147">
        <f>IF($I105 &gt;0, MIN(AO105,$I105-SUM($L105:AO105)), MAX(AO105,$I105-SUM($L105:AO105)))</f>
        <v>4.1847043511059869</v>
      </c>
      <c r="AQ105" s="147">
        <f>IF($I105 &gt;0, MIN(AP105,$I105-SUM($L105:AP105)), MAX(AP105,$I105-SUM($L105:AP105)))</f>
        <v>4.1847043511059869</v>
      </c>
      <c r="AR105" s="147">
        <f>IF($I105 &gt;0, MIN(AQ105,$I105-SUM($L105:AQ105)), MAX(AQ105,$I105-SUM($L105:AQ105)))</f>
        <v>4.1847043511059869</v>
      </c>
    </row>
    <row r="106" spans="4:44" ht="15" customHeight="1">
      <c r="D106" s="149"/>
      <c r="E106" s="184">
        <v>39903</v>
      </c>
      <c r="G106" s="158" t="s">
        <v>844</v>
      </c>
      <c r="H106" s="151"/>
      <c r="I106" s="147">
        <f t="shared" si="6"/>
        <v>165.06591526344377</v>
      </c>
      <c r="J106" s="31" t="s">
        <v>56</v>
      </c>
      <c r="K106" s="149"/>
      <c r="L106" s="147"/>
      <c r="M106" s="147"/>
      <c r="N106" s="147"/>
      <c r="O106" s="149"/>
      <c r="P106" s="149"/>
      <c r="Q106" s="149"/>
      <c r="R106" s="149"/>
      <c r="S106" s="149"/>
      <c r="T106" s="149"/>
      <c r="U106" s="149"/>
      <c r="V106" s="149"/>
      <c r="W106" s="149"/>
      <c r="X106" s="149"/>
      <c r="Y106" s="149"/>
      <c r="Z106" s="149"/>
      <c r="AA106" s="149"/>
      <c r="AB106" s="149"/>
      <c r="AC106" s="149"/>
      <c r="AD106" s="107">
        <f>$I106/AC$82</f>
        <v>4.9569343922956088</v>
      </c>
      <c r="AE106" s="147">
        <f>IF($I106 &gt;0, MIN(AD106,$I106-SUM($L106:AD106)), MAX(AD106,$I106-SUM($L106:AD106)))</f>
        <v>4.9569343922956088</v>
      </c>
      <c r="AF106" s="147">
        <f>IF($I106 &gt;0, MIN(AE106,$I106-SUM($L106:AE106)), MAX(AE106,$I106-SUM($L106:AE106)))</f>
        <v>4.9569343922956088</v>
      </c>
      <c r="AG106" s="147">
        <f>IF($I106 &gt;0, MIN(AF106,$I106-SUM($L106:AF106)), MAX(AF106,$I106-SUM($L106:AF106)))</f>
        <v>4.9569343922956088</v>
      </c>
      <c r="AH106" s="147">
        <f>IF($I106 &gt;0, MIN(AG106,$I106-SUM($L106:AG106)), MAX(AG106,$I106-SUM($L106:AG106)))</f>
        <v>4.9569343922956088</v>
      </c>
      <c r="AI106" s="147">
        <f>IF($I106 &gt;0, MIN(AH106,$I106-SUM($L106:AH106)), MAX(AH106,$I106-SUM($L106:AH106)))</f>
        <v>4.9569343922956088</v>
      </c>
      <c r="AJ106" s="147">
        <f>IF($I106 &gt;0, MIN(AI106,$I106-SUM($L106:AI106)), MAX(AI106,$I106-SUM($L106:AI106)))</f>
        <v>4.9569343922956088</v>
      </c>
      <c r="AK106" s="147">
        <f>IF($I106 &gt;0, MIN(AJ106,$I106-SUM($L106:AJ106)), MAX(AJ106,$I106-SUM($L106:AJ106)))</f>
        <v>4.9569343922956088</v>
      </c>
      <c r="AL106" s="147">
        <f>IF($I106 &gt;0, MIN(AK106,$I106-SUM($L106:AK106)), MAX(AK106,$I106-SUM($L106:AK106)))</f>
        <v>4.9569343922956088</v>
      </c>
      <c r="AM106" s="147">
        <f>IF($I106 &gt;0, MIN(AL106,$I106-SUM($L106:AL106)), MAX(AL106,$I106-SUM($L106:AL106)))</f>
        <v>4.9569343922956088</v>
      </c>
      <c r="AN106" s="147">
        <f>IF($I106 &gt;0, MIN(AM106,$I106-SUM($L106:AM106)), MAX(AM106,$I106-SUM($L106:AM106)))</f>
        <v>4.9569343922956088</v>
      </c>
      <c r="AO106" s="147">
        <f>IF($I106 &gt;0, MIN(AN106,$I106-SUM($L106:AN106)), MAX(AN106,$I106-SUM($L106:AN106)))</f>
        <v>4.9569343922956088</v>
      </c>
      <c r="AP106" s="147">
        <f>IF($I106 &gt;0, MIN(AO106,$I106-SUM($L106:AO106)), MAX(AO106,$I106-SUM($L106:AO106)))</f>
        <v>4.9569343922956088</v>
      </c>
      <c r="AQ106" s="147">
        <f>IF($I106 &gt;0, MIN(AP106,$I106-SUM($L106:AP106)), MAX(AP106,$I106-SUM($L106:AP106)))</f>
        <v>4.9569343922956088</v>
      </c>
      <c r="AR106" s="147">
        <f>IF($I106 &gt;0, MIN(AQ106,$I106-SUM($L106:AQ106)), MAX(AQ106,$I106-SUM($L106:AQ106)))</f>
        <v>4.9569343922956088</v>
      </c>
    </row>
    <row r="107" spans="4:44" ht="15" customHeight="1">
      <c r="D107" s="149"/>
      <c r="E107" s="184">
        <v>40268</v>
      </c>
      <c r="G107" s="158" t="s">
        <v>844</v>
      </c>
      <c r="H107" s="151"/>
      <c r="I107" s="147">
        <f t="shared" si="6"/>
        <v>196.1644111927435</v>
      </c>
      <c r="J107" s="31" t="s">
        <v>56</v>
      </c>
      <c r="K107" s="149"/>
      <c r="L107" s="147"/>
      <c r="M107" s="147"/>
      <c r="N107" s="147"/>
      <c r="O107" s="149"/>
      <c r="P107" s="149"/>
      <c r="Q107" s="149"/>
      <c r="R107" s="149"/>
      <c r="S107" s="149"/>
      <c r="T107" s="149"/>
      <c r="U107" s="149"/>
      <c r="V107" s="149"/>
      <c r="W107" s="149"/>
      <c r="X107" s="149"/>
      <c r="Y107" s="149"/>
      <c r="Z107" s="149"/>
      <c r="AA107" s="149"/>
      <c r="AB107" s="149"/>
      <c r="AC107" s="149"/>
      <c r="AD107" s="149"/>
      <c r="AE107" s="107">
        <f>$I107/AD$82</f>
        <v>5.890823158941247</v>
      </c>
      <c r="AF107" s="147">
        <f>IF($I107 &gt;0, MIN(AE107,$I107-SUM($L107:AE107)), MAX(AE107,$I107-SUM($L107:AE107)))</f>
        <v>5.890823158941247</v>
      </c>
      <c r="AG107" s="147">
        <f>IF($I107 &gt;0, MIN(AF107,$I107-SUM($L107:AF107)), MAX(AF107,$I107-SUM($L107:AF107)))</f>
        <v>5.890823158941247</v>
      </c>
      <c r="AH107" s="147">
        <f>IF($I107 &gt;0, MIN(AG107,$I107-SUM($L107:AG107)), MAX(AG107,$I107-SUM($L107:AG107)))</f>
        <v>5.890823158941247</v>
      </c>
      <c r="AI107" s="147">
        <f>IF($I107 &gt;0, MIN(AH107,$I107-SUM($L107:AH107)), MAX(AH107,$I107-SUM($L107:AH107)))</f>
        <v>5.890823158941247</v>
      </c>
      <c r="AJ107" s="147">
        <f>IF($I107 &gt;0, MIN(AI107,$I107-SUM($L107:AI107)), MAX(AI107,$I107-SUM($L107:AI107)))</f>
        <v>5.890823158941247</v>
      </c>
      <c r="AK107" s="147">
        <f>IF($I107 &gt;0, MIN(AJ107,$I107-SUM($L107:AJ107)), MAX(AJ107,$I107-SUM($L107:AJ107)))</f>
        <v>5.890823158941247</v>
      </c>
      <c r="AL107" s="147">
        <f>IF($I107 &gt;0, MIN(AK107,$I107-SUM($L107:AK107)), MAX(AK107,$I107-SUM($L107:AK107)))</f>
        <v>5.890823158941247</v>
      </c>
      <c r="AM107" s="147">
        <f>IF($I107 &gt;0, MIN(AL107,$I107-SUM($L107:AL107)), MAX(AL107,$I107-SUM($L107:AL107)))</f>
        <v>5.890823158941247</v>
      </c>
      <c r="AN107" s="147">
        <f>IF($I107 &gt;0, MIN(AM107,$I107-SUM($L107:AM107)), MAX(AM107,$I107-SUM($L107:AM107)))</f>
        <v>5.890823158941247</v>
      </c>
      <c r="AO107" s="147">
        <f>IF($I107 &gt;0, MIN(AN107,$I107-SUM($L107:AN107)), MAX(AN107,$I107-SUM($L107:AN107)))</f>
        <v>5.890823158941247</v>
      </c>
      <c r="AP107" s="147">
        <f>IF($I107 &gt;0, MIN(AO107,$I107-SUM($L107:AO107)), MAX(AO107,$I107-SUM($L107:AO107)))</f>
        <v>5.890823158941247</v>
      </c>
      <c r="AQ107" s="147">
        <f>IF($I107 &gt;0, MIN(AP107,$I107-SUM($L107:AP107)), MAX(AP107,$I107-SUM($L107:AP107)))</f>
        <v>5.890823158941247</v>
      </c>
      <c r="AR107" s="147">
        <f>IF($I107 &gt;0, MIN(AQ107,$I107-SUM($L107:AQ107)), MAX(AQ107,$I107-SUM($L107:AQ107)))</f>
        <v>5.890823158941247</v>
      </c>
    </row>
    <row r="108" spans="4:44" ht="15" customHeight="1">
      <c r="D108" s="149"/>
      <c r="E108" s="184">
        <v>40633</v>
      </c>
      <c r="G108" s="158" t="s">
        <v>844</v>
      </c>
      <c r="H108" s="151"/>
      <c r="I108" s="147">
        <f t="shared" si="6"/>
        <v>181.68144275863403</v>
      </c>
      <c r="J108" s="31" t="s">
        <v>56</v>
      </c>
      <c r="K108" s="149"/>
      <c r="L108" s="147"/>
      <c r="M108" s="147"/>
      <c r="N108" s="147"/>
      <c r="O108" s="149"/>
      <c r="P108" s="149"/>
      <c r="Q108" s="149"/>
      <c r="R108" s="149"/>
      <c r="S108" s="149"/>
      <c r="T108" s="149"/>
      <c r="U108" s="149"/>
      <c r="V108" s="149"/>
      <c r="W108" s="149"/>
      <c r="X108" s="149"/>
      <c r="Y108" s="149"/>
      <c r="Z108" s="149"/>
      <c r="AA108" s="149"/>
      <c r="AB108" s="149"/>
      <c r="AC108" s="149"/>
      <c r="AD108" s="149"/>
      <c r="AE108" s="149"/>
      <c r="AF108" s="107">
        <f>$I108/AE$82</f>
        <v>5.4558991819409624</v>
      </c>
      <c r="AG108" s="147">
        <f>IF($I108 &gt;0, MIN(AF108,$I108-SUM($L108:AF108)), MAX(AF108,$I108-SUM($L108:AF108)))</f>
        <v>5.4558991819409624</v>
      </c>
      <c r="AH108" s="147">
        <f>IF($I108 &gt;0, MIN(AG108,$I108-SUM($L108:AG108)), MAX(AG108,$I108-SUM($L108:AG108)))</f>
        <v>5.4558991819409624</v>
      </c>
      <c r="AI108" s="147">
        <f>IF($I108 &gt;0, MIN(AH108,$I108-SUM($L108:AH108)), MAX(AH108,$I108-SUM($L108:AH108)))</f>
        <v>5.4558991819409624</v>
      </c>
      <c r="AJ108" s="147">
        <f>IF($I108 &gt;0, MIN(AI108,$I108-SUM($L108:AI108)), MAX(AI108,$I108-SUM($L108:AI108)))</f>
        <v>5.4558991819409624</v>
      </c>
      <c r="AK108" s="147">
        <f>IF($I108 &gt;0, MIN(AJ108,$I108-SUM($L108:AJ108)), MAX(AJ108,$I108-SUM($L108:AJ108)))</f>
        <v>5.4558991819409624</v>
      </c>
      <c r="AL108" s="147">
        <f>IF($I108 &gt;0, MIN(AK108,$I108-SUM($L108:AK108)), MAX(AK108,$I108-SUM($L108:AK108)))</f>
        <v>5.4558991819409624</v>
      </c>
      <c r="AM108" s="147">
        <f>IF($I108 &gt;0, MIN(AL108,$I108-SUM($L108:AL108)), MAX(AL108,$I108-SUM($L108:AL108)))</f>
        <v>5.4558991819409624</v>
      </c>
      <c r="AN108" s="147">
        <f>IF($I108 &gt;0, MIN(AM108,$I108-SUM($L108:AM108)), MAX(AM108,$I108-SUM($L108:AM108)))</f>
        <v>5.4558991819409624</v>
      </c>
      <c r="AO108" s="147">
        <f>IF($I108 &gt;0, MIN(AN108,$I108-SUM($L108:AN108)), MAX(AN108,$I108-SUM($L108:AN108)))</f>
        <v>5.4558991819409624</v>
      </c>
      <c r="AP108" s="147">
        <f>IF($I108 &gt;0, MIN(AO108,$I108-SUM($L108:AO108)), MAX(AO108,$I108-SUM($L108:AO108)))</f>
        <v>5.4558991819409624</v>
      </c>
      <c r="AQ108" s="147">
        <f>IF($I108 &gt;0, MIN(AP108,$I108-SUM($L108:AP108)), MAX(AP108,$I108-SUM($L108:AP108)))</f>
        <v>5.4558991819409624</v>
      </c>
      <c r="AR108" s="147">
        <f>IF($I108 &gt;0, MIN(AQ108,$I108-SUM($L108:AQ108)), MAX(AQ108,$I108-SUM($L108:AQ108)))</f>
        <v>5.4558991819409624</v>
      </c>
    </row>
    <row r="109" spans="4:44" ht="15" customHeight="1">
      <c r="D109" s="149"/>
      <c r="E109" s="184">
        <v>40999</v>
      </c>
      <c r="G109" s="158" t="s">
        <v>844</v>
      </c>
      <c r="H109" s="151"/>
      <c r="I109" s="147">
        <f t="shared" si="6"/>
        <v>157.62844612449771</v>
      </c>
      <c r="J109" s="31" t="s">
        <v>56</v>
      </c>
      <c r="K109" s="149"/>
      <c r="L109" s="147"/>
      <c r="M109" s="147"/>
      <c r="N109" s="147"/>
      <c r="O109" s="149"/>
      <c r="P109" s="149"/>
      <c r="Q109" s="149"/>
      <c r="R109" s="149"/>
      <c r="S109" s="149"/>
      <c r="T109" s="149"/>
      <c r="U109" s="149"/>
      <c r="V109" s="149"/>
      <c r="W109" s="149"/>
      <c r="X109" s="149"/>
      <c r="Y109" s="149"/>
      <c r="Z109" s="149"/>
      <c r="AA109" s="149"/>
      <c r="AB109" s="149"/>
      <c r="AC109" s="149"/>
      <c r="AD109" s="149"/>
      <c r="AE109" s="149"/>
      <c r="AF109" s="149"/>
      <c r="AG109" s="107">
        <f>$I109/AF$82</f>
        <v>4.7335869707056375</v>
      </c>
      <c r="AH109" s="147">
        <f>IF($I109 &gt;0, MIN(AG109,$I109-SUM($L109:AG109)), MAX(AG109,$I109-SUM($L109:AG109)))</f>
        <v>4.7335869707056375</v>
      </c>
      <c r="AI109" s="147">
        <f>IF($I109 &gt;0, MIN(AH109,$I109-SUM($L109:AH109)), MAX(AH109,$I109-SUM($L109:AH109)))</f>
        <v>4.7335869707056375</v>
      </c>
      <c r="AJ109" s="147">
        <f>IF($I109 &gt;0, MIN(AI109,$I109-SUM($L109:AI109)), MAX(AI109,$I109-SUM($L109:AI109)))</f>
        <v>4.7335869707056375</v>
      </c>
      <c r="AK109" s="147">
        <f>IF($I109 &gt;0, MIN(AJ109,$I109-SUM($L109:AJ109)), MAX(AJ109,$I109-SUM($L109:AJ109)))</f>
        <v>4.7335869707056375</v>
      </c>
      <c r="AL109" s="147">
        <f>IF($I109 &gt;0, MIN(AK109,$I109-SUM($L109:AK109)), MAX(AK109,$I109-SUM($L109:AK109)))</f>
        <v>4.7335869707056375</v>
      </c>
      <c r="AM109" s="147">
        <f>IF($I109 &gt;0, MIN(AL109,$I109-SUM($L109:AL109)), MAX(AL109,$I109-SUM($L109:AL109)))</f>
        <v>4.7335869707056375</v>
      </c>
      <c r="AN109" s="147">
        <f>IF($I109 &gt;0, MIN(AM109,$I109-SUM($L109:AM109)), MAX(AM109,$I109-SUM($L109:AM109)))</f>
        <v>4.7335869707056375</v>
      </c>
      <c r="AO109" s="147">
        <f>IF($I109 &gt;0, MIN(AN109,$I109-SUM($L109:AN109)), MAX(AN109,$I109-SUM($L109:AN109)))</f>
        <v>4.7335869707056375</v>
      </c>
      <c r="AP109" s="147">
        <f>IF($I109 &gt;0, MIN(AO109,$I109-SUM($L109:AO109)), MAX(AO109,$I109-SUM($L109:AO109)))</f>
        <v>4.7335869707056375</v>
      </c>
      <c r="AQ109" s="147">
        <f>IF($I109 &gt;0, MIN(AP109,$I109-SUM($L109:AP109)), MAX(AP109,$I109-SUM($L109:AP109)))</f>
        <v>4.7335869707056375</v>
      </c>
      <c r="AR109" s="147">
        <f>IF($I109 &gt;0, MIN(AQ109,$I109-SUM($L109:AQ109)), MAX(AQ109,$I109-SUM($L109:AQ109)))</f>
        <v>4.7335869707056375</v>
      </c>
    </row>
    <row r="110" spans="4:44" ht="15" customHeight="1">
      <c r="D110" s="149"/>
      <c r="E110" s="184">
        <v>41364</v>
      </c>
      <c r="G110" s="158" t="s">
        <v>844</v>
      </c>
      <c r="H110" s="151"/>
      <c r="I110" s="147">
        <f t="shared" si="6"/>
        <v>154.3742917688794</v>
      </c>
      <c r="J110" s="31"/>
      <c r="K110" s="149"/>
      <c r="L110" s="147"/>
      <c r="M110" s="147"/>
      <c r="N110" s="147"/>
      <c r="O110" s="149"/>
      <c r="P110" s="149"/>
      <c r="Q110" s="149"/>
      <c r="R110" s="149"/>
      <c r="S110" s="149"/>
      <c r="T110" s="149"/>
      <c r="U110" s="149"/>
      <c r="V110" s="149"/>
      <c r="W110" s="149"/>
      <c r="X110" s="149"/>
      <c r="Y110" s="149"/>
      <c r="Z110" s="149"/>
      <c r="AA110" s="149"/>
      <c r="AB110" s="149"/>
      <c r="AC110" s="149"/>
      <c r="AD110" s="149"/>
      <c r="AE110" s="149"/>
      <c r="AF110" s="149"/>
      <c r="AG110" s="149"/>
      <c r="AH110" s="107">
        <f>$I110/AG$82</f>
        <v>4.6358646176840663</v>
      </c>
      <c r="AI110" s="147">
        <f>IF($I110 &gt;0, MIN(AH110,$I110-SUM($L110:AH110)), MAX(AH110,$I110-SUM($L110:AH110)))</f>
        <v>4.6358646176840663</v>
      </c>
      <c r="AJ110" s="147">
        <f>IF($I110 &gt;0, MIN(AI110,$I110-SUM($L110:AI110)), MAX(AI110,$I110-SUM($L110:AI110)))</f>
        <v>4.6358646176840663</v>
      </c>
      <c r="AK110" s="147">
        <f>IF($I110 &gt;0, MIN(AJ110,$I110-SUM($L110:AJ110)), MAX(AJ110,$I110-SUM($L110:AJ110)))</f>
        <v>4.6358646176840663</v>
      </c>
      <c r="AL110" s="147">
        <f>IF($I110 &gt;0, MIN(AK110,$I110-SUM($L110:AK110)), MAX(AK110,$I110-SUM($L110:AK110)))</f>
        <v>4.6358646176840663</v>
      </c>
      <c r="AM110" s="147">
        <f>IF($I110 &gt;0, MIN(AL110,$I110-SUM($L110:AL110)), MAX(AL110,$I110-SUM($L110:AL110)))</f>
        <v>4.6358646176840663</v>
      </c>
      <c r="AN110" s="147">
        <f>IF($I110 &gt;0, MIN(AM110,$I110-SUM($L110:AM110)), MAX(AM110,$I110-SUM($L110:AM110)))</f>
        <v>4.6358646176840663</v>
      </c>
      <c r="AO110" s="147">
        <f>IF($I110 &gt;0, MIN(AN110,$I110-SUM($L110:AN110)), MAX(AN110,$I110-SUM($L110:AN110)))</f>
        <v>4.6358646176840663</v>
      </c>
      <c r="AP110" s="147">
        <f>IF($I110 &gt;0, MIN(AO110,$I110-SUM($L110:AO110)), MAX(AO110,$I110-SUM($L110:AO110)))</f>
        <v>4.6358646176840663</v>
      </c>
      <c r="AQ110" s="147">
        <f>IF($I110 &gt;0, MIN(AP110,$I110-SUM($L110:AP110)), MAX(AP110,$I110-SUM($L110:AP110)))</f>
        <v>4.6358646176840663</v>
      </c>
      <c r="AR110" s="147">
        <f>IF($I110 &gt;0, MIN(AQ110,$I110-SUM($L110:AQ110)), MAX(AQ110,$I110-SUM($L110:AQ110)))</f>
        <v>4.6358646176840663</v>
      </c>
    </row>
    <row r="111" spans="4:44" ht="15" customHeight="1">
      <c r="D111" s="149"/>
      <c r="E111" s="184">
        <v>41729</v>
      </c>
      <c r="G111" s="158" t="s">
        <v>844</v>
      </c>
      <c r="H111" s="151"/>
      <c r="I111" s="147">
        <f t="shared" si="6"/>
        <v>169.1468192161847</v>
      </c>
      <c r="J111" s="31"/>
      <c r="K111" s="149"/>
      <c r="L111" s="147"/>
      <c r="M111" s="147"/>
      <c r="N111" s="147"/>
      <c r="O111" s="149"/>
      <c r="P111" s="149"/>
      <c r="Q111" s="149"/>
      <c r="R111" s="149"/>
      <c r="S111" s="149"/>
      <c r="T111" s="149"/>
      <c r="U111" s="149"/>
      <c r="V111" s="149"/>
      <c r="W111" s="149"/>
      <c r="X111" s="149"/>
      <c r="Y111" s="149"/>
      <c r="Z111" s="149"/>
      <c r="AA111" s="149"/>
      <c r="AB111" s="149"/>
      <c r="AC111" s="149"/>
      <c r="AD111" s="149"/>
      <c r="AE111" s="149"/>
      <c r="AF111" s="149"/>
      <c r="AG111" s="149"/>
      <c r="AH111" s="149"/>
      <c r="AI111" s="107">
        <f>$I111/AH$82</f>
        <v>5.0794840605460871</v>
      </c>
      <c r="AJ111" s="147">
        <f>IF($I111 &gt;0, MIN(AI111,$I111-SUM($L111:AI111)), MAX(AI111,$I111-SUM($L111:AI111)))</f>
        <v>5.0794840605460871</v>
      </c>
      <c r="AK111" s="147">
        <f>IF($I111 &gt;0, MIN(AJ111,$I111-SUM($L111:AJ111)), MAX(AJ111,$I111-SUM($L111:AJ111)))</f>
        <v>5.0794840605460871</v>
      </c>
      <c r="AL111" s="147">
        <f>IF($I111 &gt;0, MIN(AK111,$I111-SUM($L111:AK111)), MAX(AK111,$I111-SUM($L111:AK111)))</f>
        <v>5.0794840605460871</v>
      </c>
      <c r="AM111" s="147">
        <f>IF($I111 &gt;0, MIN(AL111,$I111-SUM($L111:AL111)), MAX(AL111,$I111-SUM($L111:AL111)))</f>
        <v>5.0794840605460871</v>
      </c>
      <c r="AN111" s="147">
        <f>IF($I111 &gt;0, MIN(AM111,$I111-SUM($L111:AM111)), MAX(AM111,$I111-SUM($L111:AM111)))</f>
        <v>5.0794840605460871</v>
      </c>
      <c r="AO111" s="147">
        <f>IF($I111 &gt;0, MIN(AN111,$I111-SUM($L111:AN111)), MAX(AN111,$I111-SUM($L111:AN111)))</f>
        <v>5.0794840605460871</v>
      </c>
      <c r="AP111" s="147">
        <f>IF($I111 &gt;0, MIN(AO111,$I111-SUM($L111:AO111)), MAX(AO111,$I111-SUM($L111:AO111)))</f>
        <v>5.0794840605460871</v>
      </c>
      <c r="AQ111" s="147">
        <f>IF($I111 &gt;0, MIN(AP111,$I111-SUM($L111:AP111)), MAX(AP111,$I111-SUM($L111:AP111)))</f>
        <v>5.0794840605460871</v>
      </c>
      <c r="AR111" s="147">
        <f>IF($I111 &gt;0, MIN(AQ111,$I111-SUM($L111:AQ111)), MAX(AQ111,$I111-SUM($L111:AQ111)))</f>
        <v>5.0794840605460871</v>
      </c>
    </row>
    <row r="112" spans="4:44" ht="15" customHeight="1">
      <c r="D112" s="149"/>
      <c r="E112" s="184">
        <v>42094</v>
      </c>
      <c r="G112" s="158" t="s">
        <v>844</v>
      </c>
      <c r="H112" s="151"/>
      <c r="I112" s="147">
        <f t="shared" si="6"/>
        <v>181.50568328158491</v>
      </c>
      <c r="J112" s="31"/>
      <c r="K112" s="149"/>
      <c r="L112" s="147"/>
      <c r="M112" s="147"/>
      <c r="N112" s="147"/>
      <c r="O112" s="149"/>
      <c r="P112" s="149"/>
      <c r="Q112" s="149"/>
      <c r="R112" s="149"/>
      <c r="S112" s="149"/>
      <c r="T112" s="149"/>
      <c r="U112" s="149"/>
      <c r="V112" s="149"/>
      <c r="W112" s="149"/>
      <c r="X112" s="149"/>
      <c r="Y112" s="149"/>
      <c r="Z112" s="149"/>
      <c r="AA112" s="149"/>
      <c r="AB112" s="149"/>
      <c r="AC112" s="149"/>
      <c r="AD112" s="149"/>
      <c r="AE112" s="149"/>
      <c r="AF112" s="149"/>
      <c r="AG112" s="149"/>
      <c r="AH112" s="149"/>
      <c r="AI112" s="149"/>
      <c r="AJ112" s="107">
        <f>$I112/AI$82</f>
        <v>5.4506211195671144</v>
      </c>
      <c r="AK112" s="147">
        <f>IF($I112 &gt;0, MIN(AJ112,$I112-SUM($L112:AJ112)), MAX(AJ112,$I112-SUM($L112:AJ112)))</f>
        <v>5.4506211195671144</v>
      </c>
      <c r="AL112" s="147">
        <f>IF($I112 &gt;0, MIN(AK112,$I112-SUM($L112:AK112)), MAX(AK112,$I112-SUM($L112:AK112)))</f>
        <v>5.4506211195671144</v>
      </c>
      <c r="AM112" s="147">
        <f>IF($I112 &gt;0, MIN(AL112,$I112-SUM($L112:AL112)), MAX(AL112,$I112-SUM($L112:AL112)))</f>
        <v>5.4506211195671144</v>
      </c>
      <c r="AN112" s="147">
        <f>IF($I112 &gt;0, MIN(AM112,$I112-SUM($L112:AM112)), MAX(AM112,$I112-SUM($L112:AM112)))</f>
        <v>5.4506211195671144</v>
      </c>
      <c r="AO112" s="147">
        <f>IF($I112 &gt;0, MIN(AN112,$I112-SUM($L112:AN112)), MAX(AN112,$I112-SUM($L112:AN112)))</f>
        <v>5.4506211195671144</v>
      </c>
      <c r="AP112" s="147">
        <f>IF($I112 &gt;0, MIN(AO112,$I112-SUM($L112:AO112)), MAX(AO112,$I112-SUM($L112:AO112)))</f>
        <v>5.4506211195671144</v>
      </c>
      <c r="AQ112" s="147">
        <f>IF($I112 &gt;0, MIN(AP112,$I112-SUM($L112:AP112)), MAX(AP112,$I112-SUM($L112:AP112)))</f>
        <v>5.4506211195671144</v>
      </c>
      <c r="AR112" s="147">
        <f>IF($I112 &gt;0, MIN(AQ112,$I112-SUM($L112:AQ112)), MAX(AQ112,$I112-SUM($L112:AQ112)))</f>
        <v>5.4506211195671144</v>
      </c>
    </row>
    <row r="113" spans="2:44" ht="15" customHeight="1">
      <c r="D113" s="149"/>
      <c r="E113" s="184">
        <v>42460</v>
      </c>
      <c r="G113" s="158" t="s">
        <v>844</v>
      </c>
      <c r="H113" s="151"/>
      <c r="I113" s="147">
        <f t="shared" si="6"/>
        <v>157.2306932997239</v>
      </c>
      <c r="J113" s="31"/>
      <c r="K113" s="149"/>
      <c r="L113" s="147"/>
      <c r="M113" s="147"/>
      <c r="N113" s="147"/>
      <c r="O113" s="149"/>
      <c r="P113" s="149"/>
      <c r="Q113" s="149"/>
      <c r="R113" s="149"/>
      <c r="S113" s="149"/>
      <c r="T113" s="149"/>
      <c r="U113" s="149"/>
      <c r="V113" s="149"/>
      <c r="W113" s="149"/>
      <c r="X113" s="149"/>
      <c r="Y113" s="149"/>
      <c r="Z113" s="149"/>
      <c r="AA113" s="149"/>
      <c r="AB113" s="149"/>
      <c r="AC113" s="149"/>
      <c r="AD113" s="149"/>
      <c r="AE113" s="149"/>
      <c r="AF113" s="149"/>
      <c r="AG113" s="149"/>
      <c r="AH113" s="149"/>
      <c r="AI113" s="149"/>
      <c r="AJ113" s="149"/>
      <c r="AK113" s="107">
        <f>$I113/AJ$82</f>
        <v>6.7991651156637358</v>
      </c>
      <c r="AL113" s="147">
        <f>IF($I113 &gt;0, MIN(AK113,$I113-SUM($L113:AK113)), MAX(AK113,$I113-SUM($L113:AK113)))</f>
        <v>6.7991651156637358</v>
      </c>
      <c r="AM113" s="147">
        <f>IF($I113 &gt;0, MIN(AL113,$I113-SUM($L113:AL113)), MAX(AL113,$I113-SUM($L113:AL113)))</f>
        <v>6.7991651156637358</v>
      </c>
      <c r="AN113" s="147">
        <f>IF($I113 &gt;0, MIN(AM113,$I113-SUM($L113:AM113)), MAX(AM113,$I113-SUM($L113:AM113)))</f>
        <v>6.7991651156637358</v>
      </c>
      <c r="AO113" s="147">
        <f>IF($I113 &gt;0, MIN(AN113,$I113-SUM($L113:AN113)), MAX(AN113,$I113-SUM($L113:AN113)))</f>
        <v>6.7991651156637358</v>
      </c>
      <c r="AP113" s="147">
        <f>IF($I113 &gt;0, MIN(AO113,$I113-SUM($L113:AO113)), MAX(AO113,$I113-SUM($L113:AO113)))</f>
        <v>6.7991651156637358</v>
      </c>
      <c r="AQ113" s="147">
        <f>IF($I113 &gt;0, MIN(AP113,$I113-SUM($L113:AP113)), MAX(AP113,$I113-SUM($L113:AP113)))</f>
        <v>6.7991651156637358</v>
      </c>
      <c r="AR113" s="147">
        <f>IF($I113 &gt;0, MIN(AQ113,$I113-SUM($L113:AQ113)), MAX(AQ113,$I113-SUM($L113:AQ113)))</f>
        <v>6.7991651156637358</v>
      </c>
    </row>
    <row r="114" spans="2:44" ht="15" customHeight="1">
      <c r="D114" s="149"/>
      <c r="E114" s="184">
        <v>42825</v>
      </c>
      <c r="G114" s="158" t="s">
        <v>844</v>
      </c>
      <c r="H114" s="151"/>
      <c r="I114" s="147">
        <f t="shared" si="6"/>
        <v>171.88702831647345</v>
      </c>
      <c r="J114" s="31"/>
      <c r="K114" s="149"/>
      <c r="L114" s="147"/>
      <c r="M114" s="147"/>
      <c r="N114" s="147"/>
      <c r="O114" s="149"/>
      <c r="P114" s="149"/>
      <c r="Q114" s="149"/>
      <c r="R114" s="149"/>
      <c r="S114" s="149"/>
      <c r="T114" s="149"/>
      <c r="U114" s="149"/>
      <c r="V114" s="149"/>
      <c r="W114" s="149"/>
      <c r="X114" s="149"/>
      <c r="Y114" s="149"/>
      <c r="Z114" s="149"/>
      <c r="AA114" s="149"/>
      <c r="AB114" s="149"/>
      <c r="AC114" s="149"/>
      <c r="AD114" s="149"/>
      <c r="AE114" s="149"/>
      <c r="AF114" s="149"/>
      <c r="AG114" s="149"/>
      <c r="AH114" s="149"/>
      <c r="AI114" s="149"/>
      <c r="AJ114" s="149"/>
      <c r="AK114" s="149"/>
      <c r="AL114" s="107">
        <f>$I114/AK$82</f>
        <v>6.5480772691989886</v>
      </c>
      <c r="AM114" s="147">
        <f>IF($I114 &gt;0, MIN(AL114,$I114-SUM($L114:AL114)), MAX(AL114,$I114-SUM($L114:AL114)))</f>
        <v>6.5480772691989886</v>
      </c>
      <c r="AN114" s="147">
        <f>IF($I114 &gt;0, MIN(AM114,$I114-SUM($L114:AM114)), MAX(AM114,$I114-SUM($L114:AM114)))</f>
        <v>6.5480772691989886</v>
      </c>
      <c r="AO114" s="147">
        <f>IF($I114 &gt;0, MIN(AN114,$I114-SUM($L114:AN114)), MAX(AN114,$I114-SUM($L114:AN114)))</f>
        <v>6.5480772691989886</v>
      </c>
      <c r="AP114" s="147">
        <f>IF($I114 &gt;0, MIN(AO114,$I114-SUM($L114:AO114)), MAX(AO114,$I114-SUM($L114:AO114)))</f>
        <v>6.5480772691989886</v>
      </c>
      <c r="AQ114" s="147">
        <f>IF($I114 &gt;0, MIN(AP114,$I114-SUM($L114:AP114)), MAX(AP114,$I114-SUM($L114:AP114)))</f>
        <v>6.5480772691989886</v>
      </c>
      <c r="AR114" s="147">
        <f>IF($I114 &gt;0, MIN(AQ114,$I114-SUM($L114:AQ114)), MAX(AQ114,$I114-SUM($L114:AQ114)))</f>
        <v>6.5480772691989886</v>
      </c>
    </row>
    <row r="115" spans="2:44" ht="15" customHeight="1">
      <c r="D115" s="149"/>
      <c r="E115" s="184">
        <v>43190</v>
      </c>
      <c r="G115" s="158" t="s">
        <v>844</v>
      </c>
      <c r="H115" s="151"/>
      <c r="I115" s="147">
        <f t="shared" si="6"/>
        <v>167.63012731337571</v>
      </c>
      <c r="J115" s="31"/>
      <c r="K115" s="149"/>
      <c r="L115" s="147"/>
      <c r="M115" s="147"/>
      <c r="N115" s="147"/>
      <c r="O115" s="149"/>
      <c r="P115" s="149"/>
      <c r="Q115" s="149"/>
      <c r="R115" s="149"/>
      <c r="S115" s="149"/>
      <c r="T115" s="149"/>
      <c r="U115" s="149"/>
      <c r="V115" s="149"/>
      <c r="W115" s="149"/>
      <c r="X115" s="149"/>
      <c r="Y115" s="149"/>
      <c r="Z115" s="149"/>
      <c r="AA115" s="149"/>
      <c r="AB115" s="149"/>
      <c r="AC115" s="149"/>
      <c r="AD115" s="149"/>
      <c r="AE115" s="149"/>
      <c r="AF115" s="149"/>
      <c r="AG115" s="149"/>
      <c r="AH115" s="149"/>
      <c r="AI115" s="149"/>
      <c r="AJ115" s="149"/>
      <c r="AK115" s="149"/>
      <c r="AL115" s="149"/>
      <c r="AM115" s="107">
        <f>$I115/AL$82</f>
        <v>5.7065575255617267</v>
      </c>
      <c r="AN115" s="147">
        <f>IF($I115 &gt;0, MIN(AM115,$I115-SUM($L115:AM115)), MAX(AM115,$I115-SUM($L115:AM115)))</f>
        <v>5.7065575255617267</v>
      </c>
      <c r="AO115" s="147">
        <f>IF($I115 &gt;0, MIN(AN115,$I115-SUM($L115:AN115)), MAX(AN115,$I115-SUM($L115:AN115)))</f>
        <v>5.7065575255617267</v>
      </c>
      <c r="AP115" s="147">
        <f>IF($I115 &gt;0, MIN(AO115,$I115-SUM($L115:AO115)), MAX(AO115,$I115-SUM($L115:AO115)))</f>
        <v>5.7065575255617267</v>
      </c>
      <c r="AQ115" s="147">
        <f>IF($I115 &gt;0, MIN(AP115,$I115-SUM($L115:AP115)), MAX(AP115,$I115-SUM($L115:AP115)))</f>
        <v>5.7065575255617267</v>
      </c>
      <c r="AR115" s="147">
        <f>IF($I115 &gt;0, MIN(AQ115,$I115-SUM($L115:AQ115)), MAX(AQ115,$I115-SUM($L115:AQ115)))</f>
        <v>5.7065575255617267</v>
      </c>
    </row>
    <row r="116" spans="2:44" ht="15" customHeight="1">
      <c r="D116" s="149"/>
      <c r="E116" s="184">
        <v>43555</v>
      </c>
      <c r="G116" s="158" t="s">
        <v>844</v>
      </c>
      <c r="H116" s="151"/>
      <c r="I116" s="147">
        <f t="shared" si="6"/>
        <v>162.14536051015963</v>
      </c>
      <c r="J116" s="31"/>
      <c r="K116" s="149"/>
      <c r="L116" s="147"/>
      <c r="M116" s="147"/>
      <c r="N116" s="147"/>
      <c r="O116" s="149"/>
      <c r="P116" s="149"/>
      <c r="Q116" s="149"/>
      <c r="R116" s="149"/>
      <c r="S116" s="149"/>
      <c r="T116" s="149"/>
      <c r="U116" s="149"/>
      <c r="V116" s="149"/>
      <c r="W116" s="149"/>
      <c r="X116" s="149"/>
      <c r="Y116" s="149"/>
      <c r="Z116" s="149"/>
      <c r="AA116" s="149"/>
      <c r="AB116" s="149"/>
      <c r="AC116" s="149"/>
      <c r="AD116" s="149"/>
      <c r="AE116" s="149"/>
      <c r="AF116" s="149"/>
      <c r="AG116" s="149"/>
      <c r="AH116" s="149"/>
      <c r="AI116" s="149"/>
      <c r="AJ116" s="149"/>
      <c r="AK116" s="149"/>
      <c r="AL116" s="149"/>
      <c r="AM116" s="149"/>
      <c r="AN116" s="107">
        <f>$I116/AM$82</f>
        <v>4.9890880156972193</v>
      </c>
      <c r="AO116" s="147">
        <f>IF($I116 &gt;0, MIN(AN116,$I116-SUM($L116:AN116)), MAX(AN116,$I116-SUM($L116:AN116)))</f>
        <v>4.9890880156972193</v>
      </c>
      <c r="AP116" s="147">
        <f>IF($I116 &gt;0, MIN(AO116,$I116-SUM($L116:AO116)), MAX(AO116,$I116-SUM($L116:AO116)))</f>
        <v>4.9890880156972193</v>
      </c>
      <c r="AQ116" s="147">
        <f>IF($I116 &gt;0, MIN(AP116,$I116-SUM($L116:AP116)), MAX(AP116,$I116-SUM($L116:AP116)))</f>
        <v>4.9890880156972193</v>
      </c>
      <c r="AR116" s="147">
        <f>IF($I116 &gt;0, MIN(AQ116,$I116-SUM($L116:AQ116)), MAX(AQ116,$I116-SUM($L116:AQ116)))</f>
        <v>4.9890880156972193</v>
      </c>
    </row>
    <row r="117" spans="2:44" ht="15" customHeight="1">
      <c r="D117" s="149"/>
      <c r="E117" s="184">
        <v>43921</v>
      </c>
      <c r="G117" s="158" t="s">
        <v>844</v>
      </c>
      <c r="H117" s="151"/>
      <c r="I117" s="147">
        <f t="shared" si="6"/>
        <v>157.21615584475998</v>
      </c>
      <c r="J117" s="31"/>
      <c r="K117" s="149"/>
      <c r="L117" s="147"/>
      <c r="M117" s="147"/>
      <c r="N117" s="147"/>
      <c r="O117" s="149"/>
      <c r="P117" s="149"/>
      <c r="Q117" s="149"/>
      <c r="R117" s="149"/>
      <c r="S117" s="149"/>
      <c r="T117" s="149"/>
      <c r="U117" s="149"/>
      <c r="V117" s="149"/>
      <c r="W117" s="149"/>
      <c r="X117" s="149"/>
      <c r="Y117" s="149"/>
      <c r="Z117" s="149"/>
      <c r="AA117" s="149"/>
      <c r="AB117" s="149"/>
      <c r="AC117" s="149"/>
      <c r="AD117" s="149"/>
      <c r="AE117" s="149"/>
      <c r="AF117" s="149"/>
      <c r="AG117" s="149"/>
      <c r="AH117" s="149"/>
      <c r="AI117" s="149"/>
      <c r="AJ117" s="149"/>
      <c r="AK117" s="149"/>
      <c r="AL117" s="149"/>
      <c r="AM117" s="149"/>
      <c r="AN117" s="149"/>
      <c r="AO117" s="107">
        <f>$I117/AN$82</f>
        <v>4.4130850763441396</v>
      </c>
      <c r="AP117" s="147">
        <f>IF($I117 &gt;0, MIN(AO117,$I117-SUM($L117:AO117)), MAX(AO117,$I117-SUM($L117:AO117)))</f>
        <v>4.4130850763441396</v>
      </c>
      <c r="AQ117" s="147">
        <f>IF($I117 &gt;0, MIN(AP117,$I117-SUM($L117:AP117)), MAX(AP117,$I117-SUM($L117:AP117)))</f>
        <v>4.4130850763441396</v>
      </c>
      <c r="AR117" s="147">
        <f>IF($I117 &gt;0, MIN(AQ117,$I117-SUM($L117:AQ117)), MAX(AQ117,$I117-SUM($L117:AQ117)))</f>
        <v>4.4130850763441396</v>
      </c>
    </row>
    <row r="118" spans="2:44" ht="15" customHeight="1">
      <c r="D118" s="149"/>
      <c r="E118" s="184">
        <v>44286</v>
      </c>
      <c r="G118" s="158" t="s">
        <v>844</v>
      </c>
      <c r="H118" s="151"/>
      <c r="I118" s="147">
        <f t="shared" si="6"/>
        <v>152.36174091460876</v>
      </c>
      <c r="J118" s="31"/>
      <c r="K118" s="149"/>
      <c r="L118" s="147"/>
      <c r="M118" s="147"/>
      <c r="N118" s="147"/>
      <c r="O118" s="147"/>
      <c r="P118" s="147"/>
      <c r="Q118" s="147"/>
      <c r="R118" s="147"/>
      <c r="S118" s="147"/>
      <c r="T118" s="147"/>
      <c r="U118" s="147"/>
      <c r="V118" s="147"/>
      <c r="W118" s="147"/>
      <c r="X118" s="147"/>
      <c r="Y118" s="147"/>
      <c r="Z118" s="147"/>
      <c r="AA118" s="147"/>
      <c r="AB118" s="147"/>
      <c r="AC118" s="147"/>
      <c r="AD118" s="147"/>
      <c r="AE118" s="147"/>
      <c r="AF118" s="147"/>
      <c r="AG118" s="147"/>
      <c r="AH118" s="147"/>
      <c r="AI118" s="147"/>
      <c r="AJ118" s="147"/>
      <c r="AK118" s="147"/>
      <c r="AL118" s="147"/>
      <c r="AM118" s="147"/>
      <c r="AN118" s="147"/>
      <c r="AO118" s="147"/>
      <c r="AP118" s="107">
        <f>$I118/AO$82</f>
        <v>3.9319158945705488</v>
      </c>
      <c r="AQ118" s="147">
        <f>IF($I118 &gt;0, MIN(AP118,$I118-SUM($L118:AP118)), MAX(AP118,$I118-SUM($L118:AP118)))</f>
        <v>3.9319158945705488</v>
      </c>
      <c r="AR118" s="147">
        <f>IF($I118 &gt;0, MIN(AQ118,$I118-SUM($L118:AQ118)), MAX(AQ118,$I118-SUM($L118:AQ118)))</f>
        <v>3.9319158945705488</v>
      </c>
    </row>
    <row r="119" spans="2:44" ht="15" customHeight="1">
      <c r="D119" s="149"/>
      <c r="E119" s="307">
        <v>44651</v>
      </c>
      <c r="F119" s="154"/>
      <c r="G119" s="154" t="s">
        <v>844</v>
      </c>
      <c r="H119" s="156"/>
      <c r="I119" s="157">
        <f t="shared" ref="I119:I120" si="7">INDEX($K$18:$AQ$18,1,MATCH(E119,$K$7:$AQ$7,0))</f>
        <v>152.79897079574016</v>
      </c>
      <c r="J119" s="31"/>
      <c r="K119" s="149"/>
      <c r="L119" s="147"/>
      <c r="M119" s="147"/>
      <c r="N119" s="147"/>
      <c r="O119" s="147"/>
      <c r="P119" s="147"/>
      <c r="Q119" s="147"/>
      <c r="R119" s="147"/>
      <c r="S119" s="147"/>
      <c r="T119" s="147"/>
      <c r="U119" s="147"/>
      <c r="V119" s="147"/>
      <c r="W119" s="147"/>
      <c r="X119" s="147"/>
      <c r="Y119" s="147"/>
      <c r="Z119" s="147"/>
      <c r="AA119" s="147"/>
      <c r="AB119" s="147"/>
      <c r="AC119" s="147"/>
      <c r="AD119" s="147"/>
      <c r="AE119" s="147"/>
      <c r="AF119" s="147"/>
      <c r="AG119" s="147"/>
      <c r="AH119" s="147"/>
      <c r="AI119" s="147"/>
      <c r="AJ119" s="147"/>
      <c r="AK119" s="147"/>
      <c r="AL119" s="147"/>
      <c r="AM119" s="147"/>
      <c r="AN119" s="147"/>
      <c r="AO119" s="147"/>
      <c r="AP119" s="147"/>
      <c r="AQ119" s="107">
        <f>$I119/AP$82</f>
        <v>3.6489306458684219</v>
      </c>
      <c r="AR119" s="147">
        <f>IF($I119 &gt;0, MIN(AQ119,$I119-SUM($L119:AQ119)), MAX(AQ119,$I119-SUM($L119:AQ119)))</f>
        <v>3.6489306458684219</v>
      </c>
    </row>
    <row r="120" spans="2:44" ht="15" customHeight="1">
      <c r="D120" s="149"/>
      <c r="E120" s="307">
        <v>45016</v>
      </c>
      <c r="F120" s="154"/>
      <c r="G120" s="154" t="s">
        <v>844</v>
      </c>
      <c r="H120" s="156"/>
      <c r="I120" s="157">
        <f t="shared" si="7"/>
        <v>148.8695577731709</v>
      </c>
      <c r="J120" s="31"/>
      <c r="K120" s="149"/>
      <c r="L120" s="147"/>
      <c r="M120" s="147"/>
      <c r="N120" s="147"/>
      <c r="O120" s="147"/>
      <c r="P120" s="147"/>
      <c r="Q120" s="147"/>
      <c r="R120" s="147"/>
      <c r="S120" s="147"/>
      <c r="T120" s="147"/>
      <c r="U120" s="147"/>
      <c r="V120" s="147"/>
      <c r="W120" s="147"/>
      <c r="X120" s="147"/>
      <c r="Y120" s="147"/>
      <c r="Z120" s="147"/>
      <c r="AA120" s="147"/>
      <c r="AB120" s="147"/>
      <c r="AC120" s="147"/>
      <c r="AD120" s="147"/>
      <c r="AE120" s="147"/>
      <c r="AF120" s="147"/>
      <c r="AG120" s="147"/>
      <c r="AH120" s="147"/>
      <c r="AI120" s="147"/>
      <c r="AJ120" s="147"/>
      <c r="AK120" s="147"/>
      <c r="AL120" s="147"/>
      <c r="AM120" s="147"/>
      <c r="AN120" s="147"/>
      <c r="AO120" s="147"/>
      <c r="AP120" s="147"/>
      <c r="AQ120" s="147"/>
    </row>
    <row r="121" spans="2:44" ht="15" customHeight="1">
      <c r="C121" s="20"/>
      <c r="E121" s="21"/>
      <c r="I121" s="149"/>
      <c r="J121" s="153"/>
      <c r="K121" s="153"/>
      <c r="L121" s="153"/>
      <c r="M121" s="153"/>
      <c r="N121" s="153"/>
      <c r="O121" s="153"/>
      <c r="P121" s="153"/>
      <c r="Q121" s="153"/>
      <c r="R121" s="153"/>
      <c r="S121" s="153"/>
      <c r="T121" s="153"/>
      <c r="U121" s="153"/>
      <c r="V121" s="153"/>
      <c r="W121" s="153"/>
      <c r="X121" s="153"/>
      <c r="Y121" s="153"/>
      <c r="Z121" s="153"/>
      <c r="AA121" s="153"/>
      <c r="AB121" s="153"/>
      <c r="AC121" s="153"/>
      <c r="AD121" s="153"/>
      <c r="AE121" s="153"/>
      <c r="AF121" s="153"/>
      <c r="AG121" s="153"/>
      <c r="AH121" s="153"/>
      <c r="AI121" s="153"/>
      <c r="AJ121" s="149"/>
      <c r="AK121" s="149"/>
      <c r="AL121" s="149"/>
      <c r="AM121" s="149"/>
      <c r="AN121" s="149"/>
      <c r="AO121" s="149"/>
      <c r="AP121" s="149"/>
      <c r="AQ121" s="149"/>
    </row>
    <row r="122" spans="2:44" s="151" customFormat="1" ht="15" customHeight="1">
      <c r="C122" s="17" t="s">
        <v>119</v>
      </c>
      <c r="D122" s="17"/>
      <c r="E122" s="17"/>
      <c r="F122" s="17"/>
      <c r="G122" s="17"/>
      <c r="H122" s="17"/>
      <c r="I122" s="332"/>
      <c r="J122" s="345"/>
      <c r="K122" s="332"/>
      <c r="L122" s="332"/>
      <c r="M122" s="332"/>
      <c r="N122" s="332"/>
      <c r="O122" s="332"/>
      <c r="P122" s="332"/>
      <c r="Q122" s="332"/>
      <c r="R122" s="332"/>
      <c r="S122" s="332"/>
      <c r="T122" s="332"/>
      <c r="U122" s="332"/>
      <c r="V122" s="332"/>
      <c r="W122" s="332"/>
      <c r="X122" s="332"/>
      <c r="Y122" s="332"/>
      <c r="Z122" s="332"/>
      <c r="AA122" s="332"/>
      <c r="AB122" s="332"/>
      <c r="AC122" s="332"/>
      <c r="AD122" s="332"/>
      <c r="AE122" s="332"/>
      <c r="AF122" s="332"/>
      <c r="AG122" s="332"/>
      <c r="AH122" s="332"/>
      <c r="AI122" s="332"/>
      <c r="AJ122" s="332"/>
      <c r="AK122" s="332"/>
      <c r="AL122" s="332"/>
      <c r="AM122" s="332"/>
      <c r="AN122" s="332"/>
      <c r="AO122" s="332"/>
      <c r="AP122" s="332"/>
      <c r="AQ122" s="332"/>
    </row>
    <row r="123" spans="2:44" s="151" customFormat="1" ht="15" customHeight="1">
      <c r="B123" s="147"/>
      <c r="C123" s="166" t="s">
        <v>645</v>
      </c>
      <c r="D123" s="166"/>
      <c r="E123" s="166"/>
      <c r="F123" s="166"/>
      <c r="G123" s="166"/>
      <c r="H123" s="166"/>
      <c r="I123" s="197"/>
      <c r="J123" s="197"/>
      <c r="K123" s="197"/>
      <c r="L123" s="197"/>
      <c r="M123" s="197"/>
      <c r="N123" s="197"/>
      <c r="O123" s="197"/>
      <c r="P123" s="197"/>
      <c r="Q123" s="197"/>
      <c r="R123" s="197"/>
      <c r="S123" s="197"/>
      <c r="T123" s="197"/>
      <c r="U123" s="197"/>
      <c r="V123" s="197"/>
      <c r="W123" s="197"/>
      <c r="X123" s="197"/>
      <c r="Y123" s="197"/>
      <c r="Z123" s="197"/>
      <c r="AA123" s="197"/>
      <c r="AB123" s="197"/>
      <c r="AC123" s="197"/>
      <c r="AD123" s="197"/>
      <c r="AE123" s="197"/>
      <c r="AF123" s="197"/>
      <c r="AG123" s="197"/>
      <c r="AH123" s="197"/>
      <c r="AI123" s="197"/>
      <c r="AJ123" s="197"/>
      <c r="AK123" s="197"/>
      <c r="AL123" s="197"/>
      <c r="AM123" s="197"/>
      <c r="AN123" s="197"/>
      <c r="AO123" s="197"/>
      <c r="AP123" s="197"/>
      <c r="AQ123" s="197"/>
    </row>
    <row r="124" spans="2:44" s="151" customFormat="1" ht="15" customHeight="1">
      <c r="B124" s="147"/>
      <c r="D124" s="147"/>
      <c r="E124" s="147"/>
      <c r="F124" s="147"/>
      <c r="G124" s="147"/>
      <c r="H124" s="147"/>
      <c r="I124" s="147"/>
      <c r="J124" s="31"/>
      <c r="K124" s="147"/>
      <c r="L124" s="147"/>
      <c r="M124" s="147"/>
      <c r="N124" s="147"/>
      <c r="O124" s="147"/>
      <c r="P124" s="147"/>
      <c r="Q124" s="147"/>
      <c r="R124" s="147"/>
      <c r="S124" s="147"/>
      <c r="T124" s="147"/>
      <c r="U124" s="147"/>
      <c r="V124" s="147"/>
      <c r="W124" s="147"/>
      <c r="X124" s="147"/>
      <c r="Y124" s="147"/>
      <c r="Z124" s="147"/>
      <c r="AA124" s="147"/>
      <c r="AB124" s="147"/>
      <c r="AC124" s="147"/>
      <c r="AD124" s="147"/>
      <c r="AE124" s="147"/>
      <c r="AF124" s="147"/>
      <c r="AG124" s="147"/>
      <c r="AH124" s="147"/>
      <c r="AI124" s="147"/>
      <c r="AJ124" s="147"/>
      <c r="AK124" s="147"/>
      <c r="AL124" s="147"/>
      <c r="AM124" s="147"/>
      <c r="AN124" s="147"/>
      <c r="AO124" s="147"/>
      <c r="AP124" s="147"/>
      <c r="AQ124" s="147"/>
    </row>
    <row r="125" spans="2:44" s="151" customFormat="1" ht="15" customHeight="1">
      <c r="D125" s="36" t="s">
        <v>120</v>
      </c>
      <c r="E125" s="36"/>
      <c r="F125" s="36"/>
      <c r="G125" s="36"/>
      <c r="H125" s="36"/>
      <c r="I125" s="201"/>
      <c r="J125" s="347"/>
      <c r="K125" s="201"/>
      <c r="L125" s="201"/>
      <c r="M125" s="201"/>
      <c r="N125" s="201"/>
      <c r="O125" s="201"/>
      <c r="P125" s="201"/>
      <c r="Q125" s="201"/>
      <c r="R125" s="201"/>
      <c r="S125" s="201"/>
      <c r="T125" s="201"/>
      <c r="U125" s="201"/>
      <c r="V125" s="201"/>
      <c r="W125" s="201"/>
      <c r="X125" s="201"/>
      <c r="Y125" s="201"/>
      <c r="Z125" s="310"/>
      <c r="AA125" s="310"/>
      <c r="AB125" s="310"/>
      <c r="AC125" s="310"/>
      <c r="AD125" s="310"/>
      <c r="AE125" s="310"/>
      <c r="AF125" s="310"/>
      <c r="AG125" s="310"/>
      <c r="AH125" s="310"/>
      <c r="AI125" s="310"/>
      <c r="AJ125" s="310"/>
      <c r="AK125" s="310"/>
      <c r="AL125" s="310"/>
      <c r="AM125" s="310"/>
      <c r="AN125" s="310"/>
      <c r="AO125" s="310"/>
      <c r="AP125" s="310"/>
      <c r="AQ125" s="310"/>
    </row>
    <row r="126" spans="2:44" s="151" customFormat="1" ht="15" customHeight="1">
      <c r="B126" s="147"/>
      <c r="D126" s="147"/>
      <c r="E126" s="147"/>
      <c r="F126" s="147"/>
      <c r="G126" s="147"/>
      <c r="H126" s="147"/>
      <c r="I126" s="147"/>
      <c r="J126" s="31"/>
      <c r="K126" s="147"/>
      <c r="L126" s="147"/>
      <c r="M126" s="147"/>
      <c r="N126" s="147"/>
      <c r="O126" s="147"/>
      <c r="P126" s="147"/>
      <c r="Q126" s="147"/>
      <c r="R126" s="147"/>
      <c r="S126" s="147"/>
      <c r="T126" s="147"/>
      <c r="U126" s="147"/>
      <c r="V126" s="147"/>
      <c r="W126" s="147"/>
      <c r="X126" s="147"/>
      <c r="Y126" s="147"/>
      <c r="Z126" s="147"/>
      <c r="AA126" s="147"/>
      <c r="AB126" s="147"/>
      <c r="AC126" s="147"/>
      <c r="AD126" s="147"/>
      <c r="AE126" s="147"/>
      <c r="AF126" s="147"/>
      <c r="AG126" s="147"/>
      <c r="AH126" s="147"/>
      <c r="AI126" s="147"/>
      <c r="AJ126" s="147"/>
      <c r="AK126" s="147"/>
      <c r="AL126" s="147"/>
      <c r="AM126" s="147"/>
      <c r="AN126" s="147"/>
      <c r="AO126" s="147"/>
      <c r="AP126" s="147"/>
      <c r="AQ126" s="147"/>
    </row>
    <row r="127" spans="2:44" ht="15" customHeight="1">
      <c r="E127" s="158" t="s">
        <v>121</v>
      </c>
      <c r="G127" s="158" t="s">
        <v>47</v>
      </c>
      <c r="H127" s="147"/>
      <c r="I127" s="147"/>
      <c r="J127" s="31" t="s">
        <v>56</v>
      </c>
      <c r="K127" s="107"/>
      <c r="L127" s="180">
        <f t="shared" ref="L127:AQ127" si="8">IF(L83, 1, 0)</f>
        <v>1</v>
      </c>
      <c r="M127" s="180">
        <f t="shared" si="8"/>
        <v>1</v>
      </c>
      <c r="N127" s="180">
        <f t="shared" si="8"/>
        <v>1</v>
      </c>
      <c r="O127" s="180">
        <f t="shared" si="8"/>
        <v>1</v>
      </c>
      <c r="P127" s="180">
        <f t="shared" si="8"/>
        <v>1</v>
      </c>
      <c r="Q127" s="180">
        <f t="shared" si="8"/>
        <v>1</v>
      </c>
      <c r="R127" s="180">
        <f t="shared" si="8"/>
        <v>1</v>
      </c>
      <c r="S127" s="180">
        <f t="shared" si="8"/>
        <v>1</v>
      </c>
      <c r="T127" s="180">
        <f t="shared" si="8"/>
        <v>1</v>
      </c>
      <c r="U127" s="180">
        <f t="shared" si="8"/>
        <v>1</v>
      </c>
      <c r="V127" s="180">
        <f t="shared" si="8"/>
        <v>1</v>
      </c>
      <c r="W127" s="180">
        <f t="shared" si="8"/>
        <v>1</v>
      </c>
      <c r="X127" s="180">
        <f t="shared" si="8"/>
        <v>1</v>
      </c>
      <c r="Y127" s="180">
        <f t="shared" si="8"/>
        <v>0</v>
      </c>
      <c r="Z127" s="180">
        <f>IF(Z83, 1, 0)</f>
        <v>0</v>
      </c>
      <c r="AA127" s="180">
        <f t="shared" si="8"/>
        <v>0</v>
      </c>
      <c r="AB127" s="180">
        <f t="shared" si="8"/>
        <v>0</v>
      </c>
      <c r="AC127" s="180">
        <f t="shared" si="8"/>
        <v>0</v>
      </c>
      <c r="AD127" s="180">
        <f t="shared" si="8"/>
        <v>0</v>
      </c>
      <c r="AE127" s="180">
        <f t="shared" si="8"/>
        <v>0</v>
      </c>
      <c r="AF127" s="180">
        <f t="shared" si="8"/>
        <v>0</v>
      </c>
      <c r="AG127" s="180">
        <f t="shared" si="8"/>
        <v>0</v>
      </c>
      <c r="AH127" s="180">
        <f t="shared" si="8"/>
        <v>0</v>
      </c>
      <c r="AI127" s="180">
        <f t="shared" si="8"/>
        <v>0</v>
      </c>
      <c r="AJ127" s="180">
        <f t="shared" si="8"/>
        <v>0</v>
      </c>
      <c r="AK127" s="180">
        <f t="shared" si="8"/>
        <v>0</v>
      </c>
      <c r="AL127" s="180">
        <f t="shared" si="8"/>
        <v>0</v>
      </c>
      <c r="AM127" s="180">
        <f t="shared" si="8"/>
        <v>0</v>
      </c>
      <c r="AN127" s="180">
        <f t="shared" si="8"/>
        <v>0</v>
      </c>
      <c r="AO127" s="180">
        <f t="shared" si="8"/>
        <v>0</v>
      </c>
      <c r="AP127" s="180">
        <f t="shared" si="8"/>
        <v>0</v>
      </c>
      <c r="AQ127" s="180">
        <f t="shared" si="8"/>
        <v>0</v>
      </c>
    </row>
    <row r="128" spans="2:44" ht="15" customHeight="1">
      <c r="C128" s="147"/>
      <c r="D128" s="147"/>
      <c r="E128" s="21" t="s">
        <v>644</v>
      </c>
      <c r="F128" s="21"/>
      <c r="G128" s="21" t="s">
        <v>51</v>
      </c>
      <c r="H128" s="21"/>
      <c r="I128" s="157">
        <f>Input!I327</f>
        <v>15</v>
      </c>
      <c r="J128" s="31"/>
      <c r="K128" s="147"/>
      <c r="L128" s="147"/>
      <c r="M128" s="147"/>
      <c r="N128" s="147"/>
      <c r="O128" s="147"/>
      <c r="P128" s="147"/>
      <c r="Q128" s="147"/>
      <c r="R128" s="147"/>
      <c r="S128" s="147"/>
      <c r="T128" s="147"/>
      <c r="U128" s="147"/>
      <c r="V128" s="147"/>
      <c r="W128" s="147"/>
      <c r="X128" s="147"/>
      <c r="Y128" s="147"/>
      <c r="Z128" s="147"/>
      <c r="AA128" s="147"/>
      <c r="AB128" s="147"/>
      <c r="AC128" s="147"/>
      <c r="AD128" s="147"/>
      <c r="AE128" s="147"/>
      <c r="AF128" s="147"/>
      <c r="AG128" s="147"/>
      <c r="AH128" s="147"/>
      <c r="AI128" s="147"/>
      <c r="AJ128" s="147"/>
      <c r="AK128" s="147"/>
      <c r="AL128" s="147"/>
      <c r="AM128" s="147"/>
      <c r="AN128" s="147"/>
      <c r="AO128" s="147"/>
      <c r="AP128" s="147"/>
      <c r="AQ128" s="147"/>
    </row>
    <row r="129" spans="4:48" ht="15" customHeight="1">
      <c r="E129" s="147" t="s">
        <v>643</v>
      </c>
      <c r="G129" s="158" t="s">
        <v>49</v>
      </c>
      <c r="H129" s="147"/>
      <c r="I129" s="245"/>
      <c r="J129" s="305"/>
      <c r="K129" s="304"/>
      <c r="L129" s="245">
        <f t="shared" ref="L129:AN129" si="9">IF($I128 = 0, 0, IF(AND(YEAR(L$7) &gt;= YEAR($I$28) + IF($I$30=12,$I$29,$I$29+1), YEAR(L$7) &lt; YEAR($I$28) + IF($I$30=12,$I$29,$I$29+1) + $I128), 1, 0) / $I128)</f>
        <v>0</v>
      </c>
      <c r="M129" s="245">
        <f t="shared" si="9"/>
        <v>0</v>
      </c>
      <c r="N129" s="245">
        <f t="shared" si="9"/>
        <v>0</v>
      </c>
      <c r="O129" s="245">
        <f t="shared" si="9"/>
        <v>0</v>
      </c>
      <c r="P129" s="245">
        <f t="shared" si="9"/>
        <v>0</v>
      </c>
      <c r="Q129" s="245">
        <f t="shared" si="9"/>
        <v>0</v>
      </c>
      <c r="R129" s="245">
        <f t="shared" si="9"/>
        <v>0</v>
      </c>
      <c r="S129" s="245">
        <f t="shared" si="9"/>
        <v>0</v>
      </c>
      <c r="T129" s="245">
        <f t="shared" si="9"/>
        <v>0</v>
      </c>
      <c r="U129" s="245">
        <f t="shared" si="9"/>
        <v>0</v>
      </c>
      <c r="V129" s="245">
        <f t="shared" si="9"/>
        <v>0</v>
      </c>
      <c r="W129" s="245">
        <f t="shared" si="9"/>
        <v>0</v>
      </c>
      <c r="X129" s="245">
        <f t="shared" si="9"/>
        <v>0</v>
      </c>
      <c r="Y129" s="245">
        <f t="shared" si="9"/>
        <v>6.6666666666666666E-2</v>
      </c>
      <c r="Z129" s="245">
        <f t="shared" si="9"/>
        <v>6.6666666666666666E-2</v>
      </c>
      <c r="AA129" s="245">
        <f t="shared" si="9"/>
        <v>6.6666666666666666E-2</v>
      </c>
      <c r="AB129" s="245">
        <f t="shared" si="9"/>
        <v>6.6666666666666666E-2</v>
      </c>
      <c r="AC129" s="245">
        <f t="shared" si="9"/>
        <v>6.6666666666666666E-2</v>
      </c>
      <c r="AD129" s="245">
        <f t="shared" si="9"/>
        <v>6.6666666666666666E-2</v>
      </c>
      <c r="AE129" s="245">
        <f t="shared" si="9"/>
        <v>6.6666666666666666E-2</v>
      </c>
      <c r="AF129" s="245">
        <f t="shared" si="9"/>
        <v>6.6666666666666666E-2</v>
      </c>
      <c r="AG129" s="245">
        <f t="shared" si="9"/>
        <v>6.6666666666666666E-2</v>
      </c>
      <c r="AH129" s="245">
        <f t="shared" si="9"/>
        <v>6.6666666666666666E-2</v>
      </c>
      <c r="AI129" s="245">
        <f t="shared" si="9"/>
        <v>6.6666666666666666E-2</v>
      </c>
      <c r="AJ129" s="245">
        <f t="shared" si="9"/>
        <v>6.6666666666666666E-2</v>
      </c>
      <c r="AK129" s="245">
        <f t="shared" si="9"/>
        <v>6.6666666666666666E-2</v>
      </c>
      <c r="AL129" s="245">
        <f t="shared" si="9"/>
        <v>6.6666666666666666E-2</v>
      </c>
      <c r="AM129" s="245">
        <f t="shared" si="9"/>
        <v>6.6666666666666666E-2</v>
      </c>
      <c r="AN129" s="245">
        <f t="shared" si="9"/>
        <v>0</v>
      </c>
      <c r="AO129" s="245">
        <f>IF($I128 = 0, 0, IF(AND(YEAR(AO$7) &gt;= YEAR($I$28) + IF($I$30=12,$I$29,$I$29+1), YEAR(AO$7) &lt; YEAR($I$28) + IF($I$30=12,$I$29,$I$29+1) + $I128), 1, 0) / $I128)</f>
        <v>0</v>
      </c>
      <c r="AP129" s="245">
        <f t="shared" ref="AP129:AQ129" si="10">IF($I128 = 0, 0, IF(AND(YEAR(AP$7) &gt;= YEAR($I$28) + IF($I$30=12,$I$29,$I$29+1), YEAR(AP$7) &lt; YEAR($I$28) + IF($I$30=12,$I$29,$I$29+1) + $I128), 1, 0) / $I128)</f>
        <v>0</v>
      </c>
      <c r="AQ129" s="245">
        <f t="shared" si="10"/>
        <v>0</v>
      </c>
      <c r="AR129" s="151"/>
    </row>
    <row r="130" spans="4:48" ht="15" customHeight="1">
      <c r="D130" s="149"/>
      <c r="E130" s="149"/>
      <c r="F130" s="149"/>
      <c r="G130" s="147"/>
      <c r="H130" s="147"/>
      <c r="I130" s="147"/>
      <c r="J130" s="31"/>
      <c r="K130" s="147"/>
      <c r="L130" s="147"/>
      <c r="M130" s="147"/>
      <c r="N130" s="147"/>
      <c r="O130" s="147"/>
      <c r="P130" s="147"/>
      <c r="Q130" s="147"/>
      <c r="R130" s="147"/>
      <c r="S130" s="147"/>
      <c r="T130" s="147"/>
      <c r="U130" s="147"/>
      <c r="V130" s="147"/>
      <c r="W130" s="147"/>
      <c r="X130" s="147"/>
      <c r="Y130" s="147"/>
      <c r="Z130" s="147"/>
      <c r="AA130" s="147"/>
      <c r="AB130" s="147"/>
      <c r="AC130" s="147"/>
      <c r="AD130" s="147"/>
      <c r="AE130" s="147"/>
      <c r="AF130" s="147"/>
      <c r="AG130" s="147"/>
      <c r="AH130" s="147"/>
      <c r="AI130" s="147"/>
      <c r="AJ130" s="147"/>
      <c r="AK130" s="147"/>
      <c r="AL130" s="147"/>
      <c r="AM130" s="147"/>
      <c r="AN130" s="147"/>
      <c r="AO130" s="147"/>
      <c r="AP130" s="147"/>
      <c r="AQ130" s="147"/>
    </row>
    <row r="131" spans="4:48" s="151" customFormat="1" ht="15" customHeight="1">
      <c r="D131" s="36" t="s">
        <v>642</v>
      </c>
      <c r="E131" s="36"/>
      <c r="F131" s="36"/>
      <c r="G131" s="36"/>
      <c r="H131" s="36"/>
      <c r="I131" s="201"/>
      <c r="J131" s="347"/>
      <c r="K131" s="201"/>
      <c r="L131" s="201"/>
      <c r="M131" s="201"/>
      <c r="N131" s="201"/>
      <c r="O131" s="201"/>
      <c r="P131" s="201"/>
      <c r="Q131" s="201"/>
      <c r="R131" s="201"/>
      <c r="S131" s="201"/>
      <c r="T131" s="201"/>
      <c r="U131" s="201"/>
      <c r="V131" s="201"/>
      <c r="W131" s="201"/>
      <c r="X131" s="201"/>
      <c r="Y131" s="201"/>
      <c r="Z131" s="201"/>
      <c r="AA131" s="201"/>
      <c r="AB131" s="201"/>
      <c r="AC131" s="201"/>
      <c r="AD131" s="201"/>
      <c r="AE131" s="201"/>
      <c r="AF131" s="201"/>
      <c r="AG131" s="201"/>
      <c r="AH131" s="201"/>
      <c r="AI131" s="201"/>
      <c r="AJ131" s="201"/>
      <c r="AK131" s="201"/>
      <c r="AL131" s="201"/>
      <c r="AM131" s="201"/>
      <c r="AN131" s="201"/>
      <c r="AO131" s="201"/>
      <c r="AP131" s="201"/>
      <c r="AQ131" s="201"/>
    </row>
    <row r="132" spans="4:48" ht="15" customHeight="1">
      <c r="D132" s="149"/>
      <c r="E132" s="149"/>
      <c r="F132" s="149"/>
      <c r="G132" s="147"/>
      <c r="H132" s="147"/>
      <c r="I132" s="147"/>
      <c r="J132" s="31"/>
      <c r="K132" s="147"/>
      <c r="L132" s="147"/>
      <c r="M132" s="147"/>
      <c r="N132" s="147"/>
      <c r="O132" s="147"/>
      <c r="P132" s="147"/>
      <c r="Q132" s="147"/>
      <c r="R132" s="147"/>
      <c r="S132" s="147"/>
      <c r="T132" s="147"/>
      <c r="U132" s="147"/>
      <c r="V132" s="147"/>
      <c r="W132" s="147"/>
      <c r="X132" s="147"/>
      <c r="Y132" s="147"/>
      <c r="Z132" s="147"/>
      <c r="AA132" s="147"/>
      <c r="AB132" s="147"/>
      <c r="AC132" s="147"/>
      <c r="AD132" s="147"/>
      <c r="AE132" s="147"/>
      <c r="AF132" s="147"/>
      <c r="AG132" s="147"/>
      <c r="AH132" s="147"/>
      <c r="AI132" s="147"/>
      <c r="AJ132" s="147"/>
      <c r="AK132" s="147"/>
      <c r="AL132" s="147"/>
      <c r="AM132" s="147"/>
      <c r="AN132" s="147"/>
      <c r="AO132" s="147"/>
      <c r="AP132" s="147"/>
      <c r="AQ132" s="147"/>
    </row>
    <row r="133" spans="4:48" ht="15" customHeight="1">
      <c r="D133" s="149"/>
      <c r="E133" s="149" t="s">
        <v>641</v>
      </c>
      <c r="F133" s="149"/>
      <c r="G133" s="147"/>
      <c r="H133" s="147"/>
      <c r="I133" s="147"/>
      <c r="J133" s="31"/>
      <c r="K133" s="229">
        <f t="shared" ref="K133:AQ133" si="11">K7</f>
        <v>33328</v>
      </c>
      <c r="L133" s="229">
        <f t="shared" si="11"/>
        <v>33694</v>
      </c>
      <c r="M133" s="229">
        <f t="shared" ref="M133:N133" si="12">M7</f>
        <v>34059</v>
      </c>
      <c r="N133" s="229">
        <f t="shared" si="12"/>
        <v>34424</v>
      </c>
      <c r="O133" s="229">
        <f t="shared" si="11"/>
        <v>34789</v>
      </c>
      <c r="P133" s="229">
        <f t="shared" si="11"/>
        <v>35155</v>
      </c>
      <c r="Q133" s="229">
        <f t="shared" si="11"/>
        <v>35520</v>
      </c>
      <c r="R133" s="229">
        <f t="shared" si="11"/>
        <v>35885</v>
      </c>
      <c r="S133" s="229">
        <f t="shared" si="11"/>
        <v>36250</v>
      </c>
      <c r="T133" s="229">
        <f t="shared" si="11"/>
        <v>36616</v>
      </c>
      <c r="U133" s="229">
        <f t="shared" si="11"/>
        <v>36981</v>
      </c>
      <c r="V133" s="229">
        <f t="shared" si="11"/>
        <v>37346</v>
      </c>
      <c r="W133" s="229">
        <f t="shared" si="11"/>
        <v>37711</v>
      </c>
      <c r="X133" s="229">
        <f t="shared" si="11"/>
        <v>38077</v>
      </c>
      <c r="Y133" s="229">
        <f t="shared" si="11"/>
        <v>38442</v>
      </c>
      <c r="Z133" s="229">
        <f t="shared" si="11"/>
        <v>38807</v>
      </c>
      <c r="AA133" s="229">
        <f t="shared" si="11"/>
        <v>39172</v>
      </c>
      <c r="AB133" s="229">
        <f t="shared" si="11"/>
        <v>39538</v>
      </c>
      <c r="AC133" s="229">
        <f t="shared" si="11"/>
        <v>39903</v>
      </c>
      <c r="AD133" s="229">
        <f t="shared" si="11"/>
        <v>40268</v>
      </c>
      <c r="AE133" s="229">
        <f t="shared" si="11"/>
        <v>40633</v>
      </c>
      <c r="AF133" s="229">
        <f t="shared" si="11"/>
        <v>40999</v>
      </c>
      <c r="AG133" s="229">
        <f t="shared" si="11"/>
        <v>41364</v>
      </c>
      <c r="AH133" s="229">
        <f t="shared" si="11"/>
        <v>41729</v>
      </c>
      <c r="AI133" s="229">
        <f t="shared" si="11"/>
        <v>42094</v>
      </c>
      <c r="AJ133" s="229">
        <f t="shared" si="11"/>
        <v>42460</v>
      </c>
      <c r="AK133" s="229">
        <f t="shared" si="11"/>
        <v>42825</v>
      </c>
      <c r="AL133" s="229">
        <f t="shared" si="11"/>
        <v>43190</v>
      </c>
      <c r="AM133" s="229">
        <f t="shared" si="11"/>
        <v>43555</v>
      </c>
      <c r="AN133" s="229">
        <f t="shared" si="11"/>
        <v>43921</v>
      </c>
      <c r="AO133" s="229">
        <f t="shared" si="11"/>
        <v>44286</v>
      </c>
      <c r="AP133" s="229">
        <f t="shared" si="11"/>
        <v>44651</v>
      </c>
      <c r="AQ133" s="229">
        <f t="shared" si="11"/>
        <v>45016</v>
      </c>
    </row>
    <row r="134" spans="4:48" ht="15" customHeight="1">
      <c r="D134" s="149"/>
      <c r="E134" s="147" t="s">
        <v>432</v>
      </c>
      <c r="F134" s="149"/>
      <c r="G134" s="147"/>
      <c r="H134" s="147"/>
      <c r="I134" s="147"/>
      <c r="J134" s="31"/>
      <c r="K134" s="147">
        <f t="shared" ref="K134:AQ134" si="13">K127 * K23</f>
        <v>0</v>
      </c>
      <c r="L134" s="147">
        <f t="shared" si="13"/>
        <v>0</v>
      </c>
      <c r="M134" s="147">
        <f t="shared" ref="M134:N134" si="14">M127 * M23</f>
        <v>0</v>
      </c>
      <c r="N134" s="147">
        <f t="shared" si="14"/>
        <v>0</v>
      </c>
      <c r="O134" s="147">
        <f t="shared" si="13"/>
        <v>0</v>
      </c>
      <c r="P134" s="147">
        <f t="shared" si="13"/>
        <v>0</v>
      </c>
      <c r="Q134" s="147">
        <f t="shared" si="13"/>
        <v>0</v>
      </c>
      <c r="R134" s="147">
        <f t="shared" si="13"/>
        <v>0</v>
      </c>
      <c r="S134" s="147">
        <f t="shared" si="13"/>
        <v>0</v>
      </c>
      <c r="T134" s="147">
        <f t="shared" si="13"/>
        <v>0</v>
      </c>
      <c r="U134" s="147">
        <f t="shared" si="13"/>
        <v>0</v>
      </c>
      <c r="V134" s="147">
        <f t="shared" si="13"/>
        <v>0</v>
      </c>
      <c r="W134" s="147">
        <f t="shared" si="13"/>
        <v>0</v>
      </c>
      <c r="X134" s="147">
        <f t="shared" si="13"/>
        <v>0</v>
      </c>
      <c r="Y134" s="147">
        <f t="shared" si="13"/>
        <v>0</v>
      </c>
      <c r="Z134" s="147">
        <f t="shared" si="13"/>
        <v>0</v>
      </c>
      <c r="AA134" s="147">
        <f t="shared" si="13"/>
        <v>0</v>
      </c>
      <c r="AB134" s="147">
        <f t="shared" si="13"/>
        <v>0</v>
      </c>
      <c r="AC134" s="147">
        <f t="shared" si="13"/>
        <v>0</v>
      </c>
      <c r="AD134" s="147">
        <f t="shared" si="13"/>
        <v>0</v>
      </c>
      <c r="AE134" s="147">
        <f t="shared" si="13"/>
        <v>0</v>
      </c>
      <c r="AF134" s="147">
        <f t="shared" si="13"/>
        <v>0</v>
      </c>
      <c r="AG134" s="147">
        <f t="shared" si="13"/>
        <v>0</v>
      </c>
      <c r="AH134" s="147">
        <f t="shared" si="13"/>
        <v>0</v>
      </c>
      <c r="AI134" s="147">
        <f t="shared" si="13"/>
        <v>0</v>
      </c>
      <c r="AJ134" s="147">
        <f t="shared" si="13"/>
        <v>0</v>
      </c>
      <c r="AK134" s="147">
        <f t="shared" si="13"/>
        <v>0</v>
      </c>
      <c r="AL134" s="147">
        <f t="shared" si="13"/>
        <v>0</v>
      </c>
      <c r="AM134" s="147">
        <f t="shared" si="13"/>
        <v>0</v>
      </c>
      <c r="AN134" s="147">
        <f t="shared" si="13"/>
        <v>0</v>
      </c>
      <c r="AO134" s="147">
        <f t="shared" si="13"/>
        <v>0</v>
      </c>
      <c r="AP134" s="147">
        <f t="shared" si="13"/>
        <v>0</v>
      </c>
      <c r="AQ134" s="147">
        <f t="shared" si="13"/>
        <v>0</v>
      </c>
    </row>
    <row r="135" spans="4:48" ht="15" customHeight="1">
      <c r="D135" s="149"/>
      <c r="E135" s="149"/>
      <c r="F135" s="149"/>
      <c r="G135" s="147"/>
      <c r="H135" s="147"/>
      <c r="I135" s="147"/>
      <c r="J135" s="31"/>
      <c r="K135" s="147"/>
      <c r="L135" s="147"/>
      <c r="M135" s="147"/>
      <c r="N135" s="147"/>
      <c r="O135" s="147"/>
      <c r="P135" s="147"/>
      <c r="Q135" s="147"/>
      <c r="R135" s="147"/>
      <c r="S135" s="147"/>
      <c r="T135" s="147"/>
      <c r="U135" s="147"/>
      <c r="V135" s="147"/>
      <c r="W135" s="147"/>
      <c r="X135" s="147"/>
      <c r="Y135" s="147"/>
      <c r="Z135" s="147"/>
      <c r="AA135" s="147"/>
      <c r="AB135" s="147"/>
      <c r="AC135" s="147"/>
      <c r="AD135" s="147"/>
      <c r="AE135" s="147"/>
      <c r="AF135" s="147"/>
      <c r="AG135" s="147"/>
      <c r="AH135" s="147"/>
      <c r="AI135" s="147"/>
      <c r="AJ135" s="147"/>
      <c r="AK135" s="147"/>
      <c r="AL135" s="147"/>
      <c r="AM135" s="147"/>
      <c r="AN135" s="147"/>
      <c r="AO135" s="147"/>
      <c r="AP135" s="147"/>
      <c r="AQ135" s="147"/>
    </row>
    <row r="136" spans="4:48" ht="15" customHeight="1">
      <c r="D136" s="36" t="s">
        <v>118</v>
      </c>
      <c r="E136" s="36"/>
      <c r="F136" s="36"/>
      <c r="G136" s="36"/>
      <c r="H136" s="36"/>
      <c r="I136" s="201"/>
      <c r="J136" s="347"/>
      <c r="K136" s="201"/>
      <c r="L136" s="201"/>
      <c r="M136" s="201"/>
      <c r="N136" s="201"/>
      <c r="O136" s="201"/>
      <c r="P136" s="201"/>
      <c r="Q136" s="201"/>
      <c r="R136" s="201"/>
      <c r="S136" s="201"/>
      <c r="T136" s="201"/>
      <c r="U136" s="201"/>
      <c r="V136" s="201"/>
      <c r="W136" s="201"/>
      <c r="X136" s="201"/>
      <c r="Y136" s="201"/>
      <c r="Z136" s="201"/>
      <c r="AA136" s="201"/>
      <c r="AB136" s="201"/>
      <c r="AC136" s="201"/>
      <c r="AD136" s="201"/>
      <c r="AE136" s="201"/>
      <c r="AF136" s="201"/>
      <c r="AG136" s="201"/>
      <c r="AH136" s="201"/>
      <c r="AI136" s="201"/>
      <c r="AJ136" s="201"/>
      <c r="AK136" s="201"/>
      <c r="AL136" s="201"/>
      <c r="AM136" s="201"/>
      <c r="AN136" s="201"/>
      <c r="AO136" s="201"/>
      <c r="AP136" s="201"/>
      <c r="AQ136" s="201"/>
    </row>
    <row r="137" spans="4:48" ht="15" customHeight="1">
      <c r="H137" s="147"/>
      <c r="I137" s="147"/>
      <c r="J137" s="31"/>
      <c r="K137" s="147"/>
      <c r="L137" s="147"/>
      <c r="M137" s="147"/>
      <c r="N137" s="147"/>
      <c r="O137" s="147"/>
      <c r="P137" s="147"/>
      <c r="Q137" s="147"/>
      <c r="R137" s="149"/>
      <c r="S137" s="149"/>
      <c r="T137" s="149"/>
      <c r="U137" s="149"/>
      <c r="V137" s="149"/>
      <c r="W137" s="149"/>
      <c r="X137" s="149"/>
      <c r="Y137" s="149"/>
      <c r="Z137" s="147"/>
      <c r="AA137" s="147"/>
      <c r="AB137" s="147"/>
      <c r="AC137" s="149"/>
      <c r="AD137" s="149"/>
      <c r="AE137" s="149"/>
      <c r="AF137" s="149"/>
      <c r="AG137" s="149"/>
      <c r="AH137" s="149"/>
      <c r="AI137" s="149"/>
      <c r="AJ137" s="149"/>
      <c r="AK137" s="149"/>
      <c r="AL137" s="149"/>
      <c r="AM137" s="149"/>
      <c r="AN137" s="149"/>
      <c r="AO137" s="149"/>
      <c r="AP137" s="149"/>
      <c r="AQ137" s="149"/>
    </row>
    <row r="138" spans="4:48" ht="15" customHeight="1">
      <c r="E138" s="86" t="s">
        <v>237</v>
      </c>
      <c r="H138" s="147"/>
      <c r="I138" s="106" t="s">
        <v>166</v>
      </c>
      <c r="J138" s="31"/>
      <c r="K138" s="147"/>
      <c r="L138" s="147"/>
      <c r="M138" s="147"/>
      <c r="N138" s="147"/>
      <c r="O138" s="147"/>
      <c r="P138" s="147"/>
      <c r="Q138" s="147"/>
      <c r="R138" s="149"/>
      <c r="S138" s="149"/>
      <c r="T138" s="149"/>
      <c r="U138" s="149"/>
      <c r="V138" s="149"/>
      <c r="W138" s="149"/>
      <c r="X138" s="149"/>
      <c r="Y138" s="149"/>
      <c r="Z138" s="147"/>
      <c r="AA138" s="147"/>
      <c r="AB138" s="147"/>
      <c r="AC138" s="149"/>
      <c r="AD138" s="149"/>
      <c r="AE138" s="149"/>
      <c r="AF138" s="149"/>
      <c r="AG138" s="149"/>
      <c r="AH138" s="149"/>
      <c r="AI138" s="149"/>
      <c r="AJ138" s="149"/>
      <c r="AK138" s="149"/>
      <c r="AL138" s="149"/>
      <c r="AM138" s="149"/>
      <c r="AN138" s="149"/>
      <c r="AO138" s="149"/>
      <c r="AP138" s="149"/>
      <c r="AQ138" s="149"/>
    </row>
    <row r="139" spans="4:48" ht="15" customHeight="1">
      <c r="E139" s="184">
        <v>33328</v>
      </c>
      <c r="G139" s="158" t="s">
        <v>844</v>
      </c>
      <c r="H139" s="147"/>
      <c r="I139" s="147">
        <f>SUMPRODUCT(L43:AQ43, L$127:AQ$127) - SUMPRODUCT(L88:AQ88, L$127:AQ$127) + HLOOKUP(E139,  $K$133:$AQ$134,2, FALSE)</f>
        <v>5.4797108224874869</v>
      </c>
      <c r="J139" s="31" t="s">
        <v>56</v>
      </c>
      <c r="K139" s="147"/>
      <c r="L139" s="303">
        <f t="shared" ref="L139:AQ148" si="15">$I139 * L$129</f>
        <v>0</v>
      </c>
      <c r="M139" s="147">
        <f t="shared" si="15"/>
        <v>0</v>
      </c>
      <c r="N139" s="147">
        <f t="shared" si="15"/>
        <v>0</v>
      </c>
      <c r="O139" s="147">
        <f t="shared" si="15"/>
        <v>0</v>
      </c>
      <c r="P139" s="147">
        <f t="shared" si="15"/>
        <v>0</v>
      </c>
      <c r="Q139" s="147">
        <f t="shared" si="15"/>
        <v>0</v>
      </c>
      <c r="R139" s="147">
        <f t="shared" si="15"/>
        <v>0</v>
      </c>
      <c r="S139" s="147">
        <f t="shared" si="15"/>
        <v>0</v>
      </c>
      <c r="T139" s="147">
        <f t="shared" si="15"/>
        <v>0</v>
      </c>
      <c r="U139" s="147">
        <f t="shared" si="15"/>
        <v>0</v>
      </c>
      <c r="V139" s="147">
        <f t="shared" si="15"/>
        <v>0</v>
      </c>
      <c r="W139" s="147">
        <f t="shared" si="15"/>
        <v>0</v>
      </c>
      <c r="X139" s="147">
        <f t="shared" si="15"/>
        <v>0</v>
      </c>
      <c r="Y139" s="147">
        <f t="shared" si="15"/>
        <v>0.36531405483249912</v>
      </c>
      <c r="Z139" s="147">
        <f t="shared" si="15"/>
        <v>0.36531405483249912</v>
      </c>
      <c r="AA139" s="147">
        <f t="shared" si="15"/>
        <v>0.36531405483249912</v>
      </c>
      <c r="AB139" s="147">
        <f t="shared" si="15"/>
        <v>0.36531405483249912</v>
      </c>
      <c r="AC139" s="147">
        <f t="shared" si="15"/>
        <v>0.36531405483249912</v>
      </c>
      <c r="AD139" s="147">
        <f t="shared" si="15"/>
        <v>0.36531405483249912</v>
      </c>
      <c r="AE139" s="147">
        <f t="shared" si="15"/>
        <v>0.36531405483249912</v>
      </c>
      <c r="AF139" s="147">
        <f t="shared" si="15"/>
        <v>0.36531405483249912</v>
      </c>
      <c r="AG139" s="147">
        <f t="shared" si="15"/>
        <v>0.36531405483249912</v>
      </c>
      <c r="AH139" s="147">
        <f t="shared" si="15"/>
        <v>0.36531405483249912</v>
      </c>
      <c r="AI139" s="147">
        <f t="shared" si="15"/>
        <v>0.36531405483249912</v>
      </c>
      <c r="AJ139" s="147">
        <f t="shared" si="15"/>
        <v>0.36531405483249912</v>
      </c>
      <c r="AK139" s="147">
        <f t="shared" si="15"/>
        <v>0.36531405483249912</v>
      </c>
      <c r="AL139" s="147">
        <f t="shared" si="15"/>
        <v>0.36531405483249912</v>
      </c>
      <c r="AM139" s="147">
        <f t="shared" si="15"/>
        <v>0.36531405483249912</v>
      </c>
      <c r="AN139" s="147">
        <f t="shared" si="15"/>
        <v>0</v>
      </c>
      <c r="AO139" s="147">
        <f t="shared" si="15"/>
        <v>0</v>
      </c>
      <c r="AP139" s="147">
        <f t="shared" si="15"/>
        <v>0</v>
      </c>
      <c r="AQ139" s="147">
        <f t="shared" si="15"/>
        <v>0</v>
      </c>
    </row>
    <row r="140" spans="4:48" ht="15" customHeight="1">
      <c r="E140" s="184">
        <v>33694</v>
      </c>
      <c r="G140" s="158" t="s">
        <v>844</v>
      </c>
      <c r="H140" s="147"/>
      <c r="I140" s="147">
        <f t="shared" ref="I140:I171" si="16">SUMPRODUCT(L44:AQ44, L$127:AQ$127) - SUMPRODUCT(L89:AQ89, L$127:AQ$127) + HLOOKUP(E140,  $K$133:$AQ$134,2, FALSE)</f>
        <v>18.9774600522756</v>
      </c>
      <c r="J140" s="31" t="s">
        <v>56</v>
      </c>
      <c r="K140" s="147"/>
      <c r="L140" s="147"/>
      <c r="M140" s="303">
        <f t="shared" si="15"/>
        <v>0</v>
      </c>
      <c r="N140" s="147">
        <f t="shared" si="15"/>
        <v>0</v>
      </c>
      <c r="O140" s="147">
        <f t="shared" si="15"/>
        <v>0</v>
      </c>
      <c r="P140" s="147">
        <f t="shared" si="15"/>
        <v>0</v>
      </c>
      <c r="Q140" s="147">
        <f t="shared" si="15"/>
        <v>0</v>
      </c>
      <c r="R140" s="147">
        <f t="shared" si="15"/>
        <v>0</v>
      </c>
      <c r="S140" s="147">
        <f t="shared" si="15"/>
        <v>0</v>
      </c>
      <c r="T140" s="147">
        <f t="shared" si="15"/>
        <v>0</v>
      </c>
      <c r="U140" s="147">
        <f t="shared" si="15"/>
        <v>0</v>
      </c>
      <c r="V140" s="147">
        <f t="shared" si="15"/>
        <v>0</v>
      </c>
      <c r="W140" s="147">
        <f t="shared" si="15"/>
        <v>0</v>
      </c>
      <c r="X140" s="147">
        <f t="shared" si="15"/>
        <v>0</v>
      </c>
      <c r="Y140" s="147">
        <f t="shared" si="15"/>
        <v>1.26516400348504</v>
      </c>
      <c r="Z140" s="147">
        <f t="shared" si="15"/>
        <v>1.26516400348504</v>
      </c>
      <c r="AA140" s="147">
        <f t="shared" si="15"/>
        <v>1.26516400348504</v>
      </c>
      <c r="AB140" s="147">
        <f t="shared" si="15"/>
        <v>1.26516400348504</v>
      </c>
      <c r="AC140" s="147">
        <f t="shared" si="15"/>
        <v>1.26516400348504</v>
      </c>
      <c r="AD140" s="147">
        <f t="shared" si="15"/>
        <v>1.26516400348504</v>
      </c>
      <c r="AE140" s="147">
        <f t="shared" si="15"/>
        <v>1.26516400348504</v>
      </c>
      <c r="AF140" s="147">
        <f t="shared" si="15"/>
        <v>1.26516400348504</v>
      </c>
      <c r="AG140" s="147">
        <f t="shared" si="15"/>
        <v>1.26516400348504</v>
      </c>
      <c r="AH140" s="147">
        <f t="shared" si="15"/>
        <v>1.26516400348504</v>
      </c>
      <c r="AI140" s="147">
        <f t="shared" si="15"/>
        <v>1.26516400348504</v>
      </c>
      <c r="AJ140" s="147">
        <f t="shared" si="15"/>
        <v>1.26516400348504</v>
      </c>
      <c r="AK140" s="147">
        <f t="shared" si="15"/>
        <v>1.26516400348504</v>
      </c>
      <c r="AL140" s="147">
        <f t="shared" si="15"/>
        <v>1.26516400348504</v>
      </c>
      <c r="AM140" s="147">
        <f t="shared" si="15"/>
        <v>1.26516400348504</v>
      </c>
      <c r="AN140" s="147">
        <f t="shared" si="15"/>
        <v>0</v>
      </c>
      <c r="AO140" s="147">
        <f t="shared" si="15"/>
        <v>0</v>
      </c>
      <c r="AP140" s="147">
        <f t="shared" si="15"/>
        <v>0</v>
      </c>
      <c r="AQ140" s="147">
        <f t="shared" si="15"/>
        <v>0</v>
      </c>
      <c r="AR140" s="147">
        <f t="shared" ref="AR140:AR147" si="17">$I140 * AR$129</f>
        <v>0</v>
      </c>
    </row>
    <row r="141" spans="4:48" ht="15" customHeight="1">
      <c r="E141" s="184">
        <v>34059</v>
      </c>
      <c r="G141" s="158" t="s">
        <v>844</v>
      </c>
      <c r="H141" s="147"/>
      <c r="I141" s="147">
        <f t="shared" si="16"/>
        <v>17.396005047919299</v>
      </c>
      <c r="J141" s="31" t="s">
        <v>56</v>
      </c>
      <c r="K141" s="147"/>
      <c r="L141" s="147"/>
      <c r="M141" s="147"/>
      <c r="N141" s="303">
        <f t="shared" si="15"/>
        <v>0</v>
      </c>
      <c r="O141" s="147">
        <f t="shared" si="15"/>
        <v>0</v>
      </c>
      <c r="P141" s="147">
        <f t="shared" si="15"/>
        <v>0</v>
      </c>
      <c r="Q141" s="147">
        <f t="shared" si="15"/>
        <v>0</v>
      </c>
      <c r="R141" s="147">
        <f t="shared" si="15"/>
        <v>0</v>
      </c>
      <c r="S141" s="147">
        <f t="shared" si="15"/>
        <v>0</v>
      </c>
      <c r="T141" s="147">
        <f t="shared" si="15"/>
        <v>0</v>
      </c>
      <c r="U141" s="147">
        <f t="shared" si="15"/>
        <v>0</v>
      </c>
      <c r="V141" s="147">
        <f t="shared" si="15"/>
        <v>0</v>
      </c>
      <c r="W141" s="147">
        <f t="shared" si="15"/>
        <v>0</v>
      </c>
      <c r="X141" s="147">
        <f t="shared" si="15"/>
        <v>0</v>
      </c>
      <c r="Y141" s="147">
        <f t="shared" si="15"/>
        <v>1.1597336698612866</v>
      </c>
      <c r="Z141" s="147">
        <f t="shared" si="15"/>
        <v>1.1597336698612866</v>
      </c>
      <c r="AA141" s="147">
        <f t="shared" si="15"/>
        <v>1.1597336698612866</v>
      </c>
      <c r="AB141" s="147">
        <f t="shared" si="15"/>
        <v>1.1597336698612866</v>
      </c>
      <c r="AC141" s="147">
        <f t="shared" si="15"/>
        <v>1.1597336698612866</v>
      </c>
      <c r="AD141" s="147">
        <f t="shared" si="15"/>
        <v>1.1597336698612866</v>
      </c>
      <c r="AE141" s="147">
        <f t="shared" si="15"/>
        <v>1.1597336698612866</v>
      </c>
      <c r="AF141" s="147">
        <f t="shared" si="15"/>
        <v>1.1597336698612866</v>
      </c>
      <c r="AG141" s="147">
        <f t="shared" si="15"/>
        <v>1.1597336698612866</v>
      </c>
      <c r="AH141" s="147">
        <f t="shared" si="15"/>
        <v>1.1597336698612866</v>
      </c>
      <c r="AI141" s="147">
        <f t="shared" si="15"/>
        <v>1.1597336698612866</v>
      </c>
      <c r="AJ141" s="147">
        <f t="shared" si="15"/>
        <v>1.1597336698612866</v>
      </c>
      <c r="AK141" s="147">
        <f t="shared" si="15"/>
        <v>1.1597336698612866</v>
      </c>
      <c r="AL141" s="147">
        <f t="shared" si="15"/>
        <v>1.1597336698612866</v>
      </c>
      <c r="AM141" s="147">
        <f t="shared" si="15"/>
        <v>1.1597336698612866</v>
      </c>
      <c r="AN141" s="147">
        <f t="shared" si="15"/>
        <v>0</v>
      </c>
      <c r="AO141" s="147">
        <f t="shared" si="15"/>
        <v>0</v>
      </c>
      <c r="AP141" s="147">
        <f t="shared" si="15"/>
        <v>0</v>
      </c>
      <c r="AQ141" s="147">
        <f t="shared" si="15"/>
        <v>0</v>
      </c>
      <c r="AR141" s="147">
        <f t="shared" si="17"/>
        <v>0</v>
      </c>
      <c r="AS141" s="147"/>
    </row>
    <row r="142" spans="4:48" ht="15" customHeight="1">
      <c r="E142" s="184">
        <v>34424</v>
      </c>
      <c r="G142" s="158" t="s">
        <v>844</v>
      </c>
      <c r="H142" s="147"/>
      <c r="I142" s="147">
        <f t="shared" si="16"/>
        <v>17.660606468881642</v>
      </c>
      <c r="J142" s="31" t="s">
        <v>56</v>
      </c>
      <c r="K142" s="147"/>
      <c r="L142" s="147"/>
      <c r="M142" s="147"/>
      <c r="N142" s="147"/>
      <c r="O142" s="303">
        <f t="shared" si="15"/>
        <v>0</v>
      </c>
      <c r="P142" s="147">
        <f t="shared" si="15"/>
        <v>0</v>
      </c>
      <c r="Q142" s="147">
        <f t="shared" si="15"/>
        <v>0</v>
      </c>
      <c r="R142" s="147">
        <f t="shared" si="15"/>
        <v>0</v>
      </c>
      <c r="S142" s="147">
        <f t="shared" si="15"/>
        <v>0</v>
      </c>
      <c r="T142" s="147">
        <f t="shared" si="15"/>
        <v>0</v>
      </c>
      <c r="U142" s="147">
        <f t="shared" si="15"/>
        <v>0</v>
      </c>
      <c r="V142" s="147">
        <f t="shared" si="15"/>
        <v>0</v>
      </c>
      <c r="W142" s="147">
        <f t="shared" si="15"/>
        <v>0</v>
      </c>
      <c r="X142" s="147">
        <f t="shared" si="15"/>
        <v>0</v>
      </c>
      <c r="Y142" s="147">
        <f t="shared" si="15"/>
        <v>1.1773737645921094</v>
      </c>
      <c r="Z142" s="147">
        <f t="shared" si="15"/>
        <v>1.1773737645921094</v>
      </c>
      <c r="AA142" s="147">
        <f t="shared" si="15"/>
        <v>1.1773737645921094</v>
      </c>
      <c r="AB142" s="147">
        <f t="shared" si="15"/>
        <v>1.1773737645921094</v>
      </c>
      <c r="AC142" s="147">
        <f t="shared" si="15"/>
        <v>1.1773737645921094</v>
      </c>
      <c r="AD142" s="147">
        <f t="shared" si="15"/>
        <v>1.1773737645921094</v>
      </c>
      <c r="AE142" s="147">
        <f t="shared" si="15"/>
        <v>1.1773737645921094</v>
      </c>
      <c r="AF142" s="147">
        <f t="shared" si="15"/>
        <v>1.1773737645921094</v>
      </c>
      <c r="AG142" s="147">
        <f t="shared" si="15"/>
        <v>1.1773737645921094</v>
      </c>
      <c r="AH142" s="147">
        <f t="shared" si="15"/>
        <v>1.1773737645921094</v>
      </c>
      <c r="AI142" s="147">
        <f t="shared" si="15"/>
        <v>1.1773737645921094</v>
      </c>
      <c r="AJ142" s="147">
        <f t="shared" si="15"/>
        <v>1.1773737645921094</v>
      </c>
      <c r="AK142" s="147">
        <f t="shared" si="15"/>
        <v>1.1773737645921094</v>
      </c>
      <c r="AL142" s="147">
        <f t="shared" si="15"/>
        <v>1.1773737645921094</v>
      </c>
      <c r="AM142" s="147">
        <f t="shared" si="15"/>
        <v>1.1773737645921094</v>
      </c>
      <c r="AN142" s="147">
        <f t="shared" si="15"/>
        <v>0</v>
      </c>
      <c r="AO142" s="147">
        <f t="shared" si="15"/>
        <v>0</v>
      </c>
      <c r="AP142" s="147">
        <f t="shared" si="15"/>
        <v>0</v>
      </c>
      <c r="AQ142" s="147">
        <f t="shared" si="15"/>
        <v>0</v>
      </c>
      <c r="AR142" s="147">
        <f t="shared" si="17"/>
        <v>0</v>
      </c>
      <c r="AS142" s="147"/>
      <c r="AT142" s="147"/>
    </row>
    <row r="143" spans="4:48" ht="15" customHeight="1">
      <c r="E143" s="184">
        <v>34789</v>
      </c>
      <c r="G143" s="158" t="s">
        <v>844</v>
      </c>
      <c r="H143" s="147"/>
      <c r="I143" s="147">
        <f t="shared" si="16"/>
        <v>11.519392093988298</v>
      </c>
      <c r="J143" s="31" t="s">
        <v>56</v>
      </c>
      <c r="K143" s="147"/>
      <c r="L143" s="147"/>
      <c r="M143" s="147"/>
      <c r="N143" s="147"/>
      <c r="O143" s="147"/>
      <c r="P143" s="303">
        <f t="shared" si="15"/>
        <v>0</v>
      </c>
      <c r="Q143" s="147">
        <f t="shared" si="15"/>
        <v>0</v>
      </c>
      <c r="R143" s="147">
        <f t="shared" si="15"/>
        <v>0</v>
      </c>
      <c r="S143" s="147">
        <f t="shared" si="15"/>
        <v>0</v>
      </c>
      <c r="T143" s="147">
        <f t="shared" si="15"/>
        <v>0</v>
      </c>
      <c r="U143" s="147">
        <f t="shared" si="15"/>
        <v>0</v>
      </c>
      <c r="V143" s="147">
        <f t="shared" si="15"/>
        <v>0</v>
      </c>
      <c r="W143" s="147">
        <f t="shared" si="15"/>
        <v>0</v>
      </c>
      <c r="X143" s="147">
        <f t="shared" si="15"/>
        <v>0</v>
      </c>
      <c r="Y143" s="147">
        <f t="shared" si="15"/>
        <v>0.76795947293255318</v>
      </c>
      <c r="Z143" s="147">
        <f t="shared" si="15"/>
        <v>0.76795947293255318</v>
      </c>
      <c r="AA143" s="147">
        <f t="shared" si="15"/>
        <v>0.76795947293255318</v>
      </c>
      <c r="AB143" s="147">
        <f t="shared" si="15"/>
        <v>0.76795947293255318</v>
      </c>
      <c r="AC143" s="147">
        <f t="shared" si="15"/>
        <v>0.76795947293255318</v>
      </c>
      <c r="AD143" s="147">
        <f t="shared" si="15"/>
        <v>0.76795947293255318</v>
      </c>
      <c r="AE143" s="147">
        <f t="shared" si="15"/>
        <v>0.76795947293255318</v>
      </c>
      <c r="AF143" s="147">
        <f t="shared" si="15"/>
        <v>0.76795947293255318</v>
      </c>
      <c r="AG143" s="147">
        <f t="shared" si="15"/>
        <v>0.76795947293255318</v>
      </c>
      <c r="AH143" s="147">
        <f t="shared" si="15"/>
        <v>0.76795947293255318</v>
      </c>
      <c r="AI143" s="147">
        <f t="shared" si="15"/>
        <v>0.76795947293255318</v>
      </c>
      <c r="AJ143" s="147">
        <f t="shared" si="15"/>
        <v>0.76795947293255318</v>
      </c>
      <c r="AK143" s="147">
        <f t="shared" si="15"/>
        <v>0.76795947293255318</v>
      </c>
      <c r="AL143" s="147">
        <f t="shared" si="15"/>
        <v>0.76795947293255318</v>
      </c>
      <c r="AM143" s="147">
        <f t="shared" si="15"/>
        <v>0.76795947293255318</v>
      </c>
      <c r="AN143" s="147">
        <f t="shared" si="15"/>
        <v>0</v>
      </c>
      <c r="AO143" s="147">
        <f t="shared" si="15"/>
        <v>0</v>
      </c>
      <c r="AP143" s="147">
        <f t="shared" si="15"/>
        <v>0</v>
      </c>
      <c r="AQ143" s="147">
        <f t="shared" si="15"/>
        <v>0</v>
      </c>
      <c r="AR143" s="147">
        <f t="shared" si="17"/>
        <v>0</v>
      </c>
      <c r="AS143" s="147"/>
      <c r="AT143" s="147"/>
      <c r="AU143" s="147"/>
    </row>
    <row r="144" spans="4:48" ht="15" customHeight="1">
      <c r="E144" s="184">
        <v>35155</v>
      </c>
      <c r="G144" s="158" t="s">
        <v>844</v>
      </c>
      <c r="H144" s="147"/>
      <c r="I144" s="147">
        <f t="shared" si="16"/>
        <v>7.8518933290219408</v>
      </c>
      <c r="J144" s="31" t="s">
        <v>56</v>
      </c>
      <c r="K144" s="147"/>
      <c r="L144" s="147"/>
      <c r="M144" s="147"/>
      <c r="N144" s="147"/>
      <c r="O144" s="147"/>
      <c r="P144" s="147"/>
      <c r="Q144" s="303">
        <f t="shared" si="15"/>
        <v>0</v>
      </c>
      <c r="R144" s="147">
        <f t="shared" si="15"/>
        <v>0</v>
      </c>
      <c r="S144" s="147">
        <f t="shared" si="15"/>
        <v>0</v>
      </c>
      <c r="T144" s="147">
        <f t="shared" si="15"/>
        <v>0</v>
      </c>
      <c r="U144" s="147">
        <f t="shared" si="15"/>
        <v>0</v>
      </c>
      <c r="V144" s="147">
        <f t="shared" si="15"/>
        <v>0</v>
      </c>
      <c r="W144" s="147">
        <f t="shared" si="15"/>
        <v>0</v>
      </c>
      <c r="X144" s="147">
        <f t="shared" si="15"/>
        <v>0</v>
      </c>
      <c r="Y144" s="147">
        <f t="shared" si="15"/>
        <v>0.52345955526812937</v>
      </c>
      <c r="Z144" s="147">
        <f t="shared" si="15"/>
        <v>0.52345955526812937</v>
      </c>
      <c r="AA144" s="147">
        <f t="shared" si="15"/>
        <v>0.52345955526812937</v>
      </c>
      <c r="AB144" s="147">
        <f t="shared" si="15"/>
        <v>0.52345955526812937</v>
      </c>
      <c r="AC144" s="147">
        <f t="shared" si="15"/>
        <v>0.52345955526812937</v>
      </c>
      <c r="AD144" s="147">
        <f t="shared" si="15"/>
        <v>0.52345955526812937</v>
      </c>
      <c r="AE144" s="147">
        <f t="shared" si="15"/>
        <v>0.52345955526812937</v>
      </c>
      <c r="AF144" s="147">
        <f t="shared" si="15"/>
        <v>0.52345955526812937</v>
      </c>
      <c r="AG144" s="147">
        <f t="shared" si="15"/>
        <v>0.52345955526812937</v>
      </c>
      <c r="AH144" s="147">
        <f t="shared" si="15"/>
        <v>0.52345955526812937</v>
      </c>
      <c r="AI144" s="147">
        <f t="shared" si="15"/>
        <v>0.52345955526812937</v>
      </c>
      <c r="AJ144" s="147">
        <f t="shared" si="15"/>
        <v>0.52345955526812937</v>
      </c>
      <c r="AK144" s="147">
        <f t="shared" si="15"/>
        <v>0.52345955526812937</v>
      </c>
      <c r="AL144" s="147">
        <f t="shared" si="15"/>
        <v>0.52345955526812937</v>
      </c>
      <c r="AM144" s="147">
        <f t="shared" si="15"/>
        <v>0.52345955526812937</v>
      </c>
      <c r="AN144" s="147">
        <f t="shared" si="15"/>
        <v>0</v>
      </c>
      <c r="AO144" s="147">
        <f t="shared" si="15"/>
        <v>0</v>
      </c>
      <c r="AP144" s="147">
        <f t="shared" si="15"/>
        <v>0</v>
      </c>
      <c r="AQ144" s="147">
        <f t="shared" si="15"/>
        <v>0</v>
      </c>
      <c r="AR144" s="147">
        <f t="shared" si="17"/>
        <v>0</v>
      </c>
      <c r="AS144" s="147"/>
      <c r="AT144" s="147"/>
      <c r="AU144" s="147"/>
      <c r="AV144" s="147"/>
    </row>
    <row r="145" spans="5:64" ht="15" customHeight="1">
      <c r="E145" s="184">
        <v>35520</v>
      </c>
      <c r="G145" s="158" t="s">
        <v>844</v>
      </c>
      <c r="H145" s="147"/>
      <c r="I145" s="147">
        <f t="shared" si="16"/>
        <v>8.7872285845167202</v>
      </c>
      <c r="J145" s="31" t="s">
        <v>56</v>
      </c>
      <c r="K145" s="147"/>
      <c r="L145" s="147"/>
      <c r="M145" s="147"/>
      <c r="N145" s="147"/>
      <c r="O145" s="147"/>
      <c r="P145" s="147"/>
      <c r="Q145" s="147"/>
      <c r="R145" s="303">
        <f t="shared" si="15"/>
        <v>0</v>
      </c>
      <c r="S145" s="147">
        <f t="shared" si="15"/>
        <v>0</v>
      </c>
      <c r="T145" s="147">
        <f t="shared" si="15"/>
        <v>0</v>
      </c>
      <c r="U145" s="147">
        <f t="shared" si="15"/>
        <v>0</v>
      </c>
      <c r="V145" s="147">
        <f t="shared" si="15"/>
        <v>0</v>
      </c>
      <c r="W145" s="147">
        <f t="shared" si="15"/>
        <v>0</v>
      </c>
      <c r="X145" s="147">
        <f t="shared" si="15"/>
        <v>0</v>
      </c>
      <c r="Y145" s="147">
        <f t="shared" si="15"/>
        <v>0.58581523896778132</v>
      </c>
      <c r="Z145" s="147">
        <f t="shared" si="15"/>
        <v>0.58581523896778132</v>
      </c>
      <c r="AA145" s="147">
        <f t="shared" si="15"/>
        <v>0.58581523896778132</v>
      </c>
      <c r="AB145" s="147">
        <f t="shared" si="15"/>
        <v>0.58581523896778132</v>
      </c>
      <c r="AC145" s="147">
        <f t="shared" si="15"/>
        <v>0.58581523896778132</v>
      </c>
      <c r="AD145" s="147">
        <f t="shared" si="15"/>
        <v>0.58581523896778132</v>
      </c>
      <c r="AE145" s="147">
        <f t="shared" si="15"/>
        <v>0.58581523896778132</v>
      </c>
      <c r="AF145" s="147">
        <f t="shared" si="15"/>
        <v>0.58581523896778132</v>
      </c>
      <c r="AG145" s="147">
        <f t="shared" si="15"/>
        <v>0.58581523896778132</v>
      </c>
      <c r="AH145" s="147">
        <f t="shared" si="15"/>
        <v>0.58581523896778132</v>
      </c>
      <c r="AI145" s="147">
        <f t="shared" si="15"/>
        <v>0.58581523896778132</v>
      </c>
      <c r="AJ145" s="147">
        <f t="shared" si="15"/>
        <v>0.58581523896778132</v>
      </c>
      <c r="AK145" s="147">
        <f t="shared" si="15"/>
        <v>0.58581523896778132</v>
      </c>
      <c r="AL145" s="147">
        <f t="shared" si="15"/>
        <v>0.58581523896778132</v>
      </c>
      <c r="AM145" s="147">
        <f t="shared" si="15"/>
        <v>0.58581523896778132</v>
      </c>
      <c r="AN145" s="147">
        <f t="shared" si="15"/>
        <v>0</v>
      </c>
      <c r="AO145" s="147">
        <f t="shared" si="15"/>
        <v>0</v>
      </c>
      <c r="AP145" s="147">
        <f t="shared" si="15"/>
        <v>0</v>
      </c>
      <c r="AQ145" s="147">
        <f t="shared" si="15"/>
        <v>0</v>
      </c>
      <c r="AR145" s="147">
        <f t="shared" si="17"/>
        <v>0</v>
      </c>
      <c r="AS145" s="147"/>
      <c r="AT145" s="147"/>
      <c r="AU145" s="147"/>
      <c r="AV145" s="147"/>
      <c r="AW145" s="147"/>
    </row>
    <row r="146" spans="5:64" ht="15" customHeight="1">
      <c r="E146" s="184">
        <v>35885</v>
      </c>
      <c r="G146" s="158" t="s">
        <v>844</v>
      </c>
      <c r="H146" s="147"/>
      <c r="I146" s="147">
        <f t="shared" si="16"/>
        <v>5.3166425049176791</v>
      </c>
      <c r="J146" s="31" t="s">
        <v>56</v>
      </c>
      <c r="K146" s="147"/>
      <c r="L146" s="147"/>
      <c r="M146" s="147"/>
      <c r="N146" s="147"/>
      <c r="O146" s="147"/>
      <c r="P146" s="147"/>
      <c r="Q146" s="147"/>
      <c r="R146" s="147"/>
      <c r="S146" s="303">
        <f t="shared" si="15"/>
        <v>0</v>
      </c>
      <c r="T146" s="147">
        <f t="shared" si="15"/>
        <v>0</v>
      </c>
      <c r="U146" s="147">
        <f t="shared" si="15"/>
        <v>0</v>
      </c>
      <c r="V146" s="147">
        <f t="shared" si="15"/>
        <v>0</v>
      </c>
      <c r="W146" s="147">
        <f t="shared" si="15"/>
        <v>0</v>
      </c>
      <c r="X146" s="147">
        <f t="shared" si="15"/>
        <v>0</v>
      </c>
      <c r="Y146" s="147">
        <f t="shared" si="15"/>
        <v>0.35444283366117862</v>
      </c>
      <c r="Z146" s="147">
        <f t="shared" si="15"/>
        <v>0.35444283366117862</v>
      </c>
      <c r="AA146" s="147">
        <f t="shared" si="15"/>
        <v>0.35444283366117862</v>
      </c>
      <c r="AB146" s="147">
        <f t="shared" si="15"/>
        <v>0.35444283366117862</v>
      </c>
      <c r="AC146" s="147">
        <f t="shared" si="15"/>
        <v>0.35444283366117862</v>
      </c>
      <c r="AD146" s="147">
        <f t="shared" si="15"/>
        <v>0.35444283366117862</v>
      </c>
      <c r="AE146" s="147">
        <f t="shared" si="15"/>
        <v>0.35444283366117862</v>
      </c>
      <c r="AF146" s="147">
        <f t="shared" si="15"/>
        <v>0.35444283366117862</v>
      </c>
      <c r="AG146" s="147">
        <f t="shared" si="15"/>
        <v>0.35444283366117862</v>
      </c>
      <c r="AH146" s="147">
        <f t="shared" si="15"/>
        <v>0.35444283366117862</v>
      </c>
      <c r="AI146" s="147">
        <f t="shared" si="15"/>
        <v>0.35444283366117862</v>
      </c>
      <c r="AJ146" s="147">
        <f t="shared" si="15"/>
        <v>0.35444283366117862</v>
      </c>
      <c r="AK146" s="147">
        <f t="shared" si="15"/>
        <v>0.35444283366117862</v>
      </c>
      <c r="AL146" s="147">
        <f t="shared" si="15"/>
        <v>0.35444283366117862</v>
      </c>
      <c r="AM146" s="147">
        <f t="shared" si="15"/>
        <v>0.35444283366117862</v>
      </c>
      <c r="AN146" s="147">
        <f t="shared" si="15"/>
        <v>0</v>
      </c>
      <c r="AO146" s="147">
        <f t="shared" si="15"/>
        <v>0</v>
      </c>
      <c r="AP146" s="147">
        <f t="shared" si="15"/>
        <v>0</v>
      </c>
      <c r="AQ146" s="147">
        <f t="shared" si="15"/>
        <v>0</v>
      </c>
      <c r="AR146" s="147">
        <f t="shared" si="17"/>
        <v>0</v>
      </c>
      <c r="AS146" s="147"/>
      <c r="AT146" s="147"/>
      <c r="AU146" s="147"/>
      <c r="AV146" s="147"/>
      <c r="AW146" s="147"/>
      <c r="AX146" s="147"/>
    </row>
    <row r="147" spans="5:64" ht="15" customHeight="1">
      <c r="E147" s="184">
        <v>36250</v>
      </c>
      <c r="G147" s="158" t="s">
        <v>844</v>
      </c>
      <c r="H147" s="147"/>
      <c r="I147" s="147">
        <f t="shared" si="16"/>
        <v>6.3554045801946675</v>
      </c>
      <c r="J147" s="31" t="s">
        <v>56</v>
      </c>
      <c r="K147" s="147"/>
      <c r="L147" s="147"/>
      <c r="M147" s="147"/>
      <c r="N147" s="147"/>
      <c r="O147" s="147"/>
      <c r="P147" s="147"/>
      <c r="Q147" s="147"/>
      <c r="R147" s="147"/>
      <c r="S147" s="147"/>
      <c r="T147" s="303">
        <f t="shared" si="15"/>
        <v>0</v>
      </c>
      <c r="U147" s="147">
        <f t="shared" si="15"/>
        <v>0</v>
      </c>
      <c r="V147" s="147">
        <f t="shared" si="15"/>
        <v>0</v>
      </c>
      <c r="W147" s="147">
        <f t="shared" si="15"/>
        <v>0</v>
      </c>
      <c r="X147" s="147">
        <f t="shared" si="15"/>
        <v>0</v>
      </c>
      <c r="Y147" s="147">
        <f t="shared" si="15"/>
        <v>0.42369363867964449</v>
      </c>
      <c r="Z147" s="147">
        <f t="shared" si="15"/>
        <v>0.42369363867964449</v>
      </c>
      <c r="AA147" s="147">
        <f t="shared" si="15"/>
        <v>0.42369363867964449</v>
      </c>
      <c r="AB147" s="147">
        <f t="shared" si="15"/>
        <v>0.42369363867964449</v>
      </c>
      <c r="AC147" s="147">
        <f t="shared" si="15"/>
        <v>0.42369363867964449</v>
      </c>
      <c r="AD147" s="147">
        <f t="shared" si="15"/>
        <v>0.42369363867964449</v>
      </c>
      <c r="AE147" s="147">
        <f t="shared" si="15"/>
        <v>0.42369363867964449</v>
      </c>
      <c r="AF147" s="147">
        <f t="shared" si="15"/>
        <v>0.42369363867964449</v>
      </c>
      <c r="AG147" s="147">
        <f t="shared" si="15"/>
        <v>0.42369363867964449</v>
      </c>
      <c r="AH147" s="147">
        <f t="shared" si="15"/>
        <v>0.42369363867964449</v>
      </c>
      <c r="AI147" s="147">
        <f t="shared" si="15"/>
        <v>0.42369363867964449</v>
      </c>
      <c r="AJ147" s="147">
        <f t="shared" si="15"/>
        <v>0.42369363867964449</v>
      </c>
      <c r="AK147" s="147">
        <f t="shared" si="15"/>
        <v>0.42369363867964449</v>
      </c>
      <c r="AL147" s="147">
        <f t="shared" si="15"/>
        <v>0.42369363867964449</v>
      </c>
      <c r="AM147" s="147">
        <f t="shared" si="15"/>
        <v>0.42369363867964449</v>
      </c>
      <c r="AN147" s="147">
        <f t="shared" si="15"/>
        <v>0</v>
      </c>
      <c r="AO147" s="147">
        <f t="shared" si="15"/>
        <v>0</v>
      </c>
      <c r="AP147" s="147">
        <f t="shared" si="15"/>
        <v>0</v>
      </c>
      <c r="AQ147" s="147">
        <f t="shared" si="15"/>
        <v>0</v>
      </c>
      <c r="AR147" s="147">
        <f t="shared" si="17"/>
        <v>0</v>
      </c>
      <c r="AS147" s="147"/>
      <c r="AT147" s="147"/>
      <c r="AU147" s="147"/>
      <c r="AV147" s="147"/>
      <c r="AW147" s="147"/>
      <c r="AX147" s="147"/>
      <c r="AY147" s="147"/>
    </row>
    <row r="148" spans="5:64" ht="15" customHeight="1">
      <c r="E148" s="184">
        <v>36616</v>
      </c>
      <c r="G148" s="158" t="s">
        <v>844</v>
      </c>
      <c r="H148" s="147"/>
      <c r="I148" s="147">
        <f t="shared" si="16"/>
        <v>4.78187923721738</v>
      </c>
      <c r="J148" s="31" t="s">
        <v>56</v>
      </c>
      <c r="K148" s="147"/>
      <c r="L148" s="147"/>
      <c r="M148" s="147"/>
      <c r="N148" s="147"/>
      <c r="O148" s="147"/>
      <c r="P148" s="147"/>
      <c r="Q148" s="147"/>
      <c r="R148" s="147"/>
      <c r="S148" s="147"/>
      <c r="T148" s="147"/>
      <c r="U148" s="303">
        <f t="shared" si="15"/>
        <v>0</v>
      </c>
      <c r="V148" s="147">
        <f t="shared" si="15"/>
        <v>0</v>
      </c>
      <c r="W148" s="147">
        <f t="shared" si="15"/>
        <v>0</v>
      </c>
      <c r="X148" s="147">
        <f t="shared" ref="X148:AR148" si="18">$I148 * X$129</f>
        <v>0</v>
      </c>
      <c r="Y148" s="147">
        <f t="shared" si="18"/>
        <v>0.31879194914782533</v>
      </c>
      <c r="Z148" s="147">
        <f t="shared" si="18"/>
        <v>0.31879194914782533</v>
      </c>
      <c r="AA148" s="147">
        <f t="shared" si="18"/>
        <v>0.31879194914782533</v>
      </c>
      <c r="AB148" s="147">
        <f t="shared" si="18"/>
        <v>0.31879194914782533</v>
      </c>
      <c r="AC148" s="147">
        <f t="shared" si="18"/>
        <v>0.31879194914782533</v>
      </c>
      <c r="AD148" s="147">
        <f t="shared" si="18"/>
        <v>0.31879194914782533</v>
      </c>
      <c r="AE148" s="147">
        <f t="shared" si="18"/>
        <v>0.31879194914782533</v>
      </c>
      <c r="AF148" s="147">
        <f t="shared" si="18"/>
        <v>0.31879194914782533</v>
      </c>
      <c r="AG148" s="147">
        <f t="shared" si="18"/>
        <v>0.31879194914782533</v>
      </c>
      <c r="AH148" s="147">
        <f t="shared" si="18"/>
        <v>0.31879194914782533</v>
      </c>
      <c r="AI148" s="147">
        <f t="shared" si="18"/>
        <v>0.31879194914782533</v>
      </c>
      <c r="AJ148" s="147">
        <f t="shared" si="18"/>
        <v>0.31879194914782533</v>
      </c>
      <c r="AK148" s="147">
        <f t="shared" si="18"/>
        <v>0.31879194914782533</v>
      </c>
      <c r="AL148" s="147">
        <f t="shared" si="18"/>
        <v>0.31879194914782533</v>
      </c>
      <c r="AM148" s="147">
        <f t="shared" si="18"/>
        <v>0.31879194914782533</v>
      </c>
      <c r="AN148" s="147">
        <f t="shared" si="18"/>
        <v>0</v>
      </c>
      <c r="AO148" s="147">
        <f t="shared" si="18"/>
        <v>0</v>
      </c>
      <c r="AP148" s="147">
        <f t="shared" si="18"/>
        <v>0</v>
      </c>
      <c r="AQ148" s="147">
        <f t="shared" si="18"/>
        <v>0</v>
      </c>
      <c r="AR148" s="147">
        <f t="shared" si="18"/>
        <v>0</v>
      </c>
      <c r="AS148" s="147"/>
      <c r="AT148" s="147"/>
      <c r="AU148" s="147"/>
      <c r="AV148" s="147"/>
      <c r="AW148" s="147"/>
      <c r="AX148" s="147"/>
      <c r="AY148" s="147"/>
      <c r="AZ148" s="147"/>
    </row>
    <row r="149" spans="5:64" ht="15" customHeight="1">
      <c r="E149" s="184">
        <v>36981</v>
      </c>
      <c r="G149" s="158" t="s">
        <v>844</v>
      </c>
      <c r="H149" s="147"/>
      <c r="I149" s="147">
        <f t="shared" si="16"/>
        <v>4.5177539091771974</v>
      </c>
      <c r="J149" s="31" t="s">
        <v>56</v>
      </c>
      <c r="K149" s="147"/>
      <c r="L149" s="147"/>
      <c r="M149" s="147"/>
      <c r="N149" s="147"/>
      <c r="O149" s="147"/>
      <c r="P149" s="147"/>
      <c r="Q149" s="147"/>
      <c r="R149" s="147"/>
      <c r="S149" s="147"/>
      <c r="T149" s="147"/>
      <c r="U149" s="147"/>
      <c r="V149" s="303">
        <f t="shared" ref="V149:AR158" si="19">$I149 * V$129</f>
        <v>0</v>
      </c>
      <c r="W149" s="147">
        <f t="shared" si="19"/>
        <v>0</v>
      </c>
      <c r="X149" s="147">
        <f t="shared" si="19"/>
        <v>0</v>
      </c>
      <c r="Y149" s="147">
        <f t="shared" si="19"/>
        <v>0.30118359394514649</v>
      </c>
      <c r="Z149" s="147">
        <f t="shared" si="19"/>
        <v>0.30118359394514649</v>
      </c>
      <c r="AA149" s="147">
        <f t="shared" si="19"/>
        <v>0.30118359394514649</v>
      </c>
      <c r="AB149" s="147">
        <f t="shared" si="19"/>
        <v>0.30118359394514649</v>
      </c>
      <c r="AC149" s="147">
        <f t="shared" si="19"/>
        <v>0.30118359394514649</v>
      </c>
      <c r="AD149" s="147">
        <f t="shared" si="19"/>
        <v>0.30118359394514649</v>
      </c>
      <c r="AE149" s="147">
        <f t="shared" si="19"/>
        <v>0.30118359394514649</v>
      </c>
      <c r="AF149" s="147">
        <f t="shared" si="19"/>
        <v>0.30118359394514649</v>
      </c>
      <c r="AG149" s="147">
        <f t="shared" si="19"/>
        <v>0.30118359394514649</v>
      </c>
      <c r="AH149" s="147">
        <f t="shared" si="19"/>
        <v>0.30118359394514649</v>
      </c>
      <c r="AI149" s="147">
        <f t="shared" si="19"/>
        <v>0.30118359394514649</v>
      </c>
      <c r="AJ149" s="147">
        <f t="shared" si="19"/>
        <v>0.30118359394514649</v>
      </c>
      <c r="AK149" s="147">
        <f t="shared" si="19"/>
        <v>0.30118359394514649</v>
      </c>
      <c r="AL149" s="147">
        <f t="shared" si="19"/>
        <v>0.30118359394514649</v>
      </c>
      <c r="AM149" s="147">
        <f t="shared" si="19"/>
        <v>0.30118359394514649</v>
      </c>
      <c r="AN149" s="147">
        <f t="shared" si="19"/>
        <v>0</v>
      </c>
      <c r="AO149" s="147">
        <f t="shared" si="19"/>
        <v>0</v>
      </c>
      <c r="AP149" s="147">
        <f t="shared" si="19"/>
        <v>0</v>
      </c>
      <c r="AQ149" s="147">
        <f t="shared" si="19"/>
        <v>0</v>
      </c>
      <c r="AR149" s="147">
        <f t="shared" si="19"/>
        <v>0</v>
      </c>
      <c r="AS149" s="147"/>
      <c r="AT149" s="147"/>
      <c r="AU149" s="147"/>
      <c r="AV149" s="147"/>
      <c r="AW149" s="147"/>
      <c r="AX149" s="147"/>
      <c r="AY149" s="147"/>
      <c r="AZ149" s="147"/>
      <c r="BA149" s="147"/>
    </row>
    <row r="150" spans="5:64" ht="15" customHeight="1">
      <c r="E150" s="184">
        <v>37346</v>
      </c>
      <c r="G150" s="158" t="s">
        <v>844</v>
      </c>
      <c r="H150" s="147"/>
      <c r="I150" s="147">
        <f t="shared" si="16"/>
        <v>4.1452624357205314</v>
      </c>
      <c r="J150" s="31" t="s">
        <v>56</v>
      </c>
      <c r="K150" s="147"/>
      <c r="L150" s="147"/>
      <c r="M150" s="147"/>
      <c r="N150" s="147"/>
      <c r="O150" s="147"/>
      <c r="P150" s="147"/>
      <c r="Q150" s="147"/>
      <c r="R150" s="147"/>
      <c r="S150" s="147"/>
      <c r="T150" s="147"/>
      <c r="U150" s="147"/>
      <c r="V150" s="147"/>
      <c r="W150" s="303">
        <f t="shared" si="19"/>
        <v>0</v>
      </c>
      <c r="X150" s="147">
        <f t="shared" si="19"/>
        <v>0</v>
      </c>
      <c r="Y150" s="147">
        <f t="shared" si="19"/>
        <v>0.27635082904803543</v>
      </c>
      <c r="Z150" s="147">
        <f t="shared" si="19"/>
        <v>0.27635082904803543</v>
      </c>
      <c r="AA150" s="147">
        <f t="shared" si="19"/>
        <v>0.27635082904803543</v>
      </c>
      <c r="AB150" s="147">
        <f t="shared" si="19"/>
        <v>0.27635082904803543</v>
      </c>
      <c r="AC150" s="147">
        <f t="shared" si="19"/>
        <v>0.27635082904803543</v>
      </c>
      <c r="AD150" s="147">
        <f t="shared" si="19"/>
        <v>0.27635082904803543</v>
      </c>
      <c r="AE150" s="147">
        <f t="shared" si="19"/>
        <v>0.27635082904803543</v>
      </c>
      <c r="AF150" s="147">
        <f t="shared" si="19"/>
        <v>0.27635082904803543</v>
      </c>
      <c r="AG150" s="147">
        <f t="shared" si="19"/>
        <v>0.27635082904803543</v>
      </c>
      <c r="AH150" s="147">
        <f t="shared" si="19"/>
        <v>0.27635082904803543</v>
      </c>
      <c r="AI150" s="147">
        <f t="shared" si="19"/>
        <v>0.27635082904803543</v>
      </c>
      <c r="AJ150" s="147">
        <f t="shared" si="19"/>
        <v>0.27635082904803543</v>
      </c>
      <c r="AK150" s="147">
        <f t="shared" si="19"/>
        <v>0.27635082904803543</v>
      </c>
      <c r="AL150" s="147">
        <f t="shared" si="19"/>
        <v>0.27635082904803543</v>
      </c>
      <c r="AM150" s="147">
        <f t="shared" si="19"/>
        <v>0.27635082904803543</v>
      </c>
      <c r="AN150" s="147">
        <f t="shared" si="19"/>
        <v>0</v>
      </c>
      <c r="AO150" s="147">
        <f t="shared" si="19"/>
        <v>0</v>
      </c>
      <c r="AP150" s="147">
        <f t="shared" si="19"/>
        <v>0</v>
      </c>
      <c r="AQ150" s="147">
        <f t="shared" si="19"/>
        <v>0</v>
      </c>
      <c r="AR150" s="147">
        <f t="shared" si="19"/>
        <v>0</v>
      </c>
      <c r="AS150" s="147"/>
      <c r="AT150" s="147"/>
      <c r="AU150" s="147"/>
      <c r="AV150" s="147"/>
      <c r="AW150" s="147"/>
      <c r="AX150" s="147"/>
      <c r="AY150" s="147"/>
      <c r="AZ150" s="147"/>
      <c r="BA150" s="147"/>
      <c r="BB150" s="147"/>
    </row>
    <row r="151" spans="5:64" ht="15" customHeight="1">
      <c r="E151" s="184">
        <v>37711</v>
      </c>
      <c r="G151" s="158" t="s">
        <v>844</v>
      </c>
      <c r="H151" s="147"/>
      <c r="I151" s="147">
        <f>SUMPRODUCT(L55:AQ55, L$127:AQ$127) - SUMPRODUCT(L100:AQ100, L$127:AQ$127) + HLOOKUP(E151,  $K$133:$AQ$134,2, FALSE)</f>
        <v>1.9295013064011237</v>
      </c>
      <c r="J151" s="31" t="s">
        <v>56</v>
      </c>
      <c r="K151" s="147"/>
      <c r="L151" s="147"/>
      <c r="M151" s="147"/>
      <c r="N151" s="147"/>
      <c r="O151" s="147"/>
      <c r="P151" s="147"/>
      <c r="Q151" s="147"/>
      <c r="R151" s="147"/>
      <c r="S151" s="147"/>
      <c r="T151" s="147"/>
      <c r="U151" s="147"/>
      <c r="V151" s="147"/>
      <c r="W151" s="147"/>
      <c r="X151" s="303">
        <f t="shared" si="19"/>
        <v>0</v>
      </c>
      <c r="Y151" s="147">
        <f t="shared" si="19"/>
        <v>0.12863342042674158</v>
      </c>
      <c r="Z151" s="147">
        <f t="shared" si="19"/>
        <v>0.12863342042674158</v>
      </c>
      <c r="AA151" s="147">
        <f t="shared" si="19"/>
        <v>0.12863342042674158</v>
      </c>
      <c r="AB151" s="147">
        <f t="shared" si="19"/>
        <v>0.12863342042674158</v>
      </c>
      <c r="AC151" s="147">
        <f t="shared" si="19"/>
        <v>0.12863342042674158</v>
      </c>
      <c r="AD151" s="147">
        <f t="shared" si="19"/>
        <v>0.12863342042674158</v>
      </c>
      <c r="AE151" s="147">
        <f t="shared" si="19"/>
        <v>0.12863342042674158</v>
      </c>
      <c r="AF151" s="147">
        <f t="shared" si="19"/>
        <v>0.12863342042674158</v>
      </c>
      <c r="AG151" s="147">
        <f t="shared" si="19"/>
        <v>0.12863342042674158</v>
      </c>
      <c r="AH151" s="147">
        <f t="shared" si="19"/>
        <v>0.12863342042674158</v>
      </c>
      <c r="AI151" s="147">
        <f t="shared" si="19"/>
        <v>0.12863342042674158</v>
      </c>
      <c r="AJ151" s="147">
        <f t="shared" si="19"/>
        <v>0.12863342042674158</v>
      </c>
      <c r="AK151" s="147">
        <f t="shared" si="19"/>
        <v>0.12863342042674158</v>
      </c>
      <c r="AL151" s="147">
        <f t="shared" si="19"/>
        <v>0.12863342042674158</v>
      </c>
      <c r="AM151" s="147">
        <f t="shared" si="19"/>
        <v>0.12863342042674158</v>
      </c>
      <c r="AN151" s="147">
        <f t="shared" si="19"/>
        <v>0</v>
      </c>
      <c r="AO151" s="147">
        <f t="shared" si="19"/>
        <v>0</v>
      </c>
      <c r="AP151" s="147">
        <f t="shared" si="19"/>
        <v>0</v>
      </c>
      <c r="AQ151" s="147">
        <f t="shared" si="19"/>
        <v>0</v>
      </c>
      <c r="AR151" s="147">
        <f t="shared" si="19"/>
        <v>0</v>
      </c>
      <c r="AS151" s="147"/>
      <c r="AT151" s="147"/>
      <c r="AU151" s="147"/>
      <c r="AV151" s="147"/>
      <c r="AW151" s="147"/>
      <c r="AX151" s="147"/>
      <c r="AY151" s="147"/>
      <c r="AZ151" s="147"/>
      <c r="BA151" s="147"/>
      <c r="BB151" s="147"/>
      <c r="BC151" s="147"/>
    </row>
    <row r="152" spans="5:64" ht="15" customHeight="1">
      <c r="E152" s="184">
        <v>38077</v>
      </c>
      <c r="G152" s="158" t="s">
        <v>844</v>
      </c>
      <c r="H152" s="147"/>
      <c r="I152" s="147">
        <f t="shared" si="16"/>
        <v>0</v>
      </c>
      <c r="J152" s="31" t="s">
        <v>56</v>
      </c>
      <c r="K152" s="147"/>
      <c r="L152" s="147"/>
      <c r="M152" s="147"/>
      <c r="N152" s="147"/>
      <c r="O152" s="147"/>
      <c r="P152" s="147"/>
      <c r="Q152" s="147"/>
      <c r="R152" s="147"/>
      <c r="S152" s="147"/>
      <c r="T152" s="147"/>
      <c r="U152" s="147"/>
      <c r="V152" s="147"/>
      <c r="W152" s="147"/>
      <c r="X152" s="147"/>
      <c r="Y152" s="303">
        <f t="shared" si="19"/>
        <v>0</v>
      </c>
      <c r="Z152" s="147">
        <f t="shared" si="19"/>
        <v>0</v>
      </c>
      <c r="AA152" s="147">
        <f t="shared" si="19"/>
        <v>0</v>
      </c>
      <c r="AB152" s="147">
        <f t="shared" si="19"/>
        <v>0</v>
      </c>
      <c r="AC152" s="147">
        <f t="shared" si="19"/>
        <v>0</v>
      </c>
      <c r="AD152" s="147">
        <f t="shared" si="19"/>
        <v>0</v>
      </c>
      <c r="AE152" s="147">
        <f t="shared" si="19"/>
        <v>0</v>
      </c>
      <c r="AF152" s="147">
        <f t="shared" si="19"/>
        <v>0</v>
      </c>
      <c r="AG152" s="147">
        <f t="shared" si="19"/>
        <v>0</v>
      </c>
      <c r="AH152" s="147">
        <f t="shared" si="19"/>
        <v>0</v>
      </c>
      <c r="AI152" s="147">
        <f t="shared" si="19"/>
        <v>0</v>
      </c>
      <c r="AJ152" s="147">
        <f t="shared" si="19"/>
        <v>0</v>
      </c>
      <c r="AK152" s="147">
        <f t="shared" si="19"/>
        <v>0</v>
      </c>
      <c r="AL152" s="147">
        <f t="shared" si="19"/>
        <v>0</v>
      </c>
      <c r="AM152" s="147">
        <f t="shared" si="19"/>
        <v>0</v>
      </c>
      <c r="AN152" s="147">
        <f t="shared" si="19"/>
        <v>0</v>
      </c>
      <c r="AO152" s="147">
        <f t="shared" si="19"/>
        <v>0</v>
      </c>
      <c r="AP152" s="147">
        <f t="shared" si="19"/>
        <v>0</v>
      </c>
      <c r="AQ152" s="147">
        <f t="shared" si="19"/>
        <v>0</v>
      </c>
      <c r="AR152" s="147">
        <f t="shared" si="19"/>
        <v>0</v>
      </c>
      <c r="AS152" s="147"/>
      <c r="AT152" s="147"/>
      <c r="AU152" s="147"/>
      <c r="AV152" s="147"/>
      <c r="AW152" s="147"/>
      <c r="AX152" s="147"/>
      <c r="AY152" s="147"/>
      <c r="AZ152" s="147"/>
      <c r="BA152" s="147"/>
      <c r="BB152" s="147"/>
      <c r="BC152" s="147"/>
      <c r="BD152" s="147"/>
    </row>
    <row r="153" spans="5:64" ht="15" customHeight="1">
      <c r="E153" s="184">
        <v>38442</v>
      </c>
      <c r="G153" s="158" t="s">
        <v>844</v>
      </c>
      <c r="H153" s="147"/>
      <c r="I153" s="147">
        <f t="shared" si="16"/>
        <v>0</v>
      </c>
      <c r="J153" s="31" t="s">
        <v>56</v>
      </c>
      <c r="K153" s="147"/>
      <c r="L153" s="147"/>
      <c r="M153" s="147"/>
      <c r="N153" s="147"/>
      <c r="O153" s="147"/>
      <c r="P153" s="147"/>
      <c r="Q153" s="147"/>
      <c r="R153" s="147"/>
      <c r="S153" s="147"/>
      <c r="T153" s="147"/>
      <c r="U153" s="147"/>
      <c r="V153" s="147"/>
      <c r="W153" s="147"/>
      <c r="X153" s="147"/>
      <c r="Y153" s="147"/>
      <c r="Z153" s="303">
        <f t="shared" si="19"/>
        <v>0</v>
      </c>
      <c r="AA153" s="147">
        <f t="shared" si="19"/>
        <v>0</v>
      </c>
      <c r="AB153" s="147">
        <f t="shared" si="19"/>
        <v>0</v>
      </c>
      <c r="AC153" s="147">
        <f t="shared" si="19"/>
        <v>0</v>
      </c>
      <c r="AD153" s="147">
        <f t="shared" si="19"/>
        <v>0</v>
      </c>
      <c r="AE153" s="147">
        <f t="shared" si="19"/>
        <v>0</v>
      </c>
      <c r="AF153" s="147">
        <f t="shared" si="19"/>
        <v>0</v>
      </c>
      <c r="AG153" s="147">
        <f t="shared" si="19"/>
        <v>0</v>
      </c>
      <c r="AH153" s="147">
        <f t="shared" si="19"/>
        <v>0</v>
      </c>
      <c r="AI153" s="147">
        <f t="shared" si="19"/>
        <v>0</v>
      </c>
      <c r="AJ153" s="147">
        <f t="shared" si="19"/>
        <v>0</v>
      </c>
      <c r="AK153" s="147">
        <f t="shared" si="19"/>
        <v>0</v>
      </c>
      <c r="AL153" s="147">
        <f t="shared" si="19"/>
        <v>0</v>
      </c>
      <c r="AM153" s="147">
        <f t="shared" si="19"/>
        <v>0</v>
      </c>
      <c r="AN153" s="147">
        <f t="shared" si="19"/>
        <v>0</v>
      </c>
      <c r="AO153" s="147">
        <f t="shared" si="19"/>
        <v>0</v>
      </c>
      <c r="AP153" s="147">
        <f t="shared" si="19"/>
        <v>0</v>
      </c>
      <c r="AQ153" s="147">
        <f t="shared" si="19"/>
        <v>0</v>
      </c>
      <c r="AR153" s="147">
        <f t="shared" si="19"/>
        <v>0</v>
      </c>
      <c r="AS153" s="147"/>
      <c r="AT153" s="147"/>
      <c r="AU153" s="147"/>
      <c r="AV153" s="147"/>
      <c r="AW153" s="147"/>
      <c r="AX153" s="147"/>
      <c r="AY153" s="147"/>
      <c r="AZ153" s="147"/>
      <c r="BA153" s="147"/>
      <c r="BB153" s="147"/>
      <c r="BC153" s="147"/>
      <c r="BD153" s="147"/>
      <c r="BE153" s="147"/>
    </row>
    <row r="154" spans="5:64" ht="15" customHeight="1">
      <c r="E154" s="184">
        <v>38807</v>
      </c>
      <c r="G154" s="158" t="s">
        <v>844</v>
      </c>
      <c r="H154" s="147"/>
      <c r="I154" s="147">
        <f t="shared" si="16"/>
        <v>0</v>
      </c>
      <c r="J154" s="31" t="s">
        <v>56</v>
      </c>
      <c r="K154" s="147"/>
      <c r="L154" s="147"/>
      <c r="M154" s="147"/>
      <c r="N154" s="147"/>
      <c r="O154" s="147"/>
      <c r="P154" s="147"/>
      <c r="Q154" s="147"/>
      <c r="R154" s="147"/>
      <c r="S154" s="147"/>
      <c r="T154" s="147"/>
      <c r="U154" s="147"/>
      <c r="V154" s="147"/>
      <c r="W154" s="147"/>
      <c r="X154" s="147"/>
      <c r="Y154" s="147"/>
      <c r="Z154" s="147"/>
      <c r="AA154" s="303">
        <f t="shared" si="19"/>
        <v>0</v>
      </c>
      <c r="AB154" s="147">
        <f t="shared" si="19"/>
        <v>0</v>
      </c>
      <c r="AC154" s="147">
        <f t="shared" si="19"/>
        <v>0</v>
      </c>
      <c r="AD154" s="147">
        <f t="shared" si="19"/>
        <v>0</v>
      </c>
      <c r="AE154" s="147">
        <f t="shared" si="19"/>
        <v>0</v>
      </c>
      <c r="AF154" s="147">
        <f t="shared" si="19"/>
        <v>0</v>
      </c>
      <c r="AG154" s="147">
        <f t="shared" si="19"/>
        <v>0</v>
      </c>
      <c r="AH154" s="147">
        <f t="shared" si="19"/>
        <v>0</v>
      </c>
      <c r="AI154" s="147">
        <f t="shared" si="19"/>
        <v>0</v>
      </c>
      <c r="AJ154" s="147">
        <f t="shared" si="19"/>
        <v>0</v>
      </c>
      <c r="AK154" s="147">
        <f t="shared" si="19"/>
        <v>0</v>
      </c>
      <c r="AL154" s="147">
        <f t="shared" si="19"/>
        <v>0</v>
      </c>
      <c r="AM154" s="147">
        <f t="shared" si="19"/>
        <v>0</v>
      </c>
      <c r="AN154" s="147">
        <f t="shared" si="19"/>
        <v>0</v>
      </c>
      <c r="AO154" s="147">
        <f t="shared" si="19"/>
        <v>0</v>
      </c>
      <c r="AP154" s="147">
        <f t="shared" si="19"/>
        <v>0</v>
      </c>
      <c r="AQ154" s="147">
        <f t="shared" si="19"/>
        <v>0</v>
      </c>
      <c r="AR154" s="147">
        <f t="shared" si="19"/>
        <v>0</v>
      </c>
      <c r="AS154" s="147"/>
      <c r="AT154" s="147"/>
      <c r="AU154" s="147"/>
      <c r="AV154" s="147"/>
      <c r="AW154" s="147"/>
      <c r="AX154" s="147"/>
      <c r="AY154" s="147"/>
      <c r="AZ154" s="147"/>
      <c r="BA154" s="147"/>
      <c r="BB154" s="147"/>
      <c r="BC154" s="147"/>
      <c r="BD154" s="147"/>
      <c r="BE154" s="147"/>
      <c r="BF154" s="147"/>
    </row>
    <row r="155" spans="5:64" ht="15" customHeight="1">
      <c r="E155" s="184">
        <v>39172</v>
      </c>
      <c r="G155" s="158" t="s">
        <v>844</v>
      </c>
      <c r="H155" s="147"/>
      <c r="I155" s="147">
        <f t="shared" si="16"/>
        <v>0</v>
      </c>
      <c r="J155" s="31" t="s">
        <v>56</v>
      </c>
      <c r="K155" s="147"/>
      <c r="L155" s="147"/>
      <c r="M155" s="147"/>
      <c r="N155" s="147"/>
      <c r="O155" s="147"/>
      <c r="P155" s="147"/>
      <c r="Q155" s="147"/>
      <c r="R155" s="147"/>
      <c r="S155" s="147"/>
      <c r="T155" s="147"/>
      <c r="U155" s="147"/>
      <c r="V155" s="147"/>
      <c r="W155" s="147"/>
      <c r="X155" s="147"/>
      <c r="Y155" s="147"/>
      <c r="Z155" s="147"/>
      <c r="AA155" s="147"/>
      <c r="AB155" s="303">
        <f t="shared" si="19"/>
        <v>0</v>
      </c>
      <c r="AC155" s="147">
        <f t="shared" si="19"/>
        <v>0</v>
      </c>
      <c r="AD155" s="147">
        <f t="shared" si="19"/>
        <v>0</v>
      </c>
      <c r="AE155" s="147">
        <f t="shared" si="19"/>
        <v>0</v>
      </c>
      <c r="AF155" s="147">
        <f t="shared" si="19"/>
        <v>0</v>
      </c>
      <c r="AG155" s="147">
        <f t="shared" si="19"/>
        <v>0</v>
      </c>
      <c r="AH155" s="147">
        <f t="shared" si="19"/>
        <v>0</v>
      </c>
      <c r="AI155" s="147">
        <f t="shared" si="19"/>
        <v>0</v>
      </c>
      <c r="AJ155" s="147">
        <f t="shared" si="19"/>
        <v>0</v>
      </c>
      <c r="AK155" s="147">
        <f t="shared" si="19"/>
        <v>0</v>
      </c>
      <c r="AL155" s="147">
        <f t="shared" si="19"/>
        <v>0</v>
      </c>
      <c r="AM155" s="147">
        <f t="shared" si="19"/>
        <v>0</v>
      </c>
      <c r="AN155" s="147">
        <f t="shared" si="19"/>
        <v>0</v>
      </c>
      <c r="AO155" s="147">
        <f t="shared" si="19"/>
        <v>0</v>
      </c>
      <c r="AP155" s="147">
        <f t="shared" si="19"/>
        <v>0</v>
      </c>
      <c r="AQ155" s="147">
        <f t="shared" si="19"/>
        <v>0</v>
      </c>
      <c r="AR155" s="147">
        <f t="shared" si="19"/>
        <v>0</v>
      </c>
      <c r="AS155" s="147"/>
      <c r="AT155" s="147"/>
      <c r="AU155" s="147"/>
      <c r="AV155" s="147"/>
      <c r="AW155" s="147"/>
      <c r="AX155" s="147"/>
      <c r="AY155" s="147"/>
      <c r="AZ155" s="147"/>
      <c r="BA155" s="147"/>
      <c r="BB155" s="147"/>
      <c r="BC155" s="147"/>
      <c r="BD155" s="147"/>
      <c r="BE155" s="147"/>
      <c r="BF155" s="147"/>
      <c r="BG155" s="147"/>
    </row>
    <row r="156" spans="5:64" ht="15" customHeight="1">
      <c r="E156" s="184">
        <v>39538</v>
      </c>
      <c r="G156" s="158" t="s">
        <v>844</v>
      </c>
      <c r="H156" s="147"/>
      <c r="I156" s="147">
        <f t="shared" si="16"/>
        <v>0</v>
      </c>
      <c r="J156" s="31" t="s">
        <v>56</v>
      </c>
      <c r="K156" s="147"/>
      <c r="L156" s="147"/>
      <c r="M156" s="147"/>
      <c r="N156" s="147"/>
      <c r="O156" s="147"/>
      <c r="P156" s="147"/>
      <c r="Q156" s="147"/>
      <c r="R156" s="147"/>
      <c r="S156" s="147"/>
      <c r="T156" s="147"/>
      <c r="U156" s="147"/>
      <c r="V156" s="147"/>
      <c r="W156" s="147"/>
      <c r="X156" s="147"/>
      <c r="Y156" s="147"/>
      <c r="Z156" s="147"/>
      <c r="AA156" s="147"/>
      <c r="AB156" s="147"/>
      <c r="AC156" s="303">
        <f t="shared" si="19"/>
        <v>0</v>
      </c>
      <c r="AD156" s="147">
        <f t="shared" si="19"/>
        <v>0</v>
      </c>
      <c r="AE156" s="147">
        <f t="shared" si="19"/>
        <v>0</v>
      </c>
      <c r="AF156" s="147">
        <f t="shared" si="19"/>
        <v>0</v>
      </c>
      <c r="AG156" s="147">
        <f t="shared" si="19"/>
        <v>0</v>
      </c>
      <c r="AH156" s="147">
        <f t="shared" si="19"/>
        <v>0</v>
      </c>
      <c r="AI156" s="147">
        <f t="shared" si="19"/>
        <v>0</v>
      </c>
      <c r="AJ156" s="147">
        <f t="shared" si="19"/>
        <v>0</v>
      </c>
      <c r="AK156" s="147">
        <f t="shared" si="19"/>
        <v>0</v>
      </c>
      <c r="AL156" s="147">
        <f t="shared" si="19"/>
        <v>0</v>
      </c>
      <c r="AM156" s="147">
        <f t="shared" si="19"/>
        <v>0</v>
      </c>
      <c r="AN156" s="147">
        <f t="shared" si="19"/>
        <v>0</v>
      </c>
      <c r="AO156" s="147">
        <f t="shared" si="19"/>
        <v>0</v>
      </c>
      <c r="AP156" s="147">
        <f t="shared" si="19"/>
        <v>0</v>
      </c>
      <c r="AQ156" s="147">
        <f t="shared" si="19"/>
        <v>0</v>
      </c>
      <c r="AR156" s="147">
        <f t="shared" si="19"/>
        <v>0</v>
      </c>
      <c r="AS156" s="147"/>
      <c r="AT156" s="147"/>
      <c r="AU156" s="147"/>
      <c r="AV156" s="147"/>
      <c r="AW156" s="147"/>
      <c r="AX156" s="147"/>
      <c r="AY156" s="147"/>
      <c r="AZ156" s="147"/>
      <c r="BA156" s="147"/>
      <c r="BB156" s="147"/>
      <c r="BC156" s="147"/>
      <c r="BD156" s="147"/>
      <c r="BE156" s="147"/>
      <c r="BF156" s="147"/>
      <c r="BG156" s="147"/>
      <c r="BH156" s="147"/>
    </row>
    <row r="157" spans="5:64" ht="15" customHeight="1">
      <c r="E157" s="184">
        <v>39903</v>
      </c>
      <c r="G157" s="158" t="s">
        <v>844</v>
      </c>
      <c r="H157" s="147"/>
      <c r="I157" s="147">
        <f t="shared" si="16"/>
        <v>0</v>
      </c>
      <c r="J157" s="31" t="s">
        <v>56</v>
      </c>
      <c r="K157" s="147"/>
      <c r="L157" s="147"/>
      <c r="M157" s="147"/>
      <c r="N157" s="147"/>
      <c r="O157" s="147"/>
      <c r="P157" s="147"/>
      <c r="Q157" s="147"/>
      <c r="R157" s="147"/>
      <c r="S157" s="147"/>
      <c r="T157" s="147"/>
      <c r="U157" s="147"/>
      <c r="V157" s="147"/>
      <c r="W157" s="147"/>
      <c r="X157" s="147"/>
      <c r="Y157" s="147"/>
      <c r="Z157" s="147"/>
      <c r="AA157" s="147"/>
      <c r="AB157" s="147"/>
      <c r="AC157" s="147"/>
      <c r="AD157" s="303">
        <f t="shared" si="19"/>
        <v>0</v>
      </c>
      <c r="AE157" s="147">
        <f t="shared" si="19"/>
        <v>0</v>
      </c>
      <c r="AF157" s="147">
        <f t="shared" si="19"/>
        <v>0</v>
      </c>
      <c r="AG157" s="147">
        <f t="shared" si="19"/>
        <v>0</v>
      </c>
      <c r="AH157" s="147">
        <f t="shared" si="19"/>
        <v>0</v>
      </c>
      <c r="AI157" s="147">
        <f t="shared" si="19"/>
        <v>0</v>
      </c>
      <c r="AJ157" s="147">
        <f t="shared" si="19"/>
        <v>0</v>
      </c>
      <c r="AK157" s="147">
        <f t="shared" si="19"/>
        <v>0</v>
      </c>
      <c r="AL157" s="147">
        <f t="shared" si="19"/>
        <v>0</v>
      </c>
      <c r="AM157" s="147">
        <f t="shared" si="19"/>
        <v>0</v>
      </c>
      <c r="AN157" s="147">
        <f t="shared" si="19"/>
        <v>0</v>
      </c>
      <c r="AO157" s="147">
        <f t="shared" si="19"/>
        <v>0</v>
      </c>
      <c r="AP157" s="147">
        <f t="shared" si="19"/>
        <v>0</v>
      </c>
      <c r="AQ157" s="147">
        <f t="shared" si="19"/>
        <v>0</v>
      </c>
      <c r="AR157" s="147">
        <f t="shared" si="19"/>
        <v>0</v>
      </c>
      <c r="AS157" s="147"/>
      <c r="AT157" s="147"/>
      <c r="AU157" s="147"/>
      <c r="AV157" s="147"/>
      <c r="AW157" s="147"/>
      <c r="AX157" s="147"/>
      <c r="AY157" s="147"/>
      <c r="AZ157" s="147"/>
      <c r="BA157" s="147"/>
      <c r="BB157" s="147"/>
      <c r="BC157" s="147"/>
      <c r="BD157" s="147"/>
      <c r="BE157" s="147"/>
      <c r="BF157" s="147"/>
      <c r="BG157" s="147"/>
      <c r="BH157" s="147"/>
      <c r="BI157" s="147"/>
    </row>
    <row r="158" spans="5:64" ht="15" customHeight="1">
      <c r="E158" s="184">
        <v>40268</v>
      </c>
      <c r="G158" s="158" t="s">
        <v>844</v>
      </c>
      <c r="H158" s="147"/>
      <c r="I158" s="147">
        <f t="shared" si="16"/>
        <v>0</v>
      </c>
      <c r="J158" s="31" t="s">
        <v>56</v>
      </c>
      <c r="K158" s="147"/>
      <c r="L158" s="147"/>
      <c r="M158" s="147"/>
      <c r="N158" s="147"/>
      <c r="O158" s="147"/>
      <c r="P158" s="147"/>
      <c r="Q158" s="147"/>
      <c r="R158" s="147"/>
      <c r="S158" s="147"/>
      <c r="T158" s="147"/>
      <c r="U158" s="147"/>
      <c r="V158" s="147"/>
      <c r="W158" s="147"/>
      <c r="X158" s="147"/>
      <c r="Y158" s="147"/>
      <c r="Z158" s="147"/>
      <c r="AA158" s="147"/>
      <c r="AB158" s="147"/>
      <c r="AC158" s="147"/>
      <c r="AD158" s="147"/>
      <c r="AE158" s="303">
        <f t="shared" si="19"/>
        <v>0</v>
      </c>
      <c r="AF158" s="147">
        <f t="shared" si="19"/>
        <v>0</v>
      </c>
      <c r="AG158" s="147">
        <f t="shared" si="19"/>
        <v>0</v>
      </c>
      <c r="AH158" s="147">
        <f t="shared" ref="AH158:AR158" si="20">$I158 * AH$129</f>
        <v>0</v>
      </c>
      <c r="AI158" s="147">
        <f t="shared" si="20"/>
        <v>0</v>
      </c>
      <c r="AJ158" s="147">
        <f t="shared" si="20"/>
        <v>0</v>
      </c>
      <c r="AK158" s="147">
        <f t="shared" si="20"/>
        <v>0</v>
      </c>
      <c r="AL158" s="147">
        <f t="shared" si="20"/>
        <v>0</v>
      </c>
      <c r="AM158" s="147">
        <f t="shared" si="20"/>
        <v>0</v>
      </c>
      <c r="AN158" s="147">
        <f t="shared" si="20"/>
        <v>0</v>
      </c>
      <c r="AO158" s="147">
        <f t="shared" si="20"/>
        <v>0</v>
      </c>
      <c r="AP158" s="147">
        <f t="shared" si="20"/>
        <v>0</v>
      </c>
      <c r="AQ158" s="147">
        <f t="shared" si="20"/>
        <v>0</v>
      </c>
      <c r="AR158" s="147">
        <f t="shared" si="20"/>
        <v>0</v>
      </c>
      <c r="AS158" s="147"/>
      <c r="AT158" s="147"/>
      <c r="AU158" s="147"/>
      <c r="AV158" s="147"/>
      <c r="AW158" s="147"/>
      <c r="AX158" s="147"/>
      <c r="AY158" s="147"/>
      <c r="AZ158" s="147"/>
      <c r="BA158" s="147"/>
      <c r="BB158" s="147"/>
      <c r="BC158" s="147"/>
      <c r="BD158" s="147"/>
      <c r="BE158" s="147"/>
      <c r="BF158" s="147"/>
      <c r="BG158" s="147"/>
      <c r="BH158" s="147"/>
      <c r="BI158" s="147"/>
      <c r="BJ158" s="147"/>
    </row>
    <row r="159" spans="5:64" ht="15" customHeight="1">
      <c r="E159" s="184">
        <v>40633</v>
      </c>
      <c r="G159" s="158" t="s">
        <v>844</v>
      </c>
      <c r="H159" s="147"/>
      <c r="I159" s="147">
        <f t="shared" si="16"/>
        <v>0</v>
      </c>
      <c r="J159" s="31" t="s">
        <v>56</v>
      </c>
      <c r="K159" s="147"/>
      <c r="L159" s="147"/>
      <c r="M159" s="147"/>
      <c r="N159" s="147"/>
      <c r="O159" s="147"/>
      <c r="P159" s="147"/>
      <c r="Q159" s="147"/>
      <c r="R159" s="147"/>
      <c r="S159" s="147"/>
      <c r="T159" s="147"/>
      <c r="U159" s="147"/>
      <c r="V159" s="147"/>
      <c r="W159" s="147"/>
      <c r="X159" s="147"/>
      <c r="Y159" s="147"/>
      <c r="Z159" s="147"/>
      <c r="AA159" s="147"/>
      <c r="AB159" s="147"/>
      <c r="AC159" s="147"/>
      <c r="AD159" s="147"/>
      <c r="AE159" s="147"/>
      <c r="AF159" s="303">
        <f t="shared" ref="AF159:AR168" si="21">$I159 * AF$129</f>
        <v>0</v>
      </c>
      <c r="AG159" s="147">
        <f t="shared" si="21"/>
        <v>0</v>
      </c>
      <c r="AH159" s="147">
        <f t="shared" si="21"/>
        <v>0</v>
      </c>
      <c r="AI159" s="147">
        <f t="shared" si="21"/>
        <v>0</v>
      </c>
      <c r="AJ159" s="147">
        <f t="shared" si="21"/>
        <v>0</v>
      </c>
      <c r="AK159" s="147">
        <f t="shared" si="21"/>
        <v>0</v>
      </c>
      <c r="AL159" s="147">
        <f t="shared" si="21"/>
        <v>0</v>
      </c>
      <c r="AM159" s="147">
        <f t="shared" si="21"/>
        <v>0</v>
      </c>
      <c r="AN159" s="147">
        <f t="shared" si="21"/>
        <v>0</v>
      </c>
      <c r="AO159" s="147">
        <f t="shared" si="21"/>
        <v>0</v>
      </c>
      <c r="AP159" s="147">
        <f t="shared" si="21"/>
        <v>0</v>
      </c>
      <c r="AQ159" s="147">
        <f t="shared" si="21"/>
        <v>0</v>
      </c>
      <c r="AR159" s="147">
        <f t="shared" si="21"/>
        <v>0</v>
      </c>
      <c r="AS159" s="147"/>
      <c r="AT159" s="147"/>
      <c r="AU159" s="147"/>
      <c r="AV159" s="147"/>
      <c r="AW159" s="147"/>
      <c r="AX159" s="147"/>
      <c r="AY159" s="147"/>
      <c r="AZ159" s="147"/>
      <c r="BA159" s="147"/>
      <c r="BB159" s="147"/>
      <c r="BC159" s="147"/>
      <c r="BD159" s="147"/>
      <c r="BE159" s="147"/>
      <c r="BF159" s="147"/>
      <c r="BG159" s="147"/>
      <c r="BH159" s="147"/>
      <c r="BI159" s="147"/>
      <c r="BJ159" s="147"/>
      <c r="BK159" s="147"/>
    </row>
    <row r="160" spans="5:64" ht="15" customHeight="1">
      <c r="E160" s="184">
        <v>40999</v>
      </c>
      <c r="G160" s="158" t="s">
        <v>844</v>
      </c>
      <c r="H160" s="147"/>
      <c r="I160" s="147">
        <f t="shared" si="16"/>
        <v>0</v>
      </c>
      <c r="J160" s="31" t="s">
        <v>56</v>
      </c>
      <c r="K160" s="147"/>
      <c r="L160" s="147"/>
      <c r="M160" s="147"/>
      <c r="N160" s="147"/>
      <c r="O160" s="147"/>
      <c r="P160" s="147"/>
      <c r="Q160" s="147"/>
      <c r="R160" s="147"/>
      <c r="S160" s="147"/>
      <c r="T160" s="147"/>
      <c r="U160" s="147"/>
      <c r="V160" s="147"/>
      <c r="W160" s="147"/>
      <c r="X160" s="147"/>
      <c r="Y160" s="147"/>
      <c r="Z160" s="147"/>
      <c r="AA160" s="147"/>
      <c r="AB160" s="147"/>
      <c r="AC160" s="147"/>
      <c r="AD160" s="147"/>
      <c r="AE160" s="147"/>
      <c r="AF160" s="147"/>
      <c r="AG160" s="303">
        <f t="shared" si="21"/>
        <v>0</v>
      </c>
      <c r="AH160" s="147">
        <f t="shared" si="21"/>
        <v>0</v>
      </c>
      <c r="AI160" s="147">
        <f t="shared" si="21"/>
        <v>0</v>
      </c>
      <c r="AJ160" s="147">
        <f t="shared" si="21"/>
        <v>0</v>
      </c>
      <c r="AK160" s="147">
        <f t="shared" si="21"/>
        <v>0</v>
      </c>
      <c r="AL160" s="147">
        <f t="shared" si="21"/>
        <v>0</v>
      </c>
      <c r="AM160" s="147">
        <f t="shared" si="21"/>
        <v>0</v>
      </c>
      <c r="AN160" s="147">
        <f t="shared" si="21"/>
        <v>0</v>
      </c>
      <c r="AO160" s="147">
        <f t="shared" si="21"/>
        <v>0</v>
      </c>
      <c r="AP160" s="147">
        <f t="shared" si="21"/>
        <v>0</v>
      </c>
      <c r="AQ160" s="147">
        <f t="shared" si="21"/>
        <v>0</v>
      </c>
      <c r="AR160" s="147">
        <f t="shared" si="21"/>
        <v>0</v>
      </c>
      <c r="AS160" s="147"/>
      <c r="AT160" s="147"/>
      <c r="AU160" s="147"/>
      <c r="AV160" s="147"/>
      <c r="AW160" s="147"/>
      <c r="AX160" s="147"/>
      <c r="AY160" s="147"/>
      <c r="AZ160" s="147"/>
      <c r="BA160" s="147"/>
      <c r="BB160" s="147"/>
      <c r="BC160" s="147"/>
      <c r="BD160" s="147"/>
      <c r="BE160" s="147"/>
      <c r="BF160" s="147"/>
      <c r="BG160" s="147"/>
      <c r="BH160" s="147"/>
      <c r="BI160" s="147"/>
      <c r="BJ160" s="147"/>
      <c r="BK160" s="147"/>
      <c r="BL160" s="147"/>
    </row>
    <row r="161" spans="2:74" ht="15" customHeight="1">
      <c r="E161" s="184">
        <v>41364</v>
      </c>
      <c r="G161" s="158" t="s">
        <v>844</v>
      </c>
      <c r="H161" s="147"/>
      <c r="I161" s="147">
        <f t="shared" si="16"/>
        <v>0</v>
      </c>
      <c r="J161" s="31"/>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147"/>
      <c r="AH161" s="303">
        <f t="shared" si="21"/>
        <v>0</v>
      </c>
      <c r="AI161" s="147">
        <f t="shared" si="21"/>
        <v>0</v>
      </c>
      <c r="AJ161" s="147">
        <f t="shared" si="21"/>
        <v>0</v>
      </c>
      <c r="AK161" s="147">
        <f t="shared" si="21"/>
        <v>0</v>
      </c>
      <c r="AL161" s="147">
        <f t="shared" si="21"/>
        <v>0</v>
      </c>
      <c r="AM161" s="147">
        <f t="shared" si="21"/>
        <v>0</v>
      </c>
      <c r="AN161" s="147">
        <f t="shared" si="21"/>
        <v>0</v>
      </c>
      <c r="AO161" s="147">
        <f t="shared" si="21"/>
        <v>0</v>
      </c>
      <c r="AP161" s="147">
        <f t="shared" si="21"/>
        <v>0</v>
      </c>
      <c r="AQ161" s="147">
        <f t="shared" si="21"/>
        <v>0</v>
      </c>
      <c r="AR161" s="147">
        <f t="shared" si="21"/>
        <v>0</v>
      </c>
      <c r="AS161" s="147"/>
      <c r="AT161" s="147"/>
      <c r="AU161" s="147"/>
      <c r="AV161" s="147"/>
      <c r="AW161" s="147"/>
      <c r="AX161" s="147"/>
      <c r="AY161" s="147"/>
      <c r="AZ161" s="147"/>
      <c r="BA161" s="147"/>
      <c r="BB161" s="147"/>
      <c r="BC161" s="147"/>
      <c r="BD161" s="147"/>
      <c r="BE161" s="147"/>
      <c r="BF161" s="147"/>
      <c r="BG161" s="147"/>
      <c r="BH161" s="147"/>
      <c r="BI161" s="147"/>
      <c r="BJ161" s="147"/>
      <c r="BK161" s="147"/>
      <c r="BL161" s="147"/>
      <c r="BM161" s="147"/>
    </row>
    <row r="162" spans="2:74" ht="15" customHeight="1">
      <c r="E162" s="184">
        <v>41729</v>
      </c>
      <c r="G162" s="158" t="s">
        <v>844</v>
      </c>
      <c r="H162" s="147"/>
      <c r="I162" s="147">
        <f t="shared" si="16"/>
        <v>0</v>
      </c>
      <c r="J162" s="31"/>
      <c r="K162" s="147"/>
      <c r="L162" s="147"/>
      <c r="M162" s="147"/>
      <c r="N162" s="147"/>
      <c r="O162" s="147"/>
      <c r="P162" s="147"/>
      <c r="Q162" s="147"/>
      <c r="R162" s="147"/>
      <c r="S162" s="147"/>
      <c r="T162" s="147"/>
      <c r="U162" s="147"/>
      <c r="V162" s="147"/>
      <c r="W162" s="147"/>
      <c r="X162" s="147"/>
      <c r="Y162" s="147"/>
      <c r="Z162" s="147"/>
      <c r="AA162" s="147"/>
      <c r="AB162" s="147"/>
      <c r="AC162" s="147"/>
      <c r="AD162" s="147"/>
      <c r="AE162" s="147"/>
      <c r="AF162" s="147"/>
      <c r="AG162" s="147"/>
      <c r="AH162" s="147"/>
      <c r="AI162" s="303">
        <f t="shared" si="21"/>
        <v>0</v>
      </c>
      <c r="AJ162" s="147">
        <f t="shared" si="21"/>
        <v>0</v>
      </c>
      <c r="AK162" s="147">
        <f t="shared" si="21"/>
        <v>0</v>
      </c>
      <c r="AL162" s="147">
        <f t="shared" si="21"/>
        <v>0</v>
      </c>
      <c r="AM162" s="147">
        <f t="shared" si="21"/>
        <v>0</v>
      </c>
      <c r="AN162" s="147">
        <f t="shared" si="21"/>
        <v>0</v>
      </c>
      <c r="AO162" s="147">
        <f t="shared" si="21"/>
        <v>0</v>
      </c>
      <c r="AP162" s="147">
        <f t="shared" si="21"/>
        <v>0</v>
      </c>
      <c r="AQ162" s="147">
        <f t="shared" si="21"/>
        <v>0</v>
      </c>
      <c r="AR162" s="147">
        <f t="shared" si="21"/>
        <v>0</v>
      </c>
      <c r="AS162" s="147"/>
      <c r="AT162" s="147"/>
      <c r="AU162" s="147"/>
      <c r="AV162" s="147"/>
      <c r="AW162" s="147"/>
      <c r="AX162" s="147"/>
      <c r="AY162" s="147"/>
      <c r="AZ162" s="147"/>
      <c r="BA162" s="147"/>
      <c r="BB162" s="147"/>
      <c r="BC162" s="147"/>
      <c r="BD162" s="147"/>
      <c r="BE162" s="147"/>
      <c r="BF162" s="147"/>
      <c r="BG162" s="147"/>
      <c r="BH162" s="147"/>
      <c r="BI162" s="147"/>
      <c r="BJ162" s="147"/>
      <c r="BK162" s="147"/>
      <c r="BL162" s="147"/>
      <c r="BM162" s="147"/>
      <c r="BN162" s="147"/>
    </row>
    <row r="163" spans="2:74" ht="15" customHeight="1">
      <c r="E163" s="184">
        <v>42094</v>
      </c>
      <c r="G163" s="158" t="s">
        <v>844</v>
      </c>
      <c r="H163" s="147"/>
      <c r="I163" s="147">
        <f t="shared" si="16"/>
        <v>0</v>
      </c>
      <c r="J163" s="31"/>
      <c r="K163" s="147"/>
      <c r="L163" s="147"/>
      <c r="M163" s="147"/>
      <c r="N163" s="147"/>
      <c r="O163" s="147"/>
      <c r="P163" s="147"/>
      <c r="Q163" s="147"/>
      <c r="R163" s="147"/>
      <c r="S163" s="147"/>
      <c r="T163" s="147"/>
      <c r="U163" s="147"/>
      <c r="V163" s="147"/>
      <c r="W163" s="147"/>
      <c r="X163" s="147"/>
      <c r="Y163" s="147"/>
      <c r="Z163" s="147"/>
      <c r="AA163" s="147"/>
      <c r="AB163" s="147"/>
      <c r="AC163" s="147"/>
      <c r="AD163" s="147"/>
      <c r="AE163" s="147"/>
      <c r="AF163" s="147"/>
      <c r="AG163" s="147"/>
      <c r="AH163" s="147"/>
      <c r="AI163" s="147"/>
      <c r="AJ163" s="303">
        <f t="shared" si="21"/>
        <v>0</v>
      </c>
      <c r="AK163" s="147">
        <f t="shared" si="21"/>
        <v>0</v>
      </c>
      <c r="AL163" s="147">
        <f t="shared" si="21"/>
        <v>0</v>
      </c>
      <c r="AM163" s="147">
        <f t="shared" si="21"/>
        <v>0</v>
      </c>
      <c r="AN163" s="147">
        <f t="shared" si="21"/>
        <v>0</v>
      </c>
      <c r="AO163" s="147">
        <f t="shared" si="21"/>
        <v>0</v>
      </c>
      <c r="AP163" s="147">
        <f t="shared" si="21"/>
        <v>0</v>
      </c>
      <c r="AQ163" s="147">
        <f t="shared" si="21"/>
        <v>0</v>
      </c>
      <c r="AR163" s="147">
        <f t="shared" si="21"/>
        <v>0</v>
      </c>
      <c r="AS163" s="147"/>
      <c r="AT163" s="147"/>
      <c r="AU163" s="147"/>
      <c r="AV163" s="147"/>
      <c r="AW163" s="147"/>
      <c r="AX163" s="147"/>
      <c r="AY163" s="147"/>
      <c r="AZ163" s="147"/>
      <c r="BA163" s="147"/>
      <c r="BB163" s="147"/>
      <c r="BC163" s="147"/>
      <c r="BD163" s="147"/>
      <c r="BE163" s="147"/>
      <c r="BF163" s="147"/>
      <c r="BG163" s="147"/>
      <c r="BH163" s="147"/>
      <c r="BI163" s="147"/>
      <c r="BJ163" s="147"/>
      <c r="BK163" s="147"/>
      <c r="BL163" s="147"/>
      <c r="BM163" s="147"/>
      <c r="BN163" s="147"/>
      <c r="BO163" s="147"/>
    </row>
    <row r="164" spans="2:74" ht="15" customHeight="1">
      <c r="E164" s="184">
        <v>42460</v>
      </c>
      <c r="G164" s="158" t="s">
        <v>844</v>
      </c>
      <c r="H164" s="147"/>
      <c r="I164" s="147">
        <f t="shared" si="16"/>
        <v>0</v>
      </c>
      <c r="J164" s="31"/>
      <c r="K164" s="147"/>
      <c r="L164" s="147"/>
      <c r="M164" s="147"/>
      <c r="N164" s="147"/>
      <c r="O164" s="147"/>
      <c r="P164" s="147"/>
      <c r="Q164" s="147"/>
      <c r="R164" s="147"/>
      <c r="S164" s="147"/>
      <c r="T164" s="147"/>
      <c r="U164" s="147"/>
      <c r="V164" s="147"/>
      <c r="W164" s="147"/>
      <c r="X164" s="147"/>
      <c r="Y164" s="147"/>
      <c r="Z164" s="147"/>
      <c r="AA164" s="147"/>
      <c r="AB164" s="147"/>
      <c r="AC164" s="147"/>
      <c r="AD164" s="147"/>
      <c r="AE164" s="147"/>
      <c r="AF164" s="147"/>
      <c r="AG164" s="147"/>
      <c r="AH164" s="147"/>
      <c r="AI164" s="147"/>
      <c r="AJ164" s="147"/>
      <c r="AK164" s="303">
        <f t="shared" si="21"/>
        <v>0</v>
      </c>
      <c r="AL164" s="147">
        <f t="shared" si="21"/>
        <v>0</v>
      </c>
      <c r="AM164" s="147">
        <f t="shared" si="21"/>
        <v>0</v>
      </c>
      <c r="AN164" s="147">
        <f t="shared" si="21"/>
        <v>0</v>
      </c>
      <c r="AO164" s="147">
        <f t="shared" si="21"/>
        <v>0</v>
      </c>
      <c r="AP164" s="147">
        <f t="shared" si="21"/>
        <v>0</v>
      </c>
      <c r="AQ164" s="147">
        <f t="shared" si="21"/>
        <v>0</v>
      </c>
      <c r="AR164" s="147">
        <f t="shared" si="21"/>
        <v>0</v>
      </c>
      <c r="AS164" s="147"/>
      <c r="AT164" s="147"/>
      <c r="AU164" s="147"/>
      <c r="AV164" s="147"/>
      <c r="AW164" s="147"/>
      <c r="AX164" s="147"/>
      <c r="AY164" s="147"/>
      <c r="AZ164" s="147"/>
      <c r="BA164" s="147"/>
      <c r="BB164" s="147"/>
      <c r="BC164" s="147"/>
      <c r="BD164" s="147"/>
      <c r="BE164" s="147"/>
      <c r="BF164" s="147"/>
      <c r="BG164" s="147"/>
      <c r="BH164" s="147"/>
      <c r="BI164" s="147"/>
      <c r="BJ164" s="147"/>
      <c r="BK164" s="147"/>
      <c r="BL164" s="147"/>
      <c r="BM164" s="147"/>
      <c r="BN164" s="147"/>
      <c r="BO164" s="147"/>
      <c r="BP164" s="147"/>
    </row>
    <row r="165" spans="2:74" ht="15" customHeight="1">
      <c r="E165" s="184">
        <v>42825</v>
      </c>
      <c r="G165" s="158" t="s">
        <v>844</v>
      </c>
      <c r="H165" s="147"/>
      <c r="I165" s="147">
        <f t="shared" si="16"/>
        <v>0</v>
      </c>
      <c r="J165" s="31"/>
      <c r="K165" s="147"/>
      <c r="L165" s="147"/>
      <c r="M165" s="147"/>
      <c r="N165" s="147"/>
      <c r="O165" s="147"/>
      <c r="P165" s="147"/>
      <c r="Q165" s="147"/>
      <c r="R165" s="147"/>
      <c r="S165" s="147"/>
      <c r="T165" s="147"/>
      <c r="U165" s="147"/>
      <c r="V165" s="147"/>
      <c r="W165" s="147"/>
      <c r="X165" s="147"/>
      <c r="Y165" s="147"/>
      <c r="Z165" s="147"/>
      <c r="AA165" s="147"/>
      <c r="AB165" s="147"/>
      <c r="AC165" s="147"/>
      <c r="AD165" s="147"/>
      <c r="AE165" s="147"/>
      <c r="AF165" s="147"/>
      <c r="AG165" s="147"/>
      <c r="AH165" s="147"/>
      <c r="AI165" s="147"/>
      <c r="AJ165" s="147"/>
      <c r="AK165" s="147"/>
      <c r="AL165" s="303">
        <f t="shared" si="21"/>
        <v>0</v>
      </c>
      <c r="AM165" s="147">
        <f t="shared" si="21"/>
        <v>0</v>
      </c>
      <c r="AN165" s="147">
        <f t="shared" si="21"/>
        <v>0</v>
      </c>
      <c r="AO165" s="147">
        <f t="shared" si="21"/>
        <v>0</v>
      </c>
      <c r="AP165" s="147">
        <f t="shared" si="21"/>
        <v>0</v>
      </c>
      <c r="AQ165" s="147">
        <f t="shared" si="21"/>
        <v>0</v>
      </c>
      <c r="AR165" s="147">
        <f t="shared" si="21"/>
        <v>0</v>
      </c>
      <c r="AS165" s="147"/>
      <c r="AT165" s="147"/>
      <c r="AU165" s="147"/>
      <c r="AV165" s="147"/>
      <c r="AW165" s="147"/>
      <c r="AX165" s="147"/>
      <c r="AY165" s="147"/>
      <c r="AZ165" s="147"/>
      <c r="BA165" s="147"/>
      <c r="BB165" s="147"/>
      <c r="BC165" s="147"/>
      <c r="BD165" s="147"/>
      <c r="BE165" s="147"/>
      <c r="BF165" s="147"/>
      <c r="BG165" s="147"/>
      <c r="BH165" s="147"/>
      <c r="BI165" s="147"/>
      <c r="BJ165" s="147"/>
      <c r="BK165" s="147"/>
      <c r="BL165" s="147"/>
      <c r="BM165" s="147"/>
      <c r="BN165" s="147"/>
      <c r="BO165" s="147"/>
      <c r="BP165" s="147"/>
      <c r="BQ165" s="147"/>
    </row>
    <row r="166" spans="2:74" ht="15" customHeight="1">
      <c r="E166" s="184">
        <v>43190</v>
      </c>
      <c r="G166" s="158" t="s">
        <v>844</v>
      </c>
      <c r="H166" s="147"/>
      <c r="I166" s="147">
        <f t="shared" si="16"/>
        <v>0</v>
      </c>
      <c r="J166" s="31"/>
      <c r="K166" s="147"/>
      <c r="L166" s="147"/>
      <c r="M166" s="147"/>
      <c r="N166" s="147"/>
      <c r="O166" s="147"/>
      <c r="P166" s="147"/>
      <c r="Q166" s="147"/>
      <c r="R166" s="147"/>
      <c r="S166" s="147"/>
      <c r="T166" s="147"/>
      <c r="U166" s="147"/>
      <c r="V166" s="147"/>
      <c r="W166" s="147"/>
      <c r="X166" s="147"/>
      <c r="Y166" s="147"/>
      <c r="Z166" s="147"/>
      <c r="AA166" s="147"/>
      <c r="AB166" s="147"/>
      <c r="AC166" s="147"/>
      <c r="AD166" s="147"/>
      <c r="AE166" s="147"/>
      <c r="AF166" s="147"/>
      <c r="AG166" s="147"/>
      <c r="AH166" s="147"/>
      <c r="AI166" s="147"/>
      <c r="AJ166" s="147"/>
      <c r="AK166" s="147"/>
      <c r="AL166" s="147"/>
      <c r="AM166" s="303">
        <f t="shared" si="21"/>
        <v>0</v>
      </c>
      <c r="AN166" s="147">
        <f t="shared" si="21"/>
        <v>0</v>
      </c>
      <c r="AO166" s="147">
        <f t="shared" si="21"/>
        <v>0</v>
      </c>
      <c r="AP166" s="147">
        <f t="shared" si="21"/>
        <v>0</v>
      </c>
      <c r="AQ166" s="147">
        <f t="shared" si="21"/>
        <v>0</v>
      </c>
      <c r="AR166" s="147">
        <f t="shared" si="21"/>
        <v>0</v>
      </c>
      <c r="AS166" s="147"/>
      <c r="AT166" s="147"/>
      <c r="AU166" s="147"/>
      <c r="AV166" s="147"/>
      <c r="AW166" s="147"/>
      <c r="AX166" s="147"/>
      <c r="AY166" s="147"/>
      <c r="AZ166" s="147"/>
      <c r="BA166" s="147"/>
      <c r="BB166" s="147"/>
      <c r="BC166" s="147"/>
      <c r="BD166" s="147"/>
      <c r="BE166" s="147"/>
      <c r="BF166" s="147"/>
      <c r="BG166" s="147"/>
      <c r="BH166" s="147"/>
      <c r="BI166" s="147"/>
      <c r="BJ166" s="147"/>
      <c r="BK166" s="147"/>
      <c r="BL166" s="147"/>
      <c r="BM166" s="147"/>
      <c r="BN166" s="147"/>
      <c r="BO166" s="147"/>
      <c r="BP166" s="147"/>
      <c r="BQ166" s="147"/>
      <c r="BR166" s="147"/>
    </row>
    <row r="167" spans="2:74" ht="15" customHeight="1">
      <c r="E167" s="184">
        <v>43555</v>
      </c>
      <c r="G167" s="158" t="s">
        <v>844</v>
      </c>
      <c r="H167" s="147"/>
      <c r="I167" s="147">
        <f t="shared" si="16"/>
        <v>0</v>
      </c>
      <c r="J167" s="31"/>
      <c r="K167" s="147"/>
      <c r="L167" s="147"/>
      <c r="M167" s="147"/>
      <c r="N167" s="147"/>
      <c r="O167" s="147"/>
      <c r="P167" s="147"/>
      <c r="Q167" s="147"/>
      <c r="R167" s="147"/>
      <c r="S167" s="147"/>
      <c r="T167" s="147"/>
      <c r="U167" s="147"/>
      <c r="V167" s="147"/>
      <c r="W167" s="147"/>
      <c r="X167" s="147"/>
      <c r="Y167" s="147"/>
      <c r="Z167" s="147"/>
      <c r="AA167" s="147"/>
      <c r="AB167" s="147"/>
      <c r="AC167" s="147"/>
      <c r="AD167" s="147"/>
      <c r="AE167" s="147"/>
      <c r="AF167" s="147"/>
      <c r="AG167" s="147"/>
      <c r="AH167" s="147"/>
      <c r="AI167" s="147"/>
      <c r="AJ167" s="147"/>
      <c r="AK167" s="147"/>
      <c r="AL167" s="147"/>
      <c r="AM167" s="147"/>
      <c r="AN167" s="303">
        <f t="shared" si="21"/>
        <v>0</v>
      </c>
      <c r="AO167" s="147">
        <f t="shared" si="21"/>
        <v>0</v>
      </c>
      <c r="AP167" s="147">
        <f t="shared" si="21"/>
        <v>0</v>
      </c>
      <c r="AQ167" s="147">
        <f t="shared" si="21"/>
        <v>0</v>
      </c>
      <c r="AR167" s="147">
        <f t="shared" si="21"/>
        <v>0</v>
      </c>
      <c r="AS167" s="147"/>
      <c r="AT167" s="147"/>
      <c r="AU167" s="147"/>
      <c r="AV167" s="147"/>
      <c r="AW167" s="147"/>
      <c r="AX167" s="147"/>
      <c r="AY167" s="147"/>
      <c r="AZ167" s="147"/>
      <c r="BA167" s="147"/>
      <c r="BB167" s="147"/>
      <c r="BC167" s="147"/>
      <c r="BD167" s="147"/>
      <c r="BE167" s="147"/>
      <c r="BF167" s="147"/>
      <c r="BG167" s="147"/>
      <c r="BH167" s="147"/>
      <c r="BI167" s="147"/>
      <c r="BJ167" s="147"/>
      <c r="BK167" s="147"/>
      <c r="BL167" s="147"/>
      <c r="BM167" s="147"/>
      <c r="BN167" s="147"/>
      <c r="BO167" s="147"/>
      <c r="BP167" s="147"/>
      <c r="BQ167" s="147"/>
      <c r="BR167" s="147"/>
      <c r="BS167" s="147"/>
    </row>
    <row r="168" spans="2:74" ht="15" customHeight="1">
      <c r="E168" s="184">
        <v>43921</v>
      </c>
      <c r="G168" s="158" t="s">
        <v>844</v>
      </c>
      <c r="H168" s="147"/>
      <c r="I168" s="147">
        <f t="shared" si="16"/>
        <v>0</v>
      </c>
      <c r="J168" s="31"/>
      <c r="K168" s="147"/>
      <c r="L168" s="147"/>
      <c r="M168" s="147"/>
      <c r="N168" s="147"/>
      <c r="O168" s="147"/>
      <c r="P168" s="147"/>
      <c r="Q168" s="147"/>
      <c r="R168" s="147"/>
      <c r="S168" s="147"/>
      <c r="T168" s="147"/>
      <c r="U168" s="147"/>
      <c r="V168" s="147"/>
      <c r="W168" s="147"/>
      <c r="X168" s="147"/>
      <c r="Y168" s="147"/>
      <c r="Z168" s="147"/>
      <c r="AA168" s="147"/>
      <c r="AB168" s="147"/>
      <c r="AC168" s="147"/>
      <c r="AD168" s="147"/>
      <c r="AE168" s="147"/>
      <c r="AF168" s="147"/>
      <c r="AG168" s="147"/>
      <c r="AH168" s="147"/>
      <c r="AI168" s="147"/>
      <c r="AJ168" s="147"/>
      <c r="AK168" s="147"/>
      <c r="AL168" s="147"/>
      <c r="AM168" s="147"/>
      <c r="AN168" s="147"/>
      <c r="AO168" s="303">
        <f t="shared" si="21"/>
        <v>0</v>
      </c>
      <c r="AP168" s="147">
        <f t="shared" si="21"/>
        <v>0</v>
      </c>
      <c r="AQ168" s="147">
        <f t="shared" si="21"/>
        <v>0</v>
      </c>
      <c r="AR168" s="147">
        <f t="shared" ref="AR168" si="22">$I168 * AR$129</f>
        <v>0</v>
      </c>
      <c r="AS168" s="147"/>
      <c r="AT168" s="147"/>
      <c r="AU168" s="147"/>
      <c r="AV168" s="147"/>
      <c r="AW168" s="147"/>
      <c r="AX168" s="147"/>
      <c r="AY168" s="147"/>
      <c r="AZ168" s="147"/>
      <c r="BA168" s="147"/>
      <c r="BB168" s="147"/>
      <c r="BC168" s="147"/>
      <c r="BD168" s="147"/>
      <c r="BE168" s="147"/>
      <c r="BF168" s="147"/>
      <c r="BG168" s="147"/>
      <c r="BH168" s="147"/>
      <c r="BI168" s="147"/>
      <c r="BJ168" s="147"/>
      <c r="BK168" s="147"/>
      <c r="BL168" s="147"/>
      <c r="BM168" s="147"/>
      <c r="BN168" s="147"/>
      <c r="BO168" s="147"/>
      <c r="BP168" s="147"/>
      <c r="BQ168" s="147"/>
      <c r="BR168" s="147"/>
      <c r="BS168" s="147"/>
      <c r="BT168" s="147"/>
    </row>
    <row r="169" spans="2:74" ht="15" customHeight="1">
      <c r="E169" s="184">
        <v>44286</v>
      </c>
      <c r="G169" s="158" t="s">
        <v>844</v>
      </c>
      <c r="H169" s="147"/>
      <c r="I169" s="147">
        <f t="shared" si="16"/>
        <v>0</v>
      </c>
      <c r="J169" s="31"/>
      <c r="K169" s="147"/>
      <c r="L169" s="147"/>
      <c r="M169" s="147"/>
      <c r="N169" s="147"/>
      <c r="O169" s="147"/>
      <c r="P169" s="147"/>
      <c r="Q169" s="147"/>
      <c r="R169" s="147"/>
      <c r="S169" s="147"/>
      <c r="T169" s="147"/>
      <c r="U169" s="147"/>
      <c r="V169" s="147"/>
      <c r="W169" s="147"/>
      <c r="X169" s="147"/>
      <c r="Y169" s="147"/>
      <c r="Z169" s="147"/>
      <c r="AA169" s="147"/>
      <c r="AB169" s="147"/>
      <c r="AC169" s="147"/>
      <c r="AD169" s="147"/>
      <c r="AE169" s="147"/>
      <c r="AF169" s="147"/>
      <c r="AG169" s="147"/>
      <c r="AH169" s="147"/>
      <c r="AI169" s="147"/>
      <c r="AJ169" s="147"/>
      <c r="AK169" s="147"/>
      <c r="AL169" s="147"/>
      <c r="AM169" s="147"/>
      <c r="AN169" s="147"/>
      <c r="AO169" s="147"/>
      <c r="AP169" s="303">
        <f t="shared" ref="AP169:AR170" si="23">$I169 * AP$129</f>
        <v>0</v>
      </c>
      <c r="AQ169" s="147">
        <f t="shared" si="23"/>
        <v>0</v>
      </c>
      <c r="AR169" s="147">
        <f t="shared" si="23"/>
        <v>0</v>
      </c>
      <c r="AS169" s="147"/>
      <c r="AT169" s="147"/>
      <c r="AU169" s="147"/>
      <c r="AV169" s="147"/>
      <c r="AW169" s="147"/>
      <c r="AX169" s="147"/>
      <c r="AY169" s="147"/>
      <c r="AZ169" s="147"/>
      <c r="BA169" s="147"/>
      <c r="BB169" s="147"/>
      <c r="BC169" s="147"/>
      <c r="BD169" s="147"/>
      <c r="BE169" s="147"/>
      <c r="BF169" s="147"/>
      <c r="BG169" s="147"/>
      <c r="BH169" s="147"/>
      <c r="BI169" s="147"/>
      <c r="BJ169" s="147"/>
      <c r="BK169" s="147"/>
      <c r="BL169" s="147"/>
      <c r="BM169" s="147"/>
      <c r="BN169" s="147"/>
      <c r="BO169" s="147"/>
      <c r="BP169" s="147"/>
      <c r="BQ169" s="147"/>
      <c r="BR169" s="147"/>
      <c r="BS169" s="147"/>
      <c r="BT169" s="147"/>
      <c r="BU169" s="147"/>
    </row>
    <row r="170" spans="2:74" ht="15" customHeight="1">
      <c r="E170" s="307">
        <v>44651</v>
      </c>
      <c r="F170" s="154"/>
      <c r="G170" s="154" t="s">
        <v>844</v>
      </c>
      <c r="H170" s="147"/>
      <c r="I170" s="147">
        <f t="shared" si="16"/>
        <v>0</v>
      </c>
      <c r="J170" s="31"/>
      <c r="K170" s="147"/>
      <c r="L170" s="147"/>
      <c r="M170" s="147"/>
      <c r="N170" s="147"/>
      <c r="O170" s="147"/>
      <c r="P170" s="147"/>
      <c r="Q170" s="147"/>
      <c r="R170" s="147"/>
      <c r="S170" s="147"/>
      <c r="T170" s="147"/>
      <c r="U170" s="147"/>
      <c r="V170" s="147"/>
      <c r="W170" s="147"/>
      <c r="X170" s="147"/>
      <c r="Y170" s="147"/>
      <c r="Z170" s="147"/>
      <c r="AA170" s="147"/>
      <c r="AB170" s="147"/>
      <c r="AC170" s="147"/>
      <c r="AD170" s="147"/>
      <c r="AE170" s="147"/>
      <c r="AF170" s="147"/>
      <c r="AG170" s="147"/>
      <c r="AH170" s="147"/>
      <c r="AI170" s="147"/>
      <c r="AJ170" s="147"/>
      <c r="AK170" s="147"/>
      <c r="AL170" s="147"/>
      <c r="AM170" s="147"/>
      <c r="AN170" s="147"/>
      <c r="AO170" s="147"/>
      <c r="AP170" s="147"/>
      <c r="AQ170" s="303">
        <f t="shared" si="23"/>
        <v>0</v>
      </c>
      <c r="AR170" s="147">
        <f t="shared" si="23"/>
        <v>0</v>
      </c>
      <c r="AS170" s="147"/>
      <c r="AT170" s="147"/>
      <c r="AU170" s="147"/>
      <c r="AV170" s="147"/>
      <c r="AW170" s="147"/>
      <c r="AX170" s="147"/>
      <c r="AY170" s="147"/>
      <c r="AZ170" s="147"/>
      <c r="BA170" s="147"/>
      <c r="BB170" s="147"/>
      <c r="BC170" s="147"/>
      <c r="BD170" s="147"/>
      <c r="BE170" s="147"/>
      <c r="BF170" s="147"/>
      <c r="BG170" s="147"/>
      <c r="BH170" s="147"/>
      <c r="BI170" s="147"/>
      <c r="BJ170" s="147"/>
      <c r="BK170" s="147"/>
      <c r="BL170" s="147"/>
      <c r="BM170" s="147"/>
      <c r="BN170" s="147"/>
      <c r="BO170" s="147"/>
      <c r="BP170" s="147"/>
      <c r="BQ170" s="147"/>
      <c r="BR170" s="147"/>
      <c r="BS170" s="147"/>
      <c r="BT170" s="147"/>
      <c r="BU170" s="147"/>
      <c r="BV170" s="147"/>
    </row>
    <row r="171" spans="2:74" ht="15" customHeight="1">
      <c r="E171" s="307">
        <v>45016</v>
      </c>
      <c r="F171" s="154"/>
      <c r="G171" s="154" t="s">
        <v>844</v>
      </c>
      <c r="H171" s="147"/>
      <c r="I171" s="147">
        <f t="shared" si="16"/>
        <v>0</v>
      </c>
      <c r="J171" s="31"/>
      <c r="K171" s="147"/>
      <c r="L171" s="147"/>
      <c r="M171" s="147"/>
      <c r="N171" s="147"/>
      <c r="O171" s="147"/>
      <c r="P171" s="147"/>
      <c r="Q171" s="147"/>
      <c r="R171" s="147"/>
      <c r="S171" s="147"/>
      <c r="T171" s="147"/>
      <c r="U171" s="147"/>
      <c r="V171" s="147"/>
      <c r="W171" s="147"/>
      <c r="X171" s="147"/>
      <c r="Y171" s="147"/>
      <c r="Z171" s="147"/>
      <c r="AA171" s="147"/>
      <c r="AB171" s="147"/>
      <c r="AC171" s="147"/>
      <c r="AD171" s="147"/>
      <c r="AE171" s="147"/>
      <c r="AF171" s="147"/>
      <c r="AG171" s="147"/>
      <c r="AH171" s="147"/>
      <c r="AI171" s="147"/>
      <c r="AJ171" s="147"/>
      <c r="AK171" s="147"/>
      <c r="AL171" s="147"/>
      <c r="AM171" s="147"/>
      <c r="AN171" s="147"/>
      <c r="AO171" s="147"/>
      <c r="AP171" s="147"/>
      <c r="AQ171" s="147"/>
    </row>
    <row r="172" spans="2:74" ht="15" customHeight="1">
      <c r="H172" s="147"/>
      <c r="I172" s="147"/>
      <c r="J172" s="31"/>
      <c r="K172" s="147"/>
      <c r="L172" s="147"/>
      <c r="M172" s="147"/>
      <c r="N172" s="147"/>
      <c r="O172" s="147"/>
      <c r="P172" s="147"/>
      <c r="Q172" s="147"/>
      <c r="R172" s="147"/>
      <c r="S172" s="147"/>
      <c r="T172" s="147"/>
      <c r="U172" s="147"/>
      <c r="V172" s="147"/>
      <c r="W172" s="147"/>
      <c r="X172" s="147"/>
      <c r="Y172" s="147"/>
      <c r="Z172" s="147"/>
      <c r="AA172" s="147"/>
      <c r="AB172" s="147"/>
      <c r="AC172" s="147"/>
      <c r="AD172" s="147"/>
      <c r="AE172" s="147"/>
      <c r="AF172" s="147"/>
      <c r="AG172" s="147"/>
      <c r="AH172" s="147"/>
      <c r="AI172" s="149"/>
      <c r="AJ172" s="149"/>
      <c r="AK172" s="149"/>
      <c r="AL172" s="149"/>
      <c r="AM172" s="149"/>
      <c r="AN172" s="149"/>
      <c r="AO172" s="149"/>
      <c r="AP172" s="149"/>
      <c r="AQ172" s="149"/>
    </row>
    <row r="173" spans="2:74" ht="15" customHeight="1">
      <c r="C173" s="17" t="s">
        <v>127</v>
      </c>
      <c r="D173" s="17"/>
      <c r="E173" s="17"/>
      <c r="F173" s="17"/>
      <c r="G173" s="17"/>
      <c r="H173" s="17"/>
      <c r="I173" s="332"/>
      <c r="J173" s="345"/>
      <c r="K173" s="332"/>
      <c r="L173" s="332"/>
      <c r="M173" s="332"/>
      <c r="N173" s="332"/>
      <c r="O173" s="332"/>
      <c r="P173" s="332"/>
      <c r="Q173" s="332"/>
      <c r="R173" s="332"/>
      <c r="S173" s="332"/>
      <c r="T173" s="332"/>
      <c r="U173" s="332"/>
      <c r="V173" s="332"/>
      <c r="W173" s="332"/>
      <c r="X173" s="332"/>
      <c r="Y173" s="332"/>
      <c r="Z173" s="332"/>
      <c r="AA173" s="332"/>
      <c r="AB173" s="332"/>
      <c r="AC173" s="332"/>
      <c r="AD173" s="332"/>
      <c r="AE173" s="332"/>
      <c r="AF173" s="332"/>
      <c r="AG173" s="332"/>
      <c r="AH173" s="332"/>
      <c r="AI173" s="332"/>
      <c r="AJ173" s="332"/>
      <c r="AK173" s="332"/>
      <c r="AL173" s="332"/>
      <c r="AM173" s="332"/>
      <c r="AN173" s="332"/>
      <c r="AO173" s="332"/>
      <c r="AP173" s="332"/>
      <c r="AQ173" s="332"/>
    </row>
    <row r="174" spans="2:74" s="151" customFormat="1" ht="15" customHeight="1">
      <c r="B174" s="147"/>
      <c r="C174" s="166" t="s">
        <v>640</v>
      </c>
      <c r="D174" s="166"/>
      <c r="E174" s="166"/>
      <c r="F174" s="166"/>
      <c r="G174" s="166"/>
      <c r="H174" s="166"/>
      <c r="I174" s="197"/>
      <c r="J174" s="197"/>
      <c r="K174" s="197"/>
      <c r="L174" s="197"/>
      <c r="M174" s="197"/>
      <c r="N174" s="197"/>
      <c r="O174" s="197"/>
      <c r="P174" s="197"/>
      <c r="Q174" s="197"/>
      <c r="R174" s="197"/>
      <c r="S174" s="197"/>
      <c r="T174" s="197"/>
      <c r="U174" s="197"/>
      <c r="V174" s="197"/>
      <c r="W174" s="197"/>
      <c r="X174" s="197"/>
      <c r="Y174" s="197"/>
      <c r="Z174" s="197"/>
      <c r="AA174" s="197"/>
      <c r="AB174" s="197"/>
      <c r="AC174" s="197"/>
      <c r="AD174" s="197"/>
      <c r="AE174" s="197"/>
      <c r="AF174" s="197"/>
      <c r="AG174" s="197"/>
      <c r="AH174" s="197"/>
      <c r="AI174" s="197"/>
      <c r="AJ174" s="197"/>
      <c r="AK174" s="197"/>
      <c r="AL174" s="197"/>
      <c r="AM174" s="197"/>
      <c r="AN174" s="197"/>
      <c r="AO174" s="197"/>
      <c r="AP174" s="197"/>
      <c r="AQ174" s="197"/>
    </row>
    <row r="175" spans="2:74" ht="15" customHeight="1">
      <c r="H175" s="147"/>
      <c r="I175" s="147"/>
      <c r="J175" s="31"/>
      <c r="K175" s="147"/>
      <c r="L175" s="147"/>
      <c r="M175" s="147"/>
      <c r="N175" s="147"/>
      <c r="O175" s="147"/>
      <c r="P175" s="147"/>
      <c r="Q175" s="147"/>
      <c r="R175" s="149"/>
      <c r="S175" s="149"/>
      <c r="T175" s="147"/>
      <c r="U175" s="147"/>
      <c r="V175" s="147"/>
      <c r="W175" s="147"/>
      <c r="X175" s="147"/>
      <c r="Y175" s="147"/>
      <c r="Z175" s="147"/>
      <c r="AA175" s="147"/>
      <c r="AB175" s="147"/>
      <c r="AC175" s="147"/>
      <c r="AD175" s="147"/>
      <c r="AE175" s="147"/>
      <c r="AF175" s="147"/>
      <c r="AG175" s="147"/>
      <c r="AH175" s="147"/>
      <c r="AI175" s="147"/>
      <c r="AJ175" s="147"/>
      <c r="AK175" s="147"/>
      <c r="AL175" s="147"/>
      <c r="AM175" s="147"/>
      <c r="AN175" s="147"/>
      <c r="AO175" s="147"/>
      <c r="AP175" s="149"/>
      <c r="AQ175" s="149"/>
    </row>
    <row r="176" spans="2:74" ht="15" customHeight="1">
      <c r="E176" s="86" t="s">
        <v>238</v>
      </c>
      <c r="H176" s="147"/>
      <c r="I176" s="106" t="s">
        <v>28</v>
      </c>
      <c r="J176" s="31"/>
      <c r="K176" s="147"/>
      <c r="L176" s="147"/>
      <c r="M176" s="147"/>
      <c r="N176" s="147"/>
      <c r="O176" s="147"/>
      <c r="P176" s="147"/>
      <c r="Q176" s="147"/>
      <c r="R176" s="149"/>
      <c r="S176" s="149"/>
      <c r="T176" s="147"/>
      <c r="U176" s="147"/>
      <c r="V176" s="147"/>
      <c r="W176" s="147"/>
      <c r="X176" s="147"/>
      <c r="Y176" s="147"/>
      <c r="Z176" s="147"/>
      <c r="AA176" s="147"/>
      <c r="AB176" s="147"/>
      <c r="AC176" s="147"/>
      <c r="AD176" s="147"/>
      <c r="AE176" s="147"/>
      <c r="AF176" s="147"/>
      <c r="AG176" s="147"/>
      <c r="AH176" s="147"/>
      <c r="AI176" s="147"/>
      <c r="AJ176" s="147"/>
      <c r="AK176" s="147"/>
      <c r="AL176" s="147"/>
      <c r="AM176" s="147"/>
      <c r="AN176" s="147"/>
      <c r="AO176" s="147"/>
      <c r="AP176" s="149"/>
      <c r="AQ176" s="149"/>
    </row>
    <row r="177" spans="2:58" ht="15" customHeight="1">
      <c r="B177" s="87"/>
      <c r="E177" s="184">
        <v>33328</v>
      </c>
      <c r="G177" s="158" t="s">
        <v>844</v>
      </c>
      <c r="H177" s="147"/>
      <c r="I177" s="147">
        <f t="shared" ref="I177:I209" si="24">I88</f>
        <v>21.107503804376339</v>
      </c>
      <c r="J177" s="31" t="s">
        <v>56</v>
      </c>
      <c r="K177" s="107"/>
      <c r="L177" s="147">
        <f>(L$83 * L88) + (L$38 * L43) + L139</f>
        <v>0.63385897310439465</v>
      </c>
      <c r="M177" s="147">
        <f t="shared" ref="M177:AQ186" si="25">(M$83 * M88) + (M$38 * M43) + M139</f>
        <v>0.63385897310439465</v>
      </c>
      <c r="N177" s="147">
        <f t="shared" si="25"/>
        <v>0.63385897310439465</v>
      </c>
      <c r="O177" s="147">
        <f t="shared" si="25"/>
        <v>0.63385897310439465</v>
      </c>
      <c r="P177" s="147">
        <f t="shared" si="25"/>
        <v>0.63385897310439465</v>
      </c>
      <c r="Q177" s="147">
        <f t="shared" si="25"/>
        <v>0.63385897310439465</v>
      </c>
      <c r="R177" s="147">
        <f t="shared" si="25"/>
        <v>0.63385897310439465</v>
      </c>
      <c r="S177" s="147">
        <f t="shared" si="25"/>
        <v>0.63385897310439465</v>
      </c>
      <c r="T177" s="147">
        <f t="shared" si="25"/>
        <v>0.63385897310439465</v>
      </c>
      <c r="U177" s="147">
        <f t="shared" si="25"/>
        <v>0.63385897310439465</v>
      </c>
      <c r="V177" s="147">
        <f t="shared" si="25"/>
        <v>0.63385897310439465</v>
      </c>
      <c r="W177" s="147">
        <f t="shared" si="25"/>
        <v>0.63385897310439465</v>
      </c>
      <c r="X177" s="147">
        <f t="shared" si="25"/>
        <v>0.63385897310439465</v>
      </c>
      <c r="Y177" s="147">
        <f t="shared" si="25"/>
        <v>1.420689245051316</v>
      </c>
      <c r="Z177" s="147">
        <f>(Z$83 * Z88) + (Z$38 * Z43) + Z139</f>
        <v>1.420689245051316</v>
      </c>
      <c r="AA177" s="147">
        <f t="shared" si="25"/>
        <v>1.420689245051316</v>
      </c>
      <c r="AB177" s="147">
        <f t="shared" si="25"/>
        <v>1.420689245051316</v>
      </c>
      <c r="AC177" s="147">
        <f t="shared" si="25"/>
        <v>1.420689245051316</v>
      </c>
      <c r="AD177" s="147">
        <f t="shared" si="25"/>
        <v>1.420689245051316</v>
      </c>
      <c r="AE177" s="147">
        <f>(AE$83 * AE88) + (AE$38 * AE43) + AE139</f>
        <v>1.420689245051316</v>
      </c>
      <c r="AF177" s="147">
        <f>(AF$83 * AF88) + (AF$38 * AF43) + AF139</f>
        <v>0.36531405483249912</v>
      </c>
      <c r="AG177" s="147">
        <f t="shared" si="25"/>
        <v>0.36531405483249912</v>
      </c>
      <c r="AH177" s="147">
        <f t="shared" si="25"/>
        <v>0.36531405483249912</v>
      </c>
      <c r="AI177" s="147">
        <f t="shared" si="25"/>
        <v>0.36531405483249912</v>
      </c>
      <c r="AJ177" s="147">
        <f t="shared" si="25"/>
        <v>0.36531405483249912</v>
      </c>
      <c r="AK177" s="147">
        <f t="shared" si="25"/>
        <v>0.36531405483249912</v>
      </c>
      <c r="AL177" s="147">
        <f t="shared" si="25"/>
        <v>0.36531405483249912</v>
      </c>
      <c r="AM177" s="147">
        <f t="shared" si="25"/>
        <v>0.36531405483249912</v>
      </c>
      <c r="AN177" s="147">
        <f t="shared" si="25"/>
        <v>0</v>
      </c>
      <c r="AO177" s="147">
        <f t="shared" si="25"/>
        <v>0</v>
      </c>
      <c r="AP177" s="147">
        <f t="shared" si="25"/>
        <v>0</v>
      </c>
      <c r="AQ177" s="147">
        <f t="shared" si="25"/>
        <v>0</v>
      </c>
    </row>
    <row r="178" spans="2:58" ht="15" customHeight="1">
      <c r="B178" s="87"/>
      <c r="E178" s="184">
        <v>33694</v>
      </c>
      <c r="G178" s="158" t="s">
        <v>844</v>
      </c>
      <c r="H178" s="147"/>
      <c r="I178" s="147">
        <f t="shared" si="24"/>
        <v>79.191656609119988</v>
      </c>
      <c r="J178" s="31" t="s">
        <v>56</v>
      </c>
      <c r="K178" s="147"/>
      <c r="L178" s="147"/>
      <c r="M178" s="147">
        <f t="shared" si="25"/>
        <v>2.3781278260996994</v>
      </c>
      <c r="N178" s="147">
        <f t="shared" si="25"/>
        <v>2.3781278260996994</v>
      </c>
      <c r="O178" s="147">
        <f t="shared" si="25"/>
        <v>2.3781278260996994</v>
      </c>
      <c r="P178" s="147">
        <f t="shared" si="25"/>
        <v>2.3781278260996994</v>
      </c>
      <c r="Q178" s="147">
        <f t="shared" si="25"/>
        <v>2.3781278260996994</v>
      </c>
      <c r="R178" s="147">
        <f t="shared" si="25"/>
        <v>2.3781278260996994</v>
      </c>
      <c r="S178" s="147">
        <f t="shared" si="25"/>
        <v>2.3781278260996994</v>
      </c>
      <c r="T178" s="147">
        <f t="shared" si="25"/>
        <v>2.3781278260996994</v>
      </c>
      <c r="U178" s="147">
        <f t="shared" si="25"/>
        <v>2.3781278260996994</v>
      </c>
      <c r="V178" s="147">
        <f t="shared" si="25"/>
        <v>2.3781278260996994</v>
      </c>
      <c r="W178" s="147">
        <f t="shared" si="25"/>
        <v>2.3781278260996994</v>
      </c>
      <c r="X178" s="147">
        <f t="shared" si="25"/>
        <v>2.3781278260996994</v>
      </c>
      <c r="Y178" s="147">
        <f t="shared" si="25"/>
        <v>5.2247468339410394</v>
      </c>
      <c r="Z178" s="147">
        <f t="shared" si="25"/>
        <v>5.2247468339410394</v>
      </c>
      <c r="AA178" s="147">
        <f t="shared" si="25"/>
        <v>5.2247468339410394</v>
      </c>
      <c r="AB178" s="147">
        <f t="shared" si="25"/>
        <v>5.2247468339410394</v>
      </c>
      <c r="AC178" s="147">
        <f t="shared" si="25"/>
        <v>5.2247468339410394</v>
      </c>
      <c r="AD178" s="147">
        <f t="shared" si="25"/>
        <v>5.2247468339410394</v>
      </c>
      <c r="AE178" s="147">
        <f t="shared" si="25"/>
        <v>5.2247468339410394</v>
      </c>
      <c r="AF178" s="147">
        <f t="shared" si="25"/>
        <v>5.2247468339410394</v>
      </c>
      <c r="AG178" s="147">
        <f t="shared" si="25"/>
        <v>1.26516400348504</v>
      </c>
      <c r="AH178" s="147">
        <f t="shared" si="25"/>
        <v>1.26516400348504</v>
      </c>
      <c r="AI178" s="147">
        <f t="shared" si="25"/>
        <v>1.26516400348504</v>
      </c>
      <c r="AJ178" s="147">
        <f t="shared" si="25"/>
        <v>1.26516400348504</v>
      </c>
      <c r="AK178" s="147">
        <f t="shared" si="25"/>
        <v>1.26516400348504</v>
      </c>
      <c r="AL178" s="147">
        <f t="shared" si="25"/>
        <v>1.26516400348504</v>
      </c>
      <c r="AM178" s="147">
        <f t="shared" si="25"/>
        <v>1.26516400348504</v>
      </c>
      <c r="AN178" s="147">
        <f t="shared" si="25"/>
        <v>0</v>
      </c>
      <c r="AO178" s="147">
        <f t="shared" si="25"/>
        <v>0</v>
      </c>
      <c r="AP178" s="147">
        <f t="shared" si="25"/>
        <v>0</v>
      </c>
      <c r="AQ178" s="147">
        <f t="shared" si="25"/>
        <v>0</v>
      </c>
      <c r="AR178" s="147">
        <f t="shared" ref="AR178:AR185" si="26">(AR$83 * AR89) + (AR$38 * AR44) + AR140</f>
        <v>0</v>
      </c>
    </row>
    <row r="179" spans="2:58" ht="15" customHeight="1">
      <c r="B179" s="87"/>
      <c r="E179" s="184">
        <v>34059</v>
      </c>
      <c r="G179" s="158" t="s">
        <v>844</v>
      </c>
      <c r="H179" s="147"/>
      <c r="I179" s="147">
        <f t="shared" si="24"/>
        <v>79.191656609119988</v>
      </c>
      <c r="J179" s="31" t="s">
        <v>56</v>
      </c>
      <c r="K179" s="147"/>
      <c r="L179" s="147"/>
      <c r="M179" s="147"/>
      <c r="N179" s="147">
        <f t="shared" si="25"/>
        <v>2.3781278260996994</v>
      </c>
      <c r="O179" s="147">
        <f t="shared" si="25"/>
        <v>2.3781278260996994</v>
      </c>
      <c r="P179" s="147">
        <f t="shared" si="25"/>
        <v>2.3781278260996994</v>
      </c>
      <c r="Q179" s="147">
        <f t="shared" si="25"/>
        <v>2.3781278260996994</v>
      </c>
      <c r="R179" s="147">
        <f t="shared" si="25"/>
        <v>2.3781278260996994</v>
      </c>
      <c r="S179" s="147">
        <f t="shared" si="25"/>
        <v>2.3781278260996994</v>
      </c>
      <c r="T179" s="147">
        <f t="shared" si="25"/>
        <v>2.3781278260996994</v>
      </c>
      <c r="U179" s="147">
        <f t="shared" si="25"/>
        <v>2.3781278260996994</v>
      </c>
      <c r="V179" s="147">
        <f t="shared" si="25"/>
        <v>2.3781278260996994</v>
      </c>
      <c r="W179" s="147">
        <f t="shared" si="25"/>
        <v>2.3781278260996994</v>
      </c>
      <c r="X179" s="147">
        <f t="shared" si="25"/>
        <v>2.3781278260996994</v>
      </c>
      <c r="Y179" s="147">
        <f t="shared" si="25"/>
        <v>5.1193165003172858</v>
      </c>
      <c r="Z179" s="147">
        <f t="shared" si="25"/>
        <v>5.1193165003172858</v>
      </c>
      <c r="AA179" s="147">
        <f t="shared" si="25"/>
        <v>5.1193165003172858</v>
      </c>
      <c r="AB179" s="147">
        <f t="shared" si="25"/>
        <v>5.1193165003172858</v>
      </c>
      <c r="AC179" s="147">
        <f t="shared" si="25"/>
        <v>5.1193165003172858</v>
      </c>
      <c r="AD179" s="147">
        <f t="shared" si="25"/>
        <v>5.1193165003172858</v>
      </c>
      <c r="AE179" s="147">
        <f t="shared" si="25"/>
        <v>5.1193165003172858</v>
      </c>
      <c r="AF179" s="147">
        <f t="shared" si="25"/>
        <v>5.1193165003172858</v>
      </c>
      <c r="AG179" s="147">
        <f t="shared" si="25"/>
        <v>5.1193165003172858</v>
      </c>
      <c r="AH179" s="147">
        <f t="shared" si="25"/>
        <v>1.1597336698612866</v>
      </c>
      <c r="AI179" s="147">
        <f t="shared" si="25"/>
        <v>1.1597336698612866</v>
      </c>
      <c r="AJ179" s="147">
        <f t="shared" si="25"/>
        <v>1.1597336698612866</v>
      </c>
      <c r="AK179" s="147">
        <f t="shared" si="25"/>
        <v>1.1597336698612866</v>
      </c>
      <c r="AL179" s="147">
        <f t="shared" si="25"/>
        <v>1.1597336698612866</v>
      </c>
      <c r="AM179" s="147">
        <f t="shared" si="25"/>
        <v>1.1597336698612866</v>
      </c>
      <c r="AN179" s="147">
        <f t="shared" si="25"/>
        <v>0</v>
      </c>
      <c r="AO179" s="147">
        <f t="shared" si="25"/>
        <v>0</v>
      </c>
      <c r="AP179" s="147">
        <f t="shared" si="25"/>
        <v>0</v>
      </c>
      <c r="AQ179" s="147">
        <f t="shared" si="25"/>
        <v>0</v>
      </c>
      <c r="AR179" s="147">
        <f t="shared" si="26"/>
        <v>0</v>
      </c>
      <c r="AS179" s="147"/>
    </row>
    <row r="180" spans="2:58" ht="15" customHeight="1">
      <c r="B180" s="87"/>
      <c r="E180" s="184">
        <v>34424</v>
      </c>
      <c r="G180" s="158" t="s">
        <v>844</v>
      </c>
      <c r="H180" s="147"/>
      <c r="I180" s="147">
        <f t="shared" si="24"/>
        <v>88.435818859211835</v>
      </c>
      <c r="J180" s="31" t="s">
        <v>56</v>
      </c>
      <c r="K180" s="147"/>
      <c r="L180" s="147"/>
      <c r="M180" s="147"/>
      <c r="N180" s="147"/>
      <c r="O180" s="147">
        <f t="shared" si="25"/>
        <v>2.6557302960724276</v>
      </c>
      <c r="P180" s="147">
        <f t="shared" si="25"/>
        <v>2.6557302960724276</v>
      </c>
      <c r="Q180" s="147">
        <f t="shared" si="25"/>
        <v>2.6557302960724276</v>
      </c>
      <c r="R180" s="147">
        <f t="shared" si="25"/>
        <v>2.6557302960724276</v>
      </c>
      <c r="S180" s="147">
        <f t="shared" si="25"/>
        <v>2.6557302960724276</v>
      </c>
      <c r="T180" s="147">
        <f t="shared" si="25"/>
        <v>2.6557302960724276</v>
      </c>
      <c r="U180" s="147">
        <f t="shared" si="25"/>
        <v>2.6557302960724276</v>
      </c>
      <c r="V180" s="147">
        <f t="shared" si="25"/>
        <v>2.6557302960724276</v>
      </c>
      <c r="W180" s="147">
        <f t="shared" si="25"/>
        <v>2.6557302960724276</v>
      </c>
      <c r="X180" s="147">
        <f t="shared" si="25"/>
        <v>2.6557302960724276</v>
      </c>
      <c r="Y180" s="147">
        <f t="shared" si="25"/>
        <v>5.5991647075527009</v>
      </c>
      <c r="Z180" s="147">
        <f t="shared" si="25"/>
        <v>5.5991647075527009</v>
      </c>
      <c r="AA180" s="147">
        <f t="shared" si="25"/>
        <v>5.5991647075527009</v>
      </c>
      <c r="AB180" s="147">
        <f t="shared" si="25"/>
        <v>5.5991647075527009</v>
      </c>
      <c r="AC180" s="147">
        <f t="shared" si="25"/>
        <v>5.5991647075527009</v>
      </c>
      <c r="AD180" s="147">
        <f t="shared" si="25"/>
        <v>5.5991647075527009</v>
      </c>
      <c r="AE180" s="147">
        <f t="shared" si="25"/>
        <v>5.5991647075527009</v>
      </c>
      <c r="AF180" s="147">
        <f t="shared" si="25"/>
        <v>5.5991647075527009</v>
      </c>
      <c r="AG180" s="147">
        <f t="shared" si="25"/>
        <v>5.5991647075527009</v>
      </c>
      <c r="AH180" s="147">
        <f t="shared" si="25"/>
        <v>5.5991647075526796</v>
      </c>
      <c r="AI180" s="147">
        <f t="shared" si="25"/>
        <v>1.1773737645921094</v>
      </c>
      <c r="AJ180" s="147">
        <f t="shared" si="25"/>
        <v>1.1773737645921094</v>
      </c>
      <c r="AK180" s="147">
        <f t="shared" si="25"/>
        <v>1.1773737645921094</v>
      </c>
      <c r="AL180" s="147">
        <f t="shared" si="25"/>
        <v>1.1773737645921094</v>
      </c>
      <c r="AM180" s="147">
        <f t="shared" si="25"/>
        <v>1.1773737645921094</v>
      </c>
      <c r="AN180" s="147">
        <f t="shared" si="25"/>
        <v>0</v>
      </c>
      <c r="AO180" s="147">
        <f t="shared" si="25"/>
        <v>0</v>
      </c>
      <c r="AP180" s="147">
        <f t="shared" si="25"/>
        <v>0</v>
      </c>
      <c r="AQ180" s="147">
        <f t="shared" si="25"/>
        <v>0</v>
      </c>
      <c r="AR180" s="147">
        <f t="shared" si="26"/>
        <v>0</v>
      </c>
      <c r="AS180" s="147"/>
      <c r="AT180" s="147"/>
    </row>
    <row r="181" spans="2:58" ht="15" customHeight="1">
      <c r="B181" s="87"/>
      <c r="E181" s="184">
        <v>34789</v>
      </c>
      <c r="G181" s="158" t="s">
        <v>844</v>
      </c>
      <c r="H181" s="147"/>
      <c r="I181" s="147">
        <f t="shared" si="24"/>
        <v>64.092858267303342</v>
      </c>
      <c r="J181" s="31" t="s">
        <v>56</v>
      </c>
      <c r="K181" s="147"/>
      <c r="L181" s="147"/>
      <c r="M181" s="147"/>
      <c r="N181" s="147"/>
      <c r="O181" s="147"/>
      <c r="P181" s="147">
        <f t="shared" si="25"/>
        <v>1.924710458477578</v>
      </c>
      <c r="Q181" s="147">
        <f t="shared" si="25"/>
        <v>1.924710458477578</v>
      </c>
      <c r="R181" s="147">
        <f t="shared" si="25"/>
        <v>1.924710458477578</v>
      </c>
      <c r="S181" s="147">
        <f t="shared" si="25"/>
        <v>1.924710458477578</v>
      </c>
      <c r="T181" s="147">
        <f t="shared" si="25"/>
        <v>1.924710458477578</v>
      </c>
      <c r="U181" s="147">
        <f t="shared" si="25"/>
        <v>1.924710458477578</v>
      </c>
      <c r="V181" s="147">
        <f t="shared" si="25"/>
        <v>1.924710458477578</v>
      </c>
      <c r="W181" s="147">
        <f t="shared" si="25"/>
        <v>1.924710458477578</v>
      </c>
      <c r="X181" s="147">
        <f t="shared" si="25"/>
        <v>1.924710458477578</v>
      </c>
      <c r="Y181" s="147">
        <f t="shared" si="25"/>
        <v>3.9726023862977202</v>
      </c>
      <c r="Z181" s="147">
        <f t="shared" si="25"/>
        <v>3.9726023862977202</v>
      </c>
      <c r="AA181" s="147">
        <f t="shared" si="25"/>
        <v>3.9726023862977202</v>
      </c>
      <c r="AB181" s="147">
        <f t="shared" si="25"/>
        <v>3.9726023862977202</v>
      </c>
      <c r="AC181" s="147">
        <f t="shared" si="25"/>
        <v>3.9726023862977202</v>
      </c>
      <c r="AD181" s="147">
        <f t="shared" si="25"/>
        <v>3.9726023862977202</v>
      </c>
      <c r="AE181" s="147">
        <f t="shared" si="25"/>
        <v>3.9726023862977202</v>
      </c>
      <c r="AF181" s="147">
        <f t="shared" si="25"/>
        <v>3.9726023862977202</v>
      </c>
      <c r="AG181" s="147">
        <f t="shared" si="25"/>
        <v>3.9726023862977202</v>
      </c>
      <c r="AH181" s="147">
        <f t="shared" si="25"/>
        <v>3.9726023862977202</v>
      </c>
      <c r="AI181" s="147">
        <f t="shared" si="25"/>
        <v>3.9726023862976945</v>
      </c>
      <c r="AJ181" s="147">
        <f t="shared" si="25"/>
        <v>0.76795947293255318</v>
      </c>
      <c r="AK181" s="147">
        <f t="shared" si="25"/>
        <v>0.76795947293255318</v>
      </c>
      <c r="AL181" s="147">
        <f t="shared" si="25"/>
        <v>0.76795947293255318</v>
      </c>
      <c r="AM181" s="147">
        <f t="shared" si="25"/>
        <v>0.76795947293255318</v>
      </c>
      <c r="AN181" s="147">
        <f t="shared" si="25"/>
        <v>0</v>
      </c>
      <c r="AO181" s="147">
        <f t="shared" si="25"/>
        <v>0</v>
      </c>
      <c r="AP181" s="147">
        <f t="shared" si="25"/>
        <v>0</v>
      </c>
      <c r="AQ181" s="147">
        <f t="shared" si="25"/>
        <v>0</v>
      </c>
      <c r="AR181" s="147">
        <f t="shared" si="26"/>
        <v>0</v>
      </c>
      <c r="AS181" s="147"/>
      <c r="AT181" s="147"/>
      <c r="AU181" s="147"/>
    </row>
    <row r="182" spans="2:58" ht="15" customHeight="1">
      <c r="B182" s="87"/>
      <c r="E182" s="184">
        <v>35155</v>
      </c>
      <c r="G182" s="158" t="s">
        <v>844</v>
      </c>
      <c r="H182" s="147"/>
      <c r="I182" s="147">
        <f t="shared" si="24"/>
        <v>49.148129296321557</v>
      </c>
      <c r="J182" s="31" t="s">
        <v>56</v>
      </c>
      <c r="K182" s="147"/>
      <c r="L182" s="147"/>
      <c r="M182" s="147"/>
      <c r="N182" s="147"/>
      <c r="O182" s="147"/>
      <c r="P182" s="147"/>
      <c r="Q182" s="147">
        <f t="shared" si="25"/>
        <v>1.4759197986883352</v>
      </c>
      <c r="R182" s="147">
        <f t="shared" si="25"/>
        <v>1.4759197986883352</v>
      </c>
      <c r="S182" s="147">
        <f t="shared" si="25"/>
        <v>1.4759197986883352</v>
      </c>
      <c r="T182" s="147">
        <f t="shared" si="25"/>
        <v>1.4759197986883352</v>
      </c>
      <c r="U182" s="147">
        <f t="shared" si="25"/>
        <v>1.4759197986883352</v>
      </c>
      <c r="V182" s="147">
        <f t="shared" si="25"/>
        <v>1.4759197986883352</v>
      </c>
      <c r="W182" s="147">
        <f t="shared" si="25"/>
        <v>1.4759197986883352</v>
      </c>
      <c r="X182" s="147">
        <f t="shared" si="25"/>
        <v>1.4759197986883352</v>
      </c>
      <c r="Y182" s="147">
        <f t="shared" si="25"/>
        <v>2.980866020084207</v>
      </c>
      <c r="Z182" s="147">
        <f t="shared" si="25"/>
        <v>2.980866020084207</v>
      </c>
      <c r="AA182" s="147">
        <f t="shared" si="25"/>
        <v>2.980866020084207</v>
      </c>
      <c r="AB182" s="147">
        <f t="shared" si="25"/>
        <v>2.980866020084207</v>
      </c>
      <c r="AC182" s="147">
        <f t="shared" si="25"/>
        <v>2.980866020084207</v>
      </c>
      <c r="AD182" s="147">
        <f t="shared" si="25"/>
        <v>2.980866020084207</v>
      </c>
      <c r="AE182" s="147">
        <f t="shared" si="25"/>
        <v>2.980866020084207</v>
      </c>
      <c r="AF182" s="147">
        <f t="shared" si="25"/>
        <v>2.980866020084207</v>
      </c>
      <c r="AG182" s="147">
        <f t="shared" si="25"/>
        <v>2.980866020084207</v>
      </c>
      <c r="AH182" s="147">
        <f t="shared" si="25"/>
        <v>2.980866020084207</v>
      </c>
      <c r="AI182" s="147">
        <f t="shared" si="25"/>
        <v>2.980866020084207</v>
      </c>
      <c r="AJ182" s="147">
        <f t="shared" si="25"/>
        <v>2.980866020084207</v>
      </c>
      <c r="AK182" s="147">
        <f t="shared" si="25"/>
        <v>0.52345955526814358</v>
      </c>
      <c r="AL182" s="147">
        <f t="shared" si="25"/>
        <v>0.52345955526812937</v>
      </c>
      <c r="AM182" s="147">
        <f t="shared" si="25"/>
        <v>0.52345955526812937</v>
      </c>
      <c r="AN182" s="147">
        <f t="shared" si="25"/>
        <v>0</v>
      </c>
      <c r="AO182" s="147">
        <f t="shared" si="25"/>
        <v>0</v>
      </c>
      <c r="AP182" s="147">
        <f t="shared" si="25"/>
        <v>0</v>
      </c>
      <c r="AQ182" s="147">
        <f t="shared" si="25"/>
        <v>0</v>
      </c>
      <c r="AR182" s="147">
        <f t="shared" si="26"/>
        <v>0</v>
      </c>
      <c r="AS182" s="147"/>
      <c r="AT182" s="147"/>
      <c r="AU182" s="147"/>
      <c r="AV182" s="147"/>
    </row>
    <row r="183" spans="2:58" ht="15" customHeight="1">
      <c r="B183" s="87"/>
      <c r="E183" s="184">
        <v>35520</v>
      </c>
      <c r="G183" s="158" t="s">
        <v>844</v>
      </c>
      <c r="H183" s="147"/>
      <c r="I183" s="147">
        <f t="shared" si="24"/>
        <v>62.860303300624423</v>
      </c>
      <c r="J183" s="31" t="s">
        <v>56</v>
      </c>
      <c r="K183" s="147"/>
      <c r="L183" s="147"/>
      <c r="M183" s="147"/>
      <c r="N183" s="147"/>
      <c r="O183" s="147"/>
      <c r="P183" s="147"/>
      <c r="Q183" s="147"/>
      <c r="R183" s="147">
        <f t="shared" si="25"/>
        <v>1.8876967958145474</v>
      </c>
      <c r="S183" s="147">
        <f t="shared" si="25"/>
        <v>1.8876967958145474</v>
      </c>
      <c r="T183" s="147">
        <f t="shared" si="25"/>
        <v>1.8876967958145474</v>
      </c>
      <c r="U183" s="147">
        <f t="shared" si="25"/>
        <v>1.8876967958145474</v>
      </c>
      <c r="V183" s="147">
        <f t="shared" si="25"/>
        <v>1.8876967958145474</v>
      </c>
      <c r="W183" s="147">
        <f t="shared" si="25"/>
        <v>1.8876967958145474</v>
      </c>
      <c r="X183" s="147">
        <f t="shared" si="25"/>
        <v>1.8876967958145474</v>
      </c>
      <c r="Y183" s="147">
        <f t="shared" si="25"/>
        <v>3.7288304039990026</v>
      </c>
      <c r="Z183" s="147">
        <f t="shared" si="25"/>
        <v>3.7288304039990026</v>
      </c>
      <c r="AA183" s="147">
        <f t="shared" si="25"/>
        <v>3.7288304039990026</v>
      </c>
      <c r="AB183" s="147">
        <f t="shared" si="25"/>
        <v>3.7288304039990026</v>
      </c>
      <c r="AC183" s="147">
        <f t="shared" si="25"/>
        <v>3.7288304039990026</v>
      </c>
      <c r="AD183" s="147">
        <f t="shared" si="25"/>
        <v>3.7288304039990026</v>
      </c>
      <c r="AE183" s="147">
        <f t="shared" si="25"/>
        <v>3.7288304039990026</v>
      </c>
      <c r="AF183" s="147">
        <f t="shared" si="25"/>
        <v>3.7288304039990026</v>
      </c>
      <c r="AG183" s="147">
        <f t="shared" si="25"/>
        <v>3.7288304039990026</v>
      </c>
      <c r="AH183" s="147">
        <f t="shared" si="25"/>
        <v>3.7288304039990026</v>
      </c>
      <c r="AI183" s="147">
        <f t="shared" si="25"/>
        <v>3.7288304039990026</v>
      </c>
      <c r="AJ183" s="147">
        <f t="shared" si="25"/>
        <v>3.7288304039990026</v>
      </c>
      <c r="AK183" s="147">
        <f t="shared" si="25"/>
        <v>3.7288304039989826</v>
      </c>
      <c r="AL183" s="147">
        <f t="shared" si="25"/>
        <v>0.58581523896778132</v>
      </c>
      <c r="AM183" s="147">
        <f t="shared" si="25"/>
        <v>0.58581523896778132</v>
      </c>
      <c r="AN183" s="147">
        <f t="shared" si="25"/>
        <v>0</v>
      </c>
      <c r="AO183" s="147">
        <f t="shared" si="25"/>
        <v>0</v>
      </c>
      <c r="AP183" s="147">
        <f t="shared" si="25"/>
        <v>0</v>
      </c>
      <c r="AQ183" s="147">
        <f t="shared" si="25"/>
        <v>0</v>
      </c>
      <c r="AR183" s="147">
        <f t="shared" si="26"/>
        <v>0</v>
      </c>
      <c r="AS183" s="147"/>
      <c r="AT183" s="147"/>
      <c r="AU183" s="147"/>
      <c r="AV183" s="147"/>
      <c r="AW183" s="147"/>
    </row>
    <row r="184" spans="2:58" ht="15" customHeight="1">
      <c r="B184" s="87"/>
      <c r="E184" s="184">
        <v>35885</v>
      </c>
      <c r="G184" s="158" t="s">
        <v>844</v>
      </c>
      <c r="H184" s="147"/>
      <c r="I184" s="147">
        <f t="shared" si="24"/>
        <v>44.371978800440779</v>
      </c>
      <c r="J184" s="31" t="s">
        <v>56</v>
      </c>
      <c r="K184" s="147"/>
      <c r="L184" s="147"/>
      <c r="M184" s="147"/>
      <c r="N184" s="147"/>
      <c r="O184" s="147"/>
      <c r="P184" s="147"/>
      <c r="Q184" s="147"/>
      <c r="R184" s="147"/>
      <c r="S184" s="147">
        <f t="shared" si="25"/>
        <v>1.3324918558690926</v>
      </c>
      <c r="T184" s="147">
        <f t="shared" si="25"/>
        <v>1.3324918558690926</v>
      </c>
      <c r="U184" s="147">
        <f t="shared" si="25"/>
        <v>1.3324918558690926</v>
      </c>
      <c r="V184" s="147">
        <f t="shared" si="25"/>
        <v>1.3324918558690926</v>
      </c>
      <c r="W184" s="147">
        <f t="shared" si="25"/>
        <v>1.3324918558690926</v>
      </c>
      <c r="X184" s="147">
        <f t="shared" si="25"/>
        <v>1.3324918558690926</v>
      </c>
      <c r="Y184" s="147">
        <f t="shared" si="25"/>
        <v>2.5730417736832174</v>
      </c>
      <c r="Z184" s="147">
        <f t="shared" si="25"/>
        <v>2.5730417736832174</v>
      </c>
      <c r="AA184" s="147">
        <f t="shared" si="25"/>
        <v>2.5730417736832174</v>
      </c>
      <c r="AB184" s="147">
        <f t="shared" si="25"/>
        <v>2.5730417736832174</v>
      </c>
      <c r="AC184" s="147">
        <f t="shared" si="25"/>
        <v>2.5730417736832174</v>
      </c>
      <c r="AD184" s="147">
        <f t="shared" si="25"/>
        <v>2.5730417736832174</v>
      </c>
      <c r="AE184" s="147">
        <f t="shared" si="25"/>
        <v>2.5730417736832174</v>
      </c>
      <c r="AF184" s="147">
        <f t="shared" si="25"/>
        <v>2.5730417736832174</v>
      </c>
      <c r="AG184" s="147">
        <f t="shared" si="25"/>
        <v>2.5730417736832174</v>
      </c>
      <c r="AH184" s="147">
        <f t="shared" si="25"/>
        <v>2.5730417736832174</v>
      </c>
      <c r="AI184" s="147">
        <f t="shared" si="25"/>
        <v>2.5730417736832174</v>
      </c>
      <c r="AJ184" s="147">
        <f t="shared" si="25"/>
        <v>2.5730417736832174</v>
      </c>
      <c r="AK184" s="147">
        <f t="shared" si="25"/>
        <v>2.5730417736832174</v>
      </c>
      <c r="AL184" s="147">
        <f t="shared" si="25"/>
        <v>2.5730417736831979</v>
      </c>
      <c r="AM184" s="147">
        <f t="shared" si="25"/>
        <v>0.35444283366117862</v>
      </c>
      <c r="AN184" s="147">
        <f t="shared" si="25"/>
        <v>0</v>
      </c>
      <c r="AO184" s="147">
        <f t="shared" si="25"/>
        <v>0</v>
      </c>
      <c r="AP184" s="147">
        <f t="shared" si="25"/>
        <v>0</v>
      </c>
      <c r="AQ184" s="147">
        <f t="shared" si="25"/>
        <v>0</v>
      </c>
      <c r="AR184" s="147">
        <f t="shared" si="26"/>
        <v>0</v>
      </c>
      <c r="AS184" s="147"/>
      <c r="AT184" s="147"/>
      <c r="AU184" s="147"/>
      <c r="AV184" s="147"/>
      <c r="AW184" s="147"/>
      <c r="AX184" s="147"/>
    </row>
    <row r="185" spans="2:58" ht="15" customHeight="1">
      <c r="B185" s="87"/>
      <c r="E185" s="184">
        <v>36250</v>
      </c>
      <c r="G185" s="158" t="s">
        <v>844</v>
      </c>
      <c r="H185" s="147"/>
      <c r="I185" s="147">
        <f t="shared" si="24"/>
        <v>63.649615795633814</v>
      </c>
      <c r="J185" s="31" t="s">
        <v>56</v>
      </c>
      <c r="K185" s="147"/>
      <c r="L185" s="147"/>
      <c r="M185" s="147"/>
      <c r="N185" s="147"/>
      <c r="O185" s="147"/>
      <c r="P185" s="147"/>
      <c r="Q185" s="147"/>
      <c r="R185" s="147"/>
      <c r="S185" s="147"/>
      <c r="T185" s="147">
        <f t="shared" si="25"/>
        <v>1.9113998737427573</v>
      </c>
      <c r="U185" s="147">
        <f t="shared" si="25"/>
        <v>1.9113998737427573</v>
      </c>
      <c r="V185" s="147">
        <f t="shared" si="25"/>
        <v>1.9113998737427573</v>
      </c>
      <c r="W185" s="147">
        <f t="shared" si="25"/>
        <v>1.9113998737427573</v>
      </c>
      <c r="X185" s="147">
        <f t="shared" si="25"/>
        <v>1.9113998737427573</v>
      </c>
      <c r="Y185" s="147">
        <f t="shared" si="25"/>
        <v>3.6061744284613351</v>
      </c>
      <c r="Z185" s="147">
        <f t="shared" si="25"/>
        <v>3.6061744284613351</v>
      </c>
      <c r="AA185" s="147">
        <f t="shared" si="25"/>
        <v>3.6061744284613351</v>
      </c>
      <c r="AB185" s="147">
        <f t="shared" si="25"/>
        <v>3.6061744284613351</v>
      </c>
      <c r="AC185" s="147">
        <f t="shared" si="25"/>
        <v>3.6061744284613351</v>
      </c>
      <c r="AD185" s="147">
        <f t="shared" si="25"/>
        <v>3.6061744284613351</v>
      </c>
      <c r="AE185" s="147">
        <f t="shared" si="25"/>
        <v>3.6061744284613351</v>
      </c>
      <c r="AF185" s="147">
        <f t="shared" si="25"/>
        <v>3.6061744284613351</v>
      </c>
      <c r="AG185" s="147">
        <f t="shared" si="25"/>
        <v>3.6061744284613351</v>
      </c>
      <c r="AH185" s="147">
        <f t="shared" si="25"/>
        <v>3.6061744284613351</v>
      </c>
      <c r="AI185" s="147">
        <f t="shared" si="25"/>
        <v>3.6061744284613351</v>
      </c>
      <c r="AJ185" s="147">
        <f t="shared" si="25"/>
        <v>3.6061744284613351</v>
      </c>
      <c r="AK185" s="147">
        <f t="shared" si="25"/>
        <v>3.6061744284613351</v>
      </c>
      <c r="AL185" s="147">
        <f t="shared" si="25"/>
        <v>3.6061744284613351</v>
      </c>
      <c r="AM185" s="147">
        <f t="shared" si="25"/>
        <v>3.6061744284613155</v>
      </c>
      <c r="AN185" s="147">
        <f t="shared" si="25"/>
        <v>0</v>
      </c>
      <c r="AO185" s="147">
        <f t="shared" si="25"/>
        <v>0</v>
      </c>
      <c r="AP185" s="147">
        <f t="shared" si="25"/>
        <v>0</v>
      </c>
      <c r="AQ185" s="147">
        <f t="shared" si="25"/>
        <v>0</v>
      </c>
      <c r="AR185" s="147">
        <f t="shared" si="26"/>
        <v>0</v>
      </c>
      <c r="AS185" s="147"/>
      <c r="AT185" s="147"/>
      <c r="AU185" s="147"/>
      <c r="AV185" s="147"/>
      <c r="AW185" s="147"/>
      <c r="AX185" s="147"/>
      <c r="AY185" s="147"/>
    </row>
    <row r="186" spans="2:58" ht="15" customHeight="1">
      <c r="B186" s="87"/>
      <c r="E186" s="184">
        <v>36616</v>
      </c>
      <c r="G186" s="158" t="s">
        <v>844</v>
      </c>
      <c r="H186" s="147"/>
      <c r="I186" s="147">
        <f t="shared" si="24"/>
        <v>59.863375413285262</v>
      </c>
      <c r="J186" s="31" t="s">
        <v>56</v>
      </c>
      <c r="K186" s="147"/>
      <c r="L186" s="147"/>
      <c r="M186" s="147"/>
      <c r="N186" s="147"/>
      <c r="O186" s="147"/>
      <c r="P186" s="147"/>
      <c r="Q186" s="147"/>
      <c r="R186" s="147"/>
      <c r="S186" s="147"/>
      <c r="T186" s="147"/>
      <c r="U186" s="147">
        <f t="shared" si="25"/>
        <v>1.7976989613599179</v>
      </c>
      <c r="V186" s="147">
        <f t="shared" si="25"/>
        <v>1.7976989613599179</v>
      </c>
      <c r="W186" s="147">
        <f t="shared" si="25"/>
        <v>1.7976989613599179</v>
      </c>
      <c r="X186" s="147">
        <f t="shared" ref="X186:AR186" si="27">(X$83 * X97) + (X$38 * X52) + X148</f>
        <v>1.7976989613599179</v>
      </c>
      <c r="Y186" s="147">
        <f t="shared" si="27"/>
        <v>3.3119607198120882</v>
      </c>
      <c r="Z186" s="147">
        <f t="shared" si="27"/>
        <v>3.3119607198120882</v>
      </c>
      <c r="AA186" s="147">
        <f t="shared" si="27"/>
        <v>3.3119607198120882</v>
      </c>
      <c r="AB186" s="147">
        <f t="shared" si="27"/>
        <v>3.3119607198120882</v>
      </c>
      <c r="AC186" s="147">
        <f t="shared" si="27"/>
        <v>3.3119607198120882</v>
      </c>
      <c r="AD186" s="147">
        <f t="shared" si="27"/>
        <v>3.3119607198120882</v>
      </c>
      <c r="AE186" s="147">
        <f t="shared" si="27"/>
        <v>3.3119607198120882</v>
      </c>
      <c r="AF186" s="147">
        <f t="shared" si="27"/>
        <v>3.3119607198120882</v>
      </c>
      <c r="AG186" s="147">
        <f t="shared" si="27"/>
        <v>3.3119607198120882</v>
      </c>
      <c r="AH186" s="147">
        <f t="shared" si="27"/>
        <v>3.3119607198120882</v>
      </c>
      <c r="AI186" s="147">
        <f t="shared" si="27"/>
        <v>3.3119607198120882</v>
      </c>
      <c r="AJ186" s="147">
        <f t="shared" si="27"/>
        <v>3.3119607198120882</v>
      </c>
      <c r="AK186" s="147">
        <f t="shared" si="27"/>
        <v>3.3119607198120882</v>
      </c>
      <c r="AL186" s="147">
        <f t="shared" si="27"/>
        <v>3.3119607198120882</v>
      </c>
      <c r="AM186" s="147">
        <f t="shared" si="27"/>
        <v>3.3119607198120882</v>
      </c>
      <c r="AN186" s="147">
        <f t="shared" si="27"/>
        <v>2.9931687706642629</v>
      </c>
      <c r="AO186" s="147">
        <f t="shared" si="27"/>
        <v>1.4210854715202004E-14</v>
      </c>
      <c r="AP186" s="147">
        <f t="shared" si="27"/>
        <v>0</v>
      </c>
      <c r="AQ186" s="147">
        <f t="shared" si="27"/>
        <v>0</v>
      </c>
      <c r="AR186" s="147">
        <f t="shared" si="27"/>
        <v>0</v>
      </c>
      <c r="AS186" s="147"/>
      <c r="AT186" s="147"/>
      <c r="AU186" s="147"/>
      <c r="AV186" s="147"/>
      <c r="AW186" s="147"/>
      <c r="AX186" s="147"/>
      <c r="AY186" s="147"/>
      <c r="AZ186" s="147"/>
    </row>
    <row r="187" spans="2:58" ht="15" customHeight="1">
      <c r="B187" s="87"/>
      <c r="E187" s="184">
        <v>36981</v>
      </c>
      <c r="G187" s="158" t="s">
        <v>844</v>
      </c>
      <c r="H187" s="147"/>
      <c r="I187" s="147">
        <f t="shared" si="24"/>
        <v>75.409125401303626</v>
      </c>
      <c r="J187" s="31" t="s">
        <v>56</v>
      </c>
      <c r="K187" s="147"/>
      <c r="L187" s="147"/>
      <c r="M187" s="147"/>
      <c r="N187" s="147"/>
      <c r="O187" s="147"/>
      <c r="P187" s="147"/>
      <c r="Q187" s="147"/>
      <c r="R187" s="147"/>
      <c r="S187" s="147"/>
      <c r="T187" s="147"/>
      <c r="U187" s="147"/>
      <c r="V187" s="147">
        <f t="shared" ref="V187:AR196" si="28">(V$83 * V98) + (V$38 * V53) + V149</f>
        <v>2.2645383003394484</v>
      </c>
      <c r="W187" s="147">
        <f t="shared" si="28"/>
        <v>2.2645383003394484</v>
      </c>
      <c r="X187" s="147">
        <f t="shared" si="28"/>
        <v>2.2645383003394484</v>
      </c>
      <c r="Y187" s="147">
        <f t="shared" si="28"/>
        <v>4.0716398640103275</v>
      </c>
      <c r="Z187" s="147">
        <f t="shared" si="28"/>
        <v>4.0716398640103275</v>
      </c>
      <c r="AA187" s="147">
        <f t="shared" si="28"/>
        <v>4.0716398640103275</v>
      </c>
      <c r="AB187" s="147">
        <f t="shared" si="28"/>
        <v>4.0716398640103275</v>
      </c>
      <c r="AC187" s="147">
        <f t="shared" si="28"/>
        <v>4.0716398640103275</v>
      </c>
      <c r="AD187" s="147">
        <f t="shared" si="28"/>
        <v>4.0716398640103275</v>
      </c>
      <c r="AE187" s="147">
        <f t="shared" si="28"/>
        <v>4.0716398640103275</v>
      </c>
      <c r="AF187" s="147">
        <f t="shared" si="28"/>
        <v>4.0716398640103275</v>
      </c>
      <c r="AG187" s="147">
        <f t="shared" si="28"/>
        <v>4.0716398640103275</v>
      </c>
      <c r="AH187" s="147">
        <f t="shared" si="28"/>
        <v>4.0716398640103275</v>
      </c>
      <c r="AI187" s="147">
        <f t="shared" si="28"/>
        <v>4.0716398640103275</v>
      </c>
      <c r="AJ187" s="147">
        <f t="shared" si="28"/>
        <v>4.0716398640103275</v>
      </c>
      <c r="AK187" s="147">
        <f t="shared" si="28"/>
        <v>4.0716398640103275</v>
      </c>
      <c r="AL187" s="147">
        <f t="shared" si="28"/>
        <v>4.0716398640103275</v>
      </c>
      <c r="AM187" s="147">
        <f t="shared" si="28"/>
        <v>4.0716398640103275</v>
      </c>
      <c r="AN187" s="147">
        <f t="shared" si="28"/>
        <v>3.7704562700651811</v>
      </c>
      <c r="AO187" s="147">
        <f>(AO$83 * AO98) + (AO$38 * AO53) + AO149</f>
        <v>3.7704562700651811</v>
      </c>
      <c r="AP187" s="147">
        <f>(AP$83 * AP98) + (AP$38 * AP53) + AP149</f>
        <v>0</v>
      </c>
      <c r="AQ187" s="147">
        <f t="shared" si="28"/>
        <v>0</v>
      </c>
      <c r="AR187" s="147">
        <f t="shared" si="28"/>
        <v>0</v>
      </c>
      <c r="AS187" s="147"/>
      <c r="AT187" s="147"/>
      <c r="AU187" s="147"/>
      <c r="AV187" s="147"/>
      <c r="AW187" s="147"/>
      <c r="AX187" s="147"/>
      <c r="AY187" s="147"/>
      <c r="AZ187" s="147"/>
      <c r="BA187" s="147"/>
    </row>
    <row r="188" spans="2:58" ht="15" customHeight="1">
      <c r="B188" s="87"/>
      <c r="E188" s="184">
        <v>37346</v>
      </c>
      <c r="G188" s="158" t="s">
        <v>844</v>
      </c>
      <c r="H188" s="147"/>
      <c r="I188" s="147">
        <f t="shared" si="24"/>
        <v>103.78739782668701</v>
      </c>
      <c r="J188" s="31" t="s">
        <v>56</v>
      </c>
      <c r="K188" s="147"/>
      <c r="L188" s="147"/>
      <c r="M188" s="147"/>
      <c r="N188" s="147"/>
      <c r="O188" s="147"/>
      <c r="P188" s="147"/>
      <c r="Q188" s="147"/>
      <c r="R188" s="147"/>
      <c r="S188" s="147"/>
      <c r="T188" s="147"/>
      <c r="U188" s="147"/>
      <c r="V188" s="147"/>
      <c r="W188" s="147">
        <f t="shared" si="28"/>
        <v>3.1167386734740847</v>
      </c>
      <c r="X188" s="147">
        <f t="shared" si="28"/>
        <v>3.1167386734740847</v>
      </c>
      <c r="Y188" s="147">
        <f t="shared" si="28"/>
        <v>5.4657207203823859</v>
      </c>
      <c r="Z188" s="147">
        <f t="shared" si="28"/>
        <v>5.4657207203823859</v>
      </c>
      <c r="AA188" s="147">
        <f t="shared" si="28"/>
        <v>5.4657207203823859</v>
      </c>
      <c r="AB188" s="147">
        <f t="shared" si="28"/>
        <v>5.4657207203823859</v>
      </c>
      <c r="AC188" s="147">
        <f t="shared" si="28"/>
        <v>5.4657207203823859</v>
      </c>
      <c r="AD188" s="147">
        <f t="shared" si="28"/>
        <v>5.4657207203823859</v>
      </c>
      <c r="AE188" s="147">
        <f t="shared" si="28"/>
        <v>5.4657207203823859</v>
      </c>
      <c r="AF188" s="147">
        <f t="shared" si="28"/>
        <v>5.4657207203823859</v>
      </c>
      <c r="AG188" s="147">
        <f t="shared" si="28"/>
        <v>5.4657207203823859</v>
      </c>
      <c r="AH188" s="147">
        <f t="shared" si="28"/>
        <v>5.4657207203823859</v>
      </c>
      <c r="AI188" s="147">
        <f t="shared" si="28"/>
        <v>5.4657207203823859</v>
      </c>
      <c r="AJ188" s="147">
        <f t="shared" si="28"/>
        <v>5.4657207203823859</v>
      </c>
      <c r="AK188" s="147">
        <f t="shared" si="28"/>
        <v>5.4657207203823859</v>
      </c>
      <c r="AL188" s="147">
        <f t="shared" si="28"/>
        <v>5.4657207203823859</v>
      </c>
      <c r="AM188" s="147">
        <f t="shared" si="28"/>
        <v>5.4657207203823859</v>
      </c>
      <c r="AN188" s="147">
        <f t="shared" si="28"/>
        <v>5.1893698913343504</v>
      </c>
      <c r="AO188" s="147">
        <f t="shared" si="28"/>
        <v>5.1893698913343504</v>
      </c>
      <c r="AP188" s="147">
        <f t="shared" si="28"/>
        <v>5.1893698913343504</v>
      </c>
      <c r="AQ188" s="147">
        <f t="shared" si="28"/>
        <v>0</v>
      </c>
      <c r="AR188" s="147">
        <f t="shared" si="28"/>
        <v>0</v>
      </c>
      <c r="AS188" s="147"/>
      <c r="AT188" s="147"/>
      <c r="AU188" s="147"/>
      <c r="AV188" s="147"/>
      <c r="AW188" s="147"/>
      <c r="AX188" s="147"/>
      <c r="AY188" s="147"/>
      <c r="AZ188" s="147"/>
      <c r="BA188" s="147"/>
      <c r="BB188" s="147"/>
    </row>
    <row r="189" spans="2:58" ht="15" customHeight="1">
      <c r="B189" s="87"/>
      <c r="E189" s="184">
        <v>37711</v>
      </c>
      <c r="G189" s="158" t="s">
        <v>844</v>
      </c>
      <c r="H189" s="147"/>
      <c r="I189" s="147">
        <f t="shared" si="24"/>
        <v>96.620140606251795</v>
      </c>
      <c r="J189" s="31" t="s">
        <v>56</v>
      </c>
      <c r="K189" s="147"/>
      <c r="L189" s="147"/>
      <c r="M189" s="147"/>
      <c r="N189" s="147"/>
      <c r="O189" s="147"/>
      <c r="P189" s="147"/>
      <c r="Q189" s="147"/>
      <c r="R189" s="147"/>
      <c r="S189" s="147"/>
      <c r="T189" s="147"/>
      <c r="U189" s="147"/>
      <c r="V189" s="147"/>
      <c r="W189" s="147"/>
      <c r="X189" s="147">
        <f t="shared" si="28"/>
        <v>2.9015057239114657</v>
      </c>
      <c r="Y189" s="147">
        <f t="shared" si="28"/>
        <v>4.9596404507393306</v>
      </c>
      <c r="Z189" s="147">
        <f t="shared" si="28"/>
        <v>4.9596404507393306</v>
      </c>
      <c r="AA189" s="147">
        <f t="shared" si="28"/>
        <v>4.9596404507393306</v>
      </c>
      <c r="AB189" s="147">
        <f t="shared" si="28"/>
        <v>4.9596404507393306</v>
      </c>
      <c r="AC189" s="147">
        <f t="shared" si="28"/>
        <v>4.9596404507393306</v>
      </c>
      <c r="AD189" s="147">
        <f t="shared" si="28"/>
        <v>4.9596404507393306</v>
      </c>
      <c r="AE189" s="147">
        <f t="shared" si="28"/>
        <v>4.9596404507393306</v>
      </c>
      <c r="AF189" s="147">
        <f t="shared" si="28"/>
        <v>4.9596404507393306</v>
      </c>
      <c r="AG189" s="147">
        <f t="shared" si="28"/>
        <v>4.9596404507393306</v>
      </c>
      <c r="AH189" s="147">
        <f t="shared" si="28"/>
        <v>4.9596404507393306</v>
      </c>
      <c r="AI189" s="147">
        <f t="shared" si="28"/>
        <v>4.9596404507393306</v>
      </c>
      <c r="AJ189" s="147">
        <f t="shared" si="28"/>
        <v>4.9596404507393306</v>
      </c>
      <c r="AK189" s="147">
        <f t="shared" si="28"/>
        <v>4.9596404507393306</v>
      </c>
      <c r="AL189" s="147">
        <f t="shared" si="28"/>
        <v>4.9596404507393306</v>
      </c>
      <c r="AM189" s="147">
        <f t="shared" si="28"/>
        <v>4.9596404507393306</v>
      </c>
      <c r="AN189" s="147">
        <f t="shared" si="28"/>
        <v>4.8310070303125894</v>
      </c>
      <c r="AO189" s="147">
        <f t="shared" si="28"/>
        <v>4.8310070303125894</v>
      </c>
      <c r="AP189" s="147">
        <f t="shared" si="28"/>
        <v>4.8310070303125894</v>
      </c>
      <c r="AQ189" s="147">
        <f t="shared" si="28"/>
        <v>4.8310070303125769</v>
      </c>
      <c r="AR189" s="147">
        <f t="shared" si="28"/>
        <v>0</v>
      </c>
      <c r="AS189" s="147"/>
      <c r="AT189" s="147"/>
      <c r="AU189" s="147"/>
      <c r="AV189" s="147"/>
      <c r="AW189" s="147"/>
      <c r="AX189" s="147"/>
      <c r="AY189" s="147"/>
      <c r="AZ189" s="147"/>
      <c r="BA189" s="147"/>
      <c r="BB189" s="147"/>
      <c r="BC189" s="147"/>
    </row>
    <row r="190" spans="2:58" ht="15" customHeight="1">
      <c r="B190" s="87"/>
      <c r="E190" s="184">
        <v>38077</v>
      </c>
      <c r="G190" s="158" t="s">
        <v>844</v>
      </c>
      <c r="H190" s="147"/>
      <c r="I190" s="147">
        <f t="shared" si="24"/>
        <v>99.090190437046175</v>
      </c>
      <c r="J190" s="31" t="s">
        <v>56</v>
      </c>
      <c r="K190" s="147"/>
      <c r="L190" s="147"/>
      <c r="M190" s="147"/>
      <c r="N190" s="147"/>
      <c r="O190" s="147"/>
      <c r="P190" s="147"/>
      <c r="Q190" s="147"/>
      <c r="R190" s="147"/>
      <c r="S190" s="147"/>
      <c r="T190" s="147"/>
      <c r="U190" s="147"/>
      <c r="V190" s="147"/>
      <c r="W190" s="147"/>
      <c r="X190" s="147"/>
      <c r="Y190" s="147">
        <f t="shared" si="28"/>
        <v>4.9545095218523088</v>
      </c>
      <c r="Z190" s="147">
        <f t="shared" si="28"/>
        <v>4.9545095218523088</v>
      </c>
      <c r="AA190" s="147">
        <f t="shared" si="28"/>
        <v>4.9545095218523088</v>
      </c>
      <c r="AB190" s="147">
        <f t="shared" si="28"/>
        <v>4.9545095218523088</v>
      </c>
      <c r="AC190" s="147">
        <f t="shared" si="28"/>
        <v>4.9545095218523088</v>
      </c>
      <c r="AD190" s="147">
        <f t="shared" si="28"/>
        <v>4.9545095218523088</v>
      </c>
      <c r="AE190" s="147">
        <f t="shared" si="28"/>
        <v>4.9545095218523088</v>
      </c>
      <c r="AF190" s="147">
        <f t="shared" si="28"/>
        <v>4.9545095218523088</v>
      </c>
      <c r="AG190" s="147">
        <f t="shared" si="28"/>
        <v>4.9545095218523088</v>
      </c>
      <c r="AH190" s="147">
        <f t="shared" si="28"/>
        <v>4.9545095218523088</v>
      </c>
      <c r="AI190" s="147">
        <f t="shared" si="28"/>
        <v>4.9545095218523088</v>
      </c>
      <c r="AJ190" s="147">
        <f t="shared" si="28"/>
        <v>4.9545095218523088</v>
      </c>
      <c r="AK190" s="147">
        <f t="shared" si="28"/>
        <v>4.9545095218523088</v>
      </c>
      <c r="AL190" s="147">
        <f t="shared" si="28"/>
        <v>4.9545095218523088</v>
      </c>
      <c r="AM190" s="147">
        <f t="shared" si="28"/>
        <v>4.9545095218523088</v>
      </c>
      <c r="AN190" s="147">
        <f t="shared" si="28"/>
        <v>4.9545095218523088</v>
      </c>
      <c r="AO190" s="147">
        <f t="shared" si="28"/>
        <v>4.9545095218523088</v>
      </c>
      <c r="AP190" s="147">
        <f t="shared" si="28"/>
        <v>4.9545095218523088</v>
      </c>
      <c r="AQ190" s="147">
        <f t="shared" si="28"/>
        <v>4.9545095218523088</v>
      </c>
      <c r="AR190" s="147">
        <f t="shared" si="28"/>
        <v>0</v>
      </c>
      <c r="AS190" s="147"/>
      <c r="AT190" s="147"/>
      <c r="AU190" s="147"/>
      <c r="AV190" s="147"/>
      <c r="AW190" s="147"/>
      <c r="AX190" s="147"/>
      <c r="AY190" s="147"/>
      <c r="AZ190" s="147"/>
      <c r="BA190" s="147"/>
      <c r="BB190" s="147"/>
      <c r="BC190" s="147"/>
      <c r="BD190" s="147"/>
    </row>
    <row r="191" spans="2:58" ht="15" customHeight="1">
      <c r="B191" s="87"/>
      <c r="E191" s="184">
        <v>38442</v>
      </c>
      <c r="G191" s="158" t="s">
        <v>844</v>
      </c>
      <c r="H191" s="147"/>
      <c r="I191" s="147">
        <f t="shared" si="24"/>
        <v>106.75865775226399</v>
      </c>
      <c r="J191" s="31" t="s">
        <v>56</v>
      </c>
      <c r="K191" s="147"/>
      <c r="L191" s="147"/>
      <c r="M191" s="147"/>
      <c r="N191" s="147"/>
      <c r="O191" s="147"/>
      <c r="P191" s="147"/>
      <c r="Q191" s="147"/>
      <c r="R191" s="147"/>
      <c r="S191" s="147"/>
      <c r="T191" s="147"/>
      <c r="U191" s="147"/>
      <c r="V191" s="147"/>
      <c r="W191" s="147"/>
      <c r="X191" s="147"/>
      <c r="Y191" s="147"/>
      <c r="Z191" s="147">
        <f t="shared" si="28"/>
        <v>5.3379328876131993</v>
      </c>
      <c r="AA191" s="147">
        <f t="shared" si="28"/>
        <v>5.3379328876131993</v>
      </c>
      <c r="AB191" s="147">
        <f t="shared" si="28"/>
        <v>5.3379328876131993</v>
      </c>
      <c r="AC191" s="147">
        <f t="shared" si="28"/>
        <v>5.3379328876131993</v>
      </c>
      <c r="AD191" s="147">
        <f t="shared" si="28"/>
        <v>5.3379328876131993</v>
      </c>
      <c r="AE191" s="147">
        <f t="shared" si="28"/>
        <v>5.3379328876131993</v>
      </c>
      <c r="AF191" s="147">
        <f t="shared" si="28"/>
        <v>5.3379328876131993</v>
      </c>
      <c r="AG191" s="147">
        <f t="shared" si="28"/>
        <v>5.3379328876131993</v>
      </c>
      <c r="AH191" s="147">
        <f t="shared" si="28"/>
        <v>5.3379328876131993</v>
      </c>
      <c r="AI191" s="147">
        <f t="shared" si="28"/>
        <v>5.3379328876131993</v>
      </c>
      <c r="AJ191" s="147">
        <f t="shared" si="28"/>
        <v>5.3379328876131993</v>
      </c>
      <c r="AK191" s="147">
        <f t="shared" si="28"/>
        <v>5.3379328876131993</v>
      </c>
      <c r="AL191" s="147">
        <f t="shared" si="28"/>
        <v>5.3379328876131993</v>
      </c>
      <c r="AM191" s="147">
        <f t="shared" si="28"/>
        <v>5.3379328876131993</v>
      </c>
      <c r="AN191" s="147">
        <f t="shared" si="28"/>
        <v>5.3379328876131993</v>
      </c>
      <c r="AO191" s="147">
        <f t="shared" si="28"/>
        <v>5.3379328876131993</v>
      </c>
      <c r="AP191" s="147">
        <f t="shared" si="28"/>
        <v>5.3379328876131993</v>
      </c>
      <c r="AQ191" s="147">
        <f t="shared" si="28"/>
        <v>5.3379328876131993</v>
      </c>
      <c r="AR191" s="147">
        <f t="shared" si="28"/>
        <v>0</v>
      </c>
      <c r="AS191" s="147"/>
      <c r="AT191" s="147"/>
      <c r="AU191" s="147"/>
      <c r="AV191" s="147"/>
      <c r="AW191" s="147"/>
      <c r="AX191" s="147"/>
      <c r="AY191" s="147"/>
      <c r="AZ191" s="147"/>
      <c r="BA191" s="147"/>
      <c r="BB191" s="147"/>
      <c r="BC191" s="147"/>
      <c r="BD191" s="147"/>
      <c r="BE191" s="147"/>
    </row>
    <row r="192" spans="2:58" ht="15" customHeight="1">
      <c r="B192" s="87"/>
      <c r="E192" s="184">
        <v>38807</v>
      </c>
      <c r="G192" s="158" t="s">
        <v>844</v>
      </c>
      <c r="H192" s="147"/>
      <c r="I192" s="147">
        <f t="shared" si="24"/>
        <v>125.68988489878477</v>
      </c>
      <c r="J192" s="31" t="s">
        <v>56</v>
      </c>
      <c r="K192" s="147"/>
      <c r="L192" s="147"/>
      <c r="M192" s="147"/>
      <c r="N192" s="147"/>
      <c r="O192" s="147"/>
      <c r="P192" s="147"/>
      <c r="Q192" s="147"/>
      <c r="R192" s="147"/>
      <c r="S192" s="147"/>
      <c r="T192" s="147"/>
      <c r="U192" s="147"/>
      <c r="V192" s="147"/>
      <c r="W192" s="147"/>
      <c r="X192" s="147"/>
      <c r="Y192" s="147"/>
      <c r="Z192" s="147"/>
      <c r="AA192" s="147">
        <f t="shared" si="28"/>
        <v>6.2844942449392382</v>
      </c>
      <c r="AB192" s="147">
        <f t="shared" si="28"/>
        <v>6.2844942449392382</v>
      </c>
      <c r="AC192" s="147">
        <f t="shared" si="28"/>
        <v>6.2844942449392382</v>
      </c>
      <c r="AD192" s="147">
        <f t="shared" si="28"/>
        <v>6.2844942449392382</v>
      </c>
      <c r="AE192" s="147">
        <f t="shared" si="28"/>
        <v>6.2844942449392382</v>
      </c>
      <c r="AF192" s="147">
        <f t="shared" si="28"/>
        <v>6.2844942449392382</v>
      </c>
      <c r="AG192" s="147">
        <f t="shared" si="28"/>
        <v>6.2844942449392382</v>
      </c>
      <c r="AH192" s="147">
        <f t="shared" si="28"/>
        <v>6.2844942449392382</v>
      </c>
      <c r="AI192" s="147">
        <f t="shared" si="28"/>
        <v>6.2844942449392382</v>
      </c>
      <c r="AJ192" s="147">
        <f t="shared" si="28"/>
        <v>6.2844942449392382</v>
      </c>
      <c r="AK192" s="147">
        <f t="shared" si="28"/>
        <v>6.2844942449392382</v>
      </c>
      <c r="AL192" s="147">
        <f t="shared" si="28"/>
        <v>6.2844942449392382</v>
      </c>
      <c r="AM192" s="147">
        <f t="shared" si="28"/>
        <v>6.2844942449392382</v>
      </c>
      <c r="AN192" s="147">
        <f t="shared" si="28"/>
        <v>6.2844942449392382</v>
      </c>
      <c r="AO192" s="147">
        <f t="shared" si="28"/>
        <v>6.2844942449392382</v>
      </c>
      <c r="AP192" s="147">
        <f t="shared" si="28"/>
        <v>6.2844942449392382</v>
      </c>
      <c r="AQ192" s="147">
        <f t="shared" si="28"/>
        <v>6.2844942449392382</v>
      </c>
      <c r="AR192" s="147">
        <f t="shared" si="28"/>
        <v>0</v>
      </c>
      <c r="AS192" s="147"/>
      <c r="AT192" s="147"/>
      <c r="AU192" s="147"/>
      <c r="AV192" s="147"/>
      <c r="AW192" s="147"/>
      <c r="AX192" s="147"/>
      <c r="AY192" s="147"/>
      <c r="AZ192" s="147"/>
      <c r="BA192" s="147"/>
      <c r="BB192" s="147"/>
      <c r="BC192" s="147"/>
      <c r="BD192" s="147"/>
      <c r="BE192" s="147"/>
      <c r="BF192" s="147"/>
    </row>
    <row r="193" spans="2:74" ht="15" customHeight="1">
      <c r="B193" s="87"/>
      <c r="E193" s="184">
        <v>39172</v>
      </c>
      <c r="G193" s="158" t="s">
        <v>844</v>
      </c>
      <c r="H193" s="147"/>
      <c r="I193" s="147">
        <f t="shared" si="24"/>
        <v>99.791717315630706</v>
      </c>
      <c r="J193" s="31" t="s">
        <v>56</v>
      </c>
      <c r="K193" s="147"/>
      <c r="L193" s="147"/>
      <c r="M193" s="147"/>
      <c r="N193" s="147"/>
      <c r="O193" s="147"/>
      <c r="P193" s="147"/>
      <c r="Q193" s="147"/>
      <c r="R193" s="147"/>
      <c r="S193" s="147"/>
      <c r="T193" s="147"/>
      <c r="U193" s="147"/>
      <c r="V193" s="147"/>
      <c r="W193" s="147"/>
      <c r="X193" s="147"/>
      <c r="Y193" s="147"/>
      <c r="Z193" s="147"/>
      <c r="AA193" s="147"/>
      <c r="AB193" s="147">
        <f t="shared" si="28"/>
        <v>4.9895858657815353</v>
      </c>
      <c r="AC193" s="147">
        <f t="shared" si="28"/>
        <v>4.9895858657815353</v>
      </c>
      <c r="AD193" s="147">
        <f t="shared" si="28"/>
        <v>4.9895858657815353</v>
      </c>
      <c r="AE193" s="147">
        <f t="shared" si="28"/>
        <v>4.9895858657815353</v>
      </c>
      <c r="AF193" s="147">
        <f t="shared" si="28"/>
        <v>4.9895858657815353</v>
      </c>
      <c r="AG193" s="147">
        <f t="shared" si="28"/>
        <v>4.9895858657815353</v>
      </c>
      <c r="AH193" s="147">
        <f t="shared" si="28"/>
        <v>4.9895858657815353</v>
      </c>
      <c r="AI193" s="147">
        <f t="shared" si="28"/>
        <v>4.9895858657815353</v>
      </c>
      <c r="AJ193" s="147">
        <f t="shared" si="28"/>
        <v>4.9895858657815353</v>
      </c>
      <c r="AK193" s="147">
        <f t="shared" si="28"/>
        <v>4.9895858657815353</v>
      </c>
      <c r="AL193" s="147">
        <f t="shared" si="28"/>
        <v>4.9895858657815353</v>
      </c>
      <c r="AM193" s="147">
        <f t="shared" si="28"/>
        <v>4.9895858657815353</v>
      </c>
      <c r="AN193" s="147">
        <f t="shared" si="28"/>
        <v>4.9895858657815353</v>
      </c>
      <c r="AO193" s="147">
        <f t="shared" si="28"/>
        <v>4.9895858657815353</v>
      </c>
      <c r="AP193" s="147">
        <f t="shared" si="28"/>
        <v>4.9895858657815353</v>
      </c>
      <c r="AQ193" s="147">
        <f t="shared" si="28"/>
        <v>4.9895858657815353</v>
      </c>
      <c r="AR193" s="147">
        <f t="shared" si="28"/>
        <v>0</v>
      </c>
      <c r="AS193" s="147"/>
      <c r="AT193" s="147"/>
      <c r="AU193" s="147"/>
      <c r="AV193" s="147"/>
      <c r="AW193" s="147"/>
      <c r="AX193" s="147"/>
      <c r="AY193" s="147"/>
      <c r="AZ193" s="147"/>
      <c r="BA193" s="147"/>
      <c r="BB193" s="147"/>
      <c r="BC193" s="147"/>
      <c r="BD193" s="147"/>
      <c r="BE193" s="147"/>
      <c r="BF193" s="147"/>
      <c r="BG193" s="147"/>
    </row>
    <row r="194" spans="2:74" ht="15" customHeight="1">
      <c r="B194" s="87"/>
      <c r="E194" s="184">
        <v>39538</v>
      </c>
      <c r="G194" s="158" t="s">
        <v>844</v>
      </c>
      <c r="H194" s="147"/>
      <c r="I194" s="147">
        <f t="shared" si="24"/>
        <v>139.35065489182935</v>
      </c>
      <c r="J194" s="31" t="s">
        <v>56</v>
      </c>
      <c r="K194" s="147"/>
      <c r="L194" s="147"/>
      <c r="M194" s="147"/>
      <c r="N194" s="147"/>
      <c r="O194" s="147"/>
      <c r="P194" s="147"/>
      <c r="Q194" s="147"/>
      <c r="R194" s="147"/>
      <c r="S194" s="147"/>
      <c r="T194" s="147"/>
      <c r="U194" s="147"/>
      <c r="V194" s="147"/>
      <c r="W194" s="147"/>
      <c r="X194" s="147"/>
      <c r="Y194" s="147"/>
      <c r="Z194" s="147"/>
      <c r="AA194" s="147"/>
      <c r="AB194" s="147"/>
      <c r="AC194" s="147">
        <f t="shared" si="28"/>
        <v>6.9675327445914679</v>
      </c>
      <c r="AD194" s="147">
        <f t="shared" si="28"/>
        <v>6.9675327445914679</v>
      </c>
      <c r="AE194" s="147">
        <f t="shared" si="28"/>
        <v>6.9675327445914679</v>
      </c>
      <c r="AF194" s="147">
        <f t="shared" si="28"/>
        <v>6.9675327445914679</v>
      </c>
      <c r="AG194" s="147">
        <f t="shared" si="28"/>
        <v>6.9675327445914679</v>
      </c>
      <c r="AH194" s="147">
        <f t="shared" si="28"/>
        <v>6.9675327445914679</v>
      </c>
      <c r="AI194" s="147">
        <f t="shared" si="28"/>
        <v>6.9675327445914679</v>
      </c>
      <c r="AJ194" s="147">
        <f t="shared" si="28"/>
        <v>6.9675327445914679</v>
      </c>
      <c r="AK194" s="147">
        <f t="shared" si="28"/>
        <v>6.9675327445914679</v>
      </c>
      <c r="AL194" s="147">
        <f t="shared" si="28"/>
        <v>6.9675327445914679</v>
      </c>
      <c r="AM194" s="147">
        <f t="shared" si="28"/>
        <v>6.9675327445914679</v>
      </c>
      <c r="AN194" s="147">
        <f t="shared" si="28"/>
        <v>6.9675327445914679</v>
      </c>
      <c r="AO194" s="147">
        <f t="shared" si="28"/>
        <v>6.9675327445914679</v>
      </c>
      <c r="AP194" s="147">
        <f t="shared" si="28"/>
        <v>6.9675327445914679</v>
      </c>
      <c r="AQ194" s="147">
        <f t="shared" si="28"/>
        <v>6.9675327445914679</v>
      </c>
      <c r="AR194" s="147">
        <f t="shared" si="28"/>
        <v>0</v>
      </c>
      <c r="AS194" s="147"/>
      <c r="AT194" s="147"/>
      <c r="AU194" s="147"/>
      <c r="AV194" s="147"/>
      <c r="AW194" s="147"/>
      <c r="AX194" s="147"/>
      <c r="AY194" s="147"/>
      <c r="AZ194" s="147"/>
      <c r="BA194" s="147"/>
      <c r="BB194" s="147"/>
      <c r="BC194" s="147"/>
      <c r="BD194" s="147"/>
      <c r="BE194" s="147"/>
      <c r="BF194" s="147"/>
      <c r="BG194" s="147"/>
      <c r="BH194" s="147"/>
    </row>
    <row r="195" spans="2:74" ht="15" customHeight="1">
      <c r="B195" s="87"/>
      <c r="E195" s="184">
        <v>39903</v>
      </c>
      <c r="G195" s="158" t="s">
        <v>844</v>
      </c>
      <c r="H195" s="147"/>
      <c r="I195" s="147">
        <f t="shared" si="24"/>
        <v>165.06591526344377</v>
      </c>
      <c r="J195" s="31" t="s">
        <v>56</v>
      </c>
      <c r="K195" s="147"/>
      <c r="L195" s="147"/>
      <c r="M195" s="147"/>
      <c r="N195" s="147"/>
      <c r="O195" s="147"/>
      <c r="P195" s="147"/>
      <c r="Q195" s="147"/>
      <c r="R195" s="147"/>
      <c r="S195" s="147"/>
      <c r="T195" s="147"/>
      <c r="U195" s="147"/>
      <c r="V195" s="147"/>
      <c r="W195" s="147"/>
      <c r="X195" s="147"/>
      <c r="Y195" s="147"/>
      <c r="Z195" s="147"/>
      <c r="AA195" s="147"/>
      <c r="AB195" s="147"/>
      <c r="AC195" s="147"/>
      <c r="AD195" s="147">
        <f t="shared" si="28"/>
        <v>8.2532957631721882</v>
      </c>
      <c r="AE195" s="147">
        <f t="shared" si="28"/>
        <v>8.2532957631721882</v>
      </c>
      <c r="AF195" s="147">
        <f t="shared" si="28"/>
        <v>8.2532957631721882</v>
      </c>
      <c r="AG195" s="147">
        <f t="shared" si="28"/>
        <v>8.2532957631721882</v>
      </c>
      <c r="AH195" s="147">
        <f t="shared" si="28"/>
        <v>8.2532957631721882</v>
      </c>
      <c r="AI195" s="147">
        <f t="shared" si="28"/>
        <v>8.2532957631721882</v>
      </c>
      <c r="AJ195" s="147">
        <f t="shared" si="28"/>
        <v>8.2532957631721882</v>
      </c>
      <c r="AK195" s="147">
        <f t="shared" si="28"/>
        <v>8.2532957631721882</v>
      </c>
      <c r="AL195" s="147">
        <f t="shared" si="28"/>
        <v>8.2532957631721882</v>
      </c>
      <c r="AM195" s="147">
        <f t="shared" si="28"/>
        <v>8.2532957631721882</v>
      </c>
      <c r="AN195" s="147">
        <f t="shared" si="28"/>
        <v>8.2532957631721882</v>
      </c>
      <c r="AO195" s="147">
        <f t="shared" si="28"/>
        <v>8.2532957631721882</v>
      </c>
      <c r="AP195" s="147">
        <f t="shared" si="28"/>
        <v>8.2532957631721882</v>
      </c>
      <c r="AQ195" s="147">
        <f t="shared" si="28"/>
        <v>8.2532957631721882</v>
      </c>
      <c r="AR195" s="147">
        <f t="shared" si="28"/>
        <v>0</v>
      </c>
      <c r="AS195" s="147"/>
      <c r="AT195" s="147"/>
      <c r="AU195" s="147"/>
      <c r="AV195" s="147"/>
      <c r="AW195" s="147"/>
      <c r="AX195" s="147"/>
      <c r="AY195" s="147"/>
      <c r="AZ195" s="147"/>
      <c r="BA195" s="147"/>
      <c r="BB195" s="147"/>
      <c r="BC195" s="147"/>
      <c r="BD195" s="147"/>
      <c r="BE195" s="147"/>
      <c r="BF195" s="147"/>
      <c r="BG195" s="147"/>
      <c r="BH195" s="147"/>
      <c r="BI195" s="147"/>
    </row>
    <row r="196" spans="2:74" ht="15" customHeight="1">
      <c r="B196" s="87"/>
      <c r="E196" s="184">
        <v>40268</v>
      </c>
      <c r="G196" s="158" t="s">
        <v>844</v>
      </c>
      <c r="H196" s="147"/>
      <c r="I196" s="147">
        <f t="shared" si="24"/>
        <v>196.1644111927435</v>
      </c>
      <c r="J196" s="31" t="s">
        <v>56</v>
      </c>
      <c r="K196" s="147"/>
      <c r="L196" s="147"/>
      <c r="M196" s="147"/>
      <c r="N196" s="147"/>
      <c r="O196" s="147"/>
      <c r="P196" s="147"/>
      <c r="Q196" s="147"/>
      <c r="R196" s="147"/>
      <c r="S196" s="147"/>
      <c r="T196" s="147"/>
      <c r="U196" s="147"/>
      <c r="V196" s="147"/>
      <c r="W196" s="147"/>
      <c r="X196" s="147"/>
      <c r="Y196" s="147"/>
      <c r="Z196" s="147"/>
      <c r="AA196" s="147"/>
      <c r="AB196" s="147"/>
      <c r="AC196" s="147"/>
      <c r="AD196" s="147"/>
      <c r="AE196" s="147">
        <f t="shared" si="28"/>
        <v>9.8082205596371743</v>
      </c>
      <c r="AF196" s="147">
        <f t="shared" si="28"/>
        <v>9.8082205596371743</v>
      </c>
      <c r="AG196" s="147">
        <f t="shared" si="28"/>
        <v>9.8082205596371743</v>
      </c>
      <c r="AH196" s="147">
        <f t="shared" ref="AH196:AR196" si="29">(AH$83 * AH107) + (AH$38 * AH62) + AH158</f>
        <v>9.8082205596371743</v>
      </c>
      <c r="AI196" s="147">
        <f t="shared" si="29"/>
        <v>9.8082205596371743</v>
      </c>
      <c r="AJ196" s="147">
        <f t="shared" si="29"/>
        <v>9.8082205596371743</v>
      </c>
      <c r="AK196" s="147">
        <f t="shared" si="29"/>
        <v>9.8082205596371743</v>
      </c>
      <c r="AL196" s="147">
        <f t="shared" si="29"/>
        <v>9.8082205596371743</v>
      </c>
      <c r="AM196" s="147">
        <f t="shared" si="29"/>
        <v>9.8082205596371743</v>
      </c>
      <c r="AN196" s="147">
        <f t="shared" si="29"/>
        <v>9.8082205596371743</v>
      </c>
      <c r="AO196" s="147">
        <f t="shared" si="29"/>
        <v>9.8082205596371743</v>
      </c>
      <c r="AP196" s="147">
        <f t="shared" si="29"/>
        <v>9.8082205596371743</v>
      </c>
      <c r="AQ196" s="147">
        <f t="shared" si="29"/>
        <v>9.8082205596371743</v>
      </c>
      <c r="AR196" s="147">
        <f t="shared" si="29"/>
        <v>0</v>
      </c>
      <c r="AS196" s="147"/>
      <c r="AT196" s="147"/>
      <c r="AU196" s="147"/>
      <c r="AV196" s="147"/>
      <c r="AW196" s="147"/>
      <c r="AX196" s="147"/>
      <c r="AY196" s="147"/>
      <c r="AZ196" s="147"/>
      <c r="BA196" s="147"/>
      <c r="BB196" s="147"/>
      <c r="BC196" s="147"/>
      <c r="BD196" s="147"/>
      <c r="BE196" s="147"/>
      <c r="BF196" s="147"/>
      <c r="BG196" s="147"/>
      <c r="BH196" s="147"/>
      <c r="BI196" s="147"/>
      <c r="BJ196" s="147"/>
    </row>
    <row r="197" spans="2:74" ht="15" customHeight="1">
      <c r="B197" s="87"/>
      <c r="E197" s="184">
        <v>40633</v>
      </c>
      <c r="G197" s="158" t="s">
        <v>844</v>
      </c>
      <c r="H197" s="147"/>
      <c r="I197" s="147">
        <f t="shared" si="24"/>
        <v>181.68144275863403</v>
      </c>
      <c r="J197" s="31" t="s">
        <v>56</v>
      </c>
      <c r="K197" s="147"/>
      <c r="L197" s="147"/>
      <c r="M197" s="147"/>
      <c r="N197" s="147"/>
      <c r="O197" s="147"/>
      <c r="P197" s="147"/>
      <c r="Q197" s="147"/>
      <c r="R197" s="147"/>
      <c r="S197" s="147"/>
      <c r="T197" s="147"/>
      <c r="U197" s="147"/>
      <c r="V197" s="147"/>
      <c r="W197" s="147"/>
      <c r="X197" s="147"/>
      <c r="Y197" s="147"/>
      <c r="Z197" s="147"/>
      <c r="AA197" s="147"/>
      <c r="AB197" s="147"/>
      <c r="AC197" s="147"/>
      <c r="AD197" s="147"/>
      <c r="AE197" s="147"/>
      <c r="AF197" s="147">
        <f t="shared" ref="AF197:AR208" si="30">(AF$83 * AF108) + (AF$38 * AF63) + AF159</f>
        <v>9.0840721379317024</v>
      </c>
      <c r="AG197" s="147">
        <f t="shared" si="30"/>
        <v>9.0840721379317024</v>
      </c>
      <c r="AH197" s="147">
        <f t="shared" si="30"/>
        <v>9.0840721379317024</v>
      </c>
      <c r="AI197" s="147">
        <f t="shared" si="30"/>
        <v>9.0840721379317024</v>
      </c>
      <c r="AJ197" s="147">
        <f t="shared" si="30"/>
        <v>9.0840721379317024</v>
      </c>
      <c r="AK197" s="147">
        <f t="shared" si="30"/>
        <v>9.0840721379317024</v>
      </c>
      <c r="AL197" s="147">
        <f t="shared" si="30"/>
        <v>9.0840721379317024</v>
      </c>
      <c r="AM197" s="147">
        <f t="shared" si="30"/>
        <v>9.0840721379317024</v>
      </c>
      <c r="AN197" s="147">
        <f t="shared" si="30"/>
        <v>9.0840721379317024</v>
      </c>
      <c r="AO197" s="147">
        <f t="shared" si="30"/>
        <v>9.0840721379317024</v>
      </c>
      <c r="AP197" s="147">
        <f t="shared" si="30"/>
        <v>9.0840721379317024</v>
      </c>
      <c r="AQ197" s="147">
        <f t="shared" si="30"/>
        <v>9.0840721379317024</v>
      </c>
      <c r="AR197" s="147">
        <f t="shared" si="30"/>
        <v>0</v>
      </c>
      <c r="AS197" s="147"/>
      <c r="AT197" s="147"/>
      <c r="AU197" s="147"/>
      <c r="AV197" s="147"/>
      <c r="AW197" s="147"/>
      <c r="AX197" s="147"/>
      <c r="AY197" s="147"/>
      <c r="AZ197" s="147"/>
      <c r="BA197" s="147"/>
      <c r="BB197" s="147"/>
      <c r="BC197" s="147"/>
      <c r="BD197" s="147"/>
      <c r="BE197" s="147"/>
      <c r="BF197" s="147"/>
      <c r="BG197" s="147"/>
      <c r="BH197" s="147"/>
      <c r="BI197" s="147"/>
      <c r="BJ197" s="147"/>
      <c r="BK197" s="147"/>
    </row>
    <row r="198" spans="2:74" ht="15" customHeight="1">
      <c r="B198" s="87"/>
      <c r="E198" s="184">
        <v>40999</v>
      </c>
      <c r="G198" s="158" t="s">
        <v>844</v>
      </c>
      <c r="H198" s="147"/>
      <c r="I198" s="147">
        <f t="shared" si="24"/>
        <v>157.62844612449771</v>
      </c>
      <c r="J198" s="31" t="s">
        <v>56</v>
      </c>
      <c r="K198" s="147"/>
      <c r="L198" s="147"/>
      <c r="M198" s="147"/>
      <c r="N198" s="147"/>
      <c r="O198" s="147"/>
      <c r="P198" s="147"/>
      <c r="Q198" s="147"/>
      <c r="R198" s="147"/>
      <c r="S198" s="147"/>
      <c r="T198" s="147"/>
      <c r="U198" s="147"/>
      <c r="V198" s="147"/>
      <c r="W198" s="147"/>
      <c r="X198" s="147"/>
      <c r="Y198" s="147"/>
      <c r="Z198" s="147"/>
      <c r="AA198" s="147"/>
      <c r="AB198" s="147"/>
      <c r="AC198" s="147"/>
      <c r="AD198" s="147"/>
      <c r="AE198" s="147"/>
      <c r="AF198" s="147"/>
      <c r="AG198" s="147">
        <f t="shared" si="30"/>
        <v>7.881422306224886</v>
      </c>
      <c r="AH198" s="147">
        <f t="shared" si="30"/>
        <v>7.881422306224886</v>
      </c>
      <c r="AI198" s="147">
        <f t="shared" si="30"/>
        <v>7.881422306224886</v>
      </c>
      <c r="AJ198" s="147">
        <f t="shared" si="30"/>
        <v>7.881422306224886</v>
      </c>
      <c r="AK198" s="147">
        <f t="shared" si="30"/>
        <v>7.881422306224886</v>
      </c>
      <c r="AL198" s="147">
        <f t="shared" si="30"/>
        <v>7.881422306224886</v>
      </c>
      <c r="AM198" s="147">
        <f t="shared" si="30"/>
        <v>7.881422306224886</v>
      </c>
      <c r="AN198" s="147">
        <f t="shared" si="30"/>
        <v>7.881422306224886</v>
      </c>
      <c r="AO198" s="147">
        <f t="shared" si="30"/>
        <v>7.881422306224886</v>
      </c>
      <c r="AP198" s="147">
        <f t="shared" si="30"/>
        <v>7.881422306224886</v>
      </c>
      <c r="AQ198" s="147">
        <f t="shared" si="30"/>
        <v>7.881422306224886</v>
      </c>
      <c r="AR198" s="147">
        <f t="shared" si="30"/>
        <v>0</v>
      </c>
      <c r="AS198" s="147"/>
      <c r="AT198" s="147"/>
      <c r="AU198" s="147"/>
      <c r="AV198" s="147"/>
      <c r="AW198" s="147"/>
      <c r="AX198" s="147"/>
      <c r="AY198" s="147"/>
      <c r="AZ198" s="147"/>
      <c r="BA198" s="147"/>
      <c r="BB198" s="147"/>
      <c r="BC198" s="147"/>
      <c r="BD198" s="147"/>
      <c r="BE198" s="147"/>
      <c r="BF198" s="147"/>
      <c r="BG198" s="147"/>
      <c r="BH198" s="147"/>
      <c r="BI198" s="147"/>
      <c r="BJ198" s="147"/>
      <c r="BK198" s="147"/>
      <c r="BL198" s="147"/>
    </row>
    <row r="199" spans="2:74" ht="15" customHeight="1">
      <c r="B199" s="87"/>
      <c r="E199" s="184">
        <v>41364</v>
      </c>
      <c r="G199" s="158" t="s">
        <v>844</v>
      </c>
      <c r="H199" s="147"/>
      <c r="I199" s="147">
        <f t="shared" si="24"/>
        <v>154.3742917688794</v>
      </c>
      <c r="J199" s="31"/>
      <c r="K199" s="147"/>
      <c r="L199" s="147"/>
      <c r="M199" s="147"/>
      <c r="N199" s="147"/>
      <c r="O199" s="147"/>
      <c r="P199" s="147"/>
      <c r="Q199" s="147"/>
      <c r="R199" s="147"/>
      <c r="S199" s="147"/>
      <c r="T199" s="147"/>
      <c r="U199" s="147"/>
      <c r="V199" s="147"/>
      <c r="W199" s="147"/>
      <c r="X199" s="147"/>
      <c r="Y199" s="147"/>
      <c r="Z199" s="147"/>
      <c r="AA199" s="147"/>
      <c r="AB199" s="147"/>
      <c r="AC199" s="147"/>
      <c r="AD199" s="147"/>
      <c r="AE199" s="147"/>
      <c r="AF199" s="147"/>
      <c r="AG199" s="147"/>
      <c r="AH199" s="147">
        <f t="shared" si="30"/>
        <v>7.7187145884439703</v>
      </c>
      <c r="AI199" s="147">
        <f t="shared" si="30"/>
        <v>7.7187145884439703</v>
      </c>
      <c r="AJ199" s="147">
        <f t="shared" si="30"/>
        <v>7.7187145884439703</v>
      </c>
      <c r="AK199" s="147">
        <f t="shared" si="30"/>
        <v>7.7187145884439703</v>
      </c>
      <c r="AL199" s="147">
        <f t="shared" si="30"/>
        <v>7.7187145884439703</v>
      </c>
      <c r="AM199" s="147">
        <f t="shared" si="30"/>
        <v>7.7187145884439703</v>
      </c>
      <c r="AN199" s="147">
        <f t="shared" si="30"/>
        <v>7.7187145884439703</v>
      </c>
      <c r="AO199" s="147">
        <f t="shared" si="30"/>
        <v>7.7187145884439703</v>
      </c>
      <c r="AP199" s="147">
        <f t="shared" si="30"/>
        <v>7.7187145884439703</v>
      </c>
      <c r="AQ199" s="147">
        <f t="shared" si="30"/>
        <v>7.7187145884439703</v>
      </c>
      <c r="AR199" s="147">
        <f t="shared" si="30"/>
        <v>0</v>
      </c>
      <c r="AS199" s="147"/>
      <c r="AT199" s="147"/>
      <c r="AU199" s="147"/>
      <c r="AV199" s="147"/>
      <c r="AW199" s="147"/>
      <c r="AX199" s="147"/>
      <c r="AY199" s="147"/>
      <c r="AZ199" s="147"/>
      <c r="BA199" s="147"/>
      <c r="BB199" s="147"/>
      <c r="BC199" s="147"/>
      <c r="BD199" s="147"/>
      <c r="BE199" s="147"/>
      <c r="BF199" s="147"/>
      <c r="BG199" s="147"/>
      <c r="BH199" s="147"/>
      <c r="BI199" s="147"/>
      <c r="BJ199" s="147"/>
      <c r="BK199" s="147"/>
      <c r="BL199" s="147"/>
      <c r="BM199" s="147"/>
    </row>
    <row r="200" spans="2:74" ht="15" customHeight="1">
      <c r="B200" s="87"/>
      <c r="E200" s="184">
        <v>41729</v>
      </c>
      <c r="G200" s="158" t="s">
        <v>844</v>
      </c>
      <c r="H200" s="147"/>
      <c r="I200" s="147">
        <f t="shared" si="24"/>
        <v>169.1468192161847</v>
      </c>
      <c r="J200" s="31"/>
      <c r="K200" s="147"/>
      <c r="L200" s="147"/>
      <c r="M200" s="147"/>
      <c r="N200" s="147"/>
      <c r="O200" s="147"/>
      <c r="P200" s="147"/>
      <c r="Q200" s="147"/>
      <c r="R200" s="147"/>
      <c r="S200" s="147"/>
      <c r="T200" s="147"/>
      <c r="U200" s="147"/>
      <c r="V200" s="147"/>
      <c r="W200" s="147"/>
      <c r="X200" s="147"/>
      <c r="Y200" s="147"/>
      <c r="Z200" s="147"/>
      <c r="AA200" s="147"/>
      <c r="AB200" s="147"/>
      <c r="AC200" s="147"/>
      <c r="AD200" s="147"/>
      <c r="AE200" s="147"/>
      <c r="AF200" s="147"/>
      <c r="AG200" s="147"/>
      <c r="AH200" s="147"/>
      <c r="AI200" s="147">
        <f t="shared" si="30"/>
        <v>8.4573409608092351</v>
      </c>
      <c r="AJ200" s="147">
        <f t="shared" si="30"/>
        <v>8.4573409608092351</v>
      </c>
      <c r="AK200" s="147">
        <f t="shared" si="30"/>
        <v>8.4573409608092351</v>
      </c>
      <c r="AL200" s="147">
        <f t="shared" si="30"/>
        <v>8.4573409608092351</v>
      </c>
      <c r="AM200" s="147">
        <f t="shared" si="30"/>
        <v>8.4573409608092351</v>
      </c>
      <c r="AN200" s="147">
        <f t="shared" si="30"/>
        <v>8.4573409608092351</v>
      </c>
      <c r="AO200" s="147">
        <f t="shared" si="30"/>
        <v>8.4573409608092351</v>
      </c>
      <c r="AP200" s="147">
        <f t="shared" si="30"/>
        <v>8.4573409608092351</v>
      </c>
      <c r="AQ200" s="147">
        <f t="shared" si="30"/>
        <v>8.4573409608092351</v>
      </c>
      <c r="AR200" s="147">
        <f t="shared" si="30"/>
        <v>0</v>
      </c>
      <c r="AS200" s="147"/>
      <c r="AT200" s="147"/>
      <c r="AU200" s="147"/>
      <c r="AV200" s="147"/>
      <c r="AW200" s="147"/>
      <c r="AX200" s="147"/>
      <c r="AY200" s="147"/>
      <c r="AZ200" s="147"/>
      <c r="BA200" s="147"/>
      <c r="BB200" s="147"/>
      <c r="BC200" s="147"/>
      <c r="BD200" s="147"/>
      <c r="BE200" s="147"/>
      <c r="BF200" s="147"/>
      <c r="BG200" s="147"/>
      <c r="BH200" s="147"/>
      <c r="BI200" s="147"/>
      <c r="BJ200" s="147"/>
      <c r="BK200" s="147"/>
      <c r="BL200" s="147"/>
      <c r="BM200" s="147"/>
      <c r="BN200" s="147"/>
    </row>
    <row r="201" spans="2:74" ht="15" customHeight="1">
      <c r="B201" s="87"/>
      <c r="E201" s="184">
        <v>42094</v>
      </c>
      <c r="G201" s="158" t="s">
        <v>844</v>
      </c>
      <c r="H201" s="147"/>
      <c r="I201" s="147">
        <f t="shared" si="24"/>
        <v>181.50568328158491</v>
      </c>
      <c r="J201" s="31"/>
      <c r="K201" s="147"/>
      <c r="L201" s="147"/>
      <c r="M201" s="147"/>
      <c r="N201" s="147"/>
      <c r="O201" s="147"/>
      <c r="P201" s="147"/>
      <c r="Q201" s="147"/>
      <c r="R201" s="147"/>
      <c r="S201" s="147"/>
      <c r="T201" s="147"/>
      <c r="U201" s="147"/>
      <c r="V201" s="147"/>
      <c r="W201" s="147"/>
      <c r="X201" s="147"/>
      <c r="Y201" s="147"/>
      <c r="Z201" s="147"/>
      <c r="AA201" s="147"/>
      <c r="AB201" s="147"/>
      <c r="AC201" s="147"/>
      <c r="AD201" s="147"/>
      <c r="AE201" s="147"/>
      <c r="AF201" s="147"/>
      <c r="AG201" s="147"/>
      <c r="AH201" s="147"/>
      <c r="AI201" s="147"/>
      <c r="AJ201" s="147">
        <f t="shared" si="30"/>
        <v>9.0752841640792461</v>
      </c>
      <c r="AK201" s="147">
        <f t="shared" si="30"/>
        <v>9.0752841640792461</v>
      </c>
      <c r="AL201" s="147">
        <f t="shared" si="30"/>
        <v>9.0752841640792461</v>
      </c>
      <c r="AM201" s="147">
        <f t="shared" si="30"/>
        <v>9.0752841640792461</v>
      </c>
      <c r="AN201" s="147">
        <f t="shared" si="30"/>
        <v>9.0752841640792461</v>
      </c>
      <c r="AO201" s="147">
        <f t="shared" si="30"/>
        <v>9.0752841640792461</v>
      </c>
      <c r="AP201" s="147">
        <f t="shared" si="30"/>
        <v>9.0752841640792461</v>
      </c>
      <c r="AQ201" s="147">
        <f t="shared" si="30"/>
        <v>9.0752841640792461</v>
      </c>
      <c r="AR201" s="147">
        <f t="shared" si="30"/>
        <v>0</v>
      </c>
      <c r="AS201" s="147"/>
      <c r="AT201" s="147"/>
      <c r="AU201" s="147"/>
      <c r="AV201" s="147"/>
      <c r="AW201" s="147"/>
      <c r="AX201" s="147"/>
      <c r="AY201" s="147"/>
      <c r="AZ201" s="147"/>
      <c r="BA201" s="147"/>
      <c r="BB201" s="147"/>
      <c r="BC201" s="147"/>
      <c r="BD201" s="147"/>
      <c r="BE201" s="147"/>
      <c r="BF201" s="147"/>
      <c r="BG201" s="147"/>
      <c r="BH201" s="147"/>
      <c r="BI201" s="147"/>
      <c r="BJ201" s="147"/>
      <c r="BK201" s="147"/>
      <c r="BL201" s="147"/>
      <c r="BM201" s="147"/>
      <c r="BN201" s="147"/>
      <c r="BO201" s="147"/>
    </row>
    <row r="202" spans="2:74" ht="15" customHeight="1">
      <c r="B202" s="87"/>
      <c r="E202" s="184">
        <v>42460</v>
      </c>
      <c r="G202" s="158" t="s">
        <v>844</v>
      </c>
      <c r="H202" s="147"/>
      <c r="I202" s="147">
        <f t="shared" si="24"/>
        <v>157.2306932997239</v>
      </c>
      <c r="J202" s="31"/>
      <c r="K202" s="147"/>
      <c r="L202" s="147"/>
      <c r="M202" s="147"/>
      <c r="N202" s="147"/>
      <c r="O202" s="147"/>
      <c r="P202" s="147"/>
      <c r="Q202" s="147"/>
      <c r="R202" s="147"/>
      <c r="S202" s="147"/>
      <c r="T202" s="147"/>
      <c r="U202" s="147"/>
      <c r="V202" s="147"/>
      <c r="W202" s="147"/>
      <c r="X202" s="147"/>
      <c r="Y202" s="147"/>
      <c r="Z202" s="147"/>
      <c r="AA202" s="147"/>
      <c r="AB202" s="147"/>
      <c r="AC202" s="147"/>
      <c r="AD202" s="147"/>
      <c r="AE202" s="147"/>
      <c r="AF202" s="147"/>
      <c r="AG202" s="147"/>
      <c r="AH202" s="147"/>
      <c r="AI202" s="147"/>
      <c r="AJ202" s="147"/>
      <c r="AK202" s="147">
        <f>(AK$83 * AK113) + (AK$38 * AK68) + AK164</f>
        <v>6.7991651156637358</v>
      </c>
      <c r="AL202" s="147">
        <f t="shared" si="30"/>
        <v>6.7991651156637358</v>
      </c>
      <c r="AM202" s="147">
        <f t="shared" si="30"/>
        <v>6.7991651156637358</v>
      </c>
      <c r="AN202" s="147">
        <f t="shared" si="30"/>
        <v>6.7991651156637358</v>
      </c>
      <c r="AO202" s="147">
        <f t="shared" si="30"/>
        <v>6.7991651156637358</v>
      </c>
      <c r="AP202" s="147">
        <f t="shared" si="30"/>
        <v>6.7991651156637358</v>
      </c>
      <c r="AQ202" s="147">
        <f t="shared" si="30"/>
        <v>6.7991651156637358</v>
      </c>
      <c r="AR202" s="147">
        <f t="shared" si="30"/>
        <v>0</v>
      </c>
      <c r="AS202" s="147"/>
      <c r="AT202" s="147"/>
      <c r="AU202" s="147"/>
      <c r="AV202" s="147"/>
      <c r="AW202" s="147"/>
      <c r="AX202" s="147"/>
      <c r="AY202" s="147"/>
      <c r="AZ202" s="147"/>
      <c r="BA202" s="147"/>
      <c r="BB202" s="147"/>
      <c r="BC202" s="147"/>
      <c r="BD202" s="147"/>
      <c r="BE202" s="147"/>
      <c r="BF202" s="147"/>
      <c r="BG202" s="147"/>
      <c r="BH202" s="147"/>
      <c r="BI202" s="147"/>
      <c r="BJ202" s="147"/>
      <c r="BK202" s="147"/>
      <c r="BL202" s="147"/>
      <c r="BM202" s="147"/>
      <c r="BN202" s="147"/>
      <c r="BO202" s="147"/>
      <c r="BP202" s="147"/>
    </row>
    <row r="203" spans="2:74" ht="15" customHeight="1">
      <c r="B203" s="87"/>
      <c r="E203" s="184">
        <v>42825</v>
      </c>
      <c r="G203" s="158" t="s">
        <v>844</v>
      </c>
      <c r="H203" s="147"/>
      <c r="I203" s="147">
        <f t="shared" si="24"/>
        <v>171.88702831647345</v>
      </c>
      <c r="J203" s="31"/>
      <c r="K203" s="147"/>
      <c r="L203" s="147"/>
      <c r="M203" s="147"/>
      <c r="N203" s="147"/>
      <c r="O203" s="147"/>
      <c r="P203" s="147"/>
      <c r="Q203" s="147"/>
      <c r="R203" s="147"/>
      <c r="S203" s="147"/>
      <c r="T203" s="147"/>
      <c r="U203" s="147"/>
      <c r="V203" s="147"/>
      <c r="W203" s="147"/>
      <c r="X203" s="147"/>
      <c r="Y203" s="147"/>
      <c r="Z203" s="147"/>
      <c r="AA203" s="147"/>
      <c r="AB203" s="147"/>
      <c r="AC203" s="147"/>
      <c r="AD203" s="147"/>
      <c r="AE203" s="147"/>
      <c r="AF203" s="147"/>
      <c r="AG203" s="147"/>
      <c r="AH203" s="147"/>
      <c r="AI203" s="147"/>
      <c r="AJ203" s="147"/>
      <c r="AK203" s="147"/>
      <c r="AL203" s="147">
        <f t="shared" si="30"/>
        <v>6.5480772691989886</v>
      </c>
      <c r="AM203" s="147">
        <f t="shared" si="30"/>
        <v>6.5480772691989886</v>
      </c>
      <c r="AN203" s="147">
        <f t="shared" si="30"/>
        <v>6.5480772691989886</v>
      </c>
      <c r="AO203" s="147">
        <f t="shared" si="30"/>
        <v>6.5480772691989886</v>
      </c>
      <c r="AP203" s="147">
        <f t="shared" si="30"/>
        <v>6.5480772691989886</v>
      </c>
      <c r="AQ203" s="147">
        <f t="shared" si="30"/>
        <v>6.5480772691989886</v>
      </c>
      <c r="AR203" s="147">
        <f t="shared" si="30"/>
        <v>0</v>
      </c>
      <c r="AS203" s="147"/>
      <c r="AT203" s="147"/>
      <c r="AU203" s="147"/>
      <c r="AV203" s="147"/>
      <c r="AW203" s="147"/>
      <c r="AX203" s="147"/>
      <c r="AY203" s="147"/>
      <c r="AZ203" s="147"/>
      <c r="BA203" s="147"/>
      <c r="BB203" s="147"/>
      <c r="BC203" s="147"/>
      <c r="BD203" s="147"/>
      <c r="BE203" s="147"/>
      <c r="BF203" s="147"/>
      <c r="BG203" s="147"/>
      <c r="BH203" s="147"/>
      <c r="BI203" s="147"/>
      <c r="BJ203" s="147"/>
      <c r="BK203" s="147"/>
      <c r="BL203" s="147"/>
      <c r="BM203" s="147"/>
      <c r="BN203" s="147"/>
      <c r="BO203" s="147"/>
      <c r="BP203" s="147"/>
      <c r="BQ203" s="147"/>
      <c r="BR203" s="147"/>
    </row>
    <row r="204" spans="2:74" ht="15" customHeight="1">
      <c r="B204" s="87"/>
      <c r="E204" s="184">
        <v>43190</v>
      </c>
      <c r="G204" s="158" t="s">
        <v>844</v>
      </c>
      <c r="H204" s="147"/>
      <c r="I204" s="147">
        <f t="shared" si="24"/>
        <v>167.63012731337571</v>
      </c>
      <c r="J204" s="31"/>
      <c r="K204" s="147"/>
      <c r="L204" s="147"/>
      <c r="M204" s="147"/>
      <c r="N204" s="147"/>
      <c r="O204" s="147"/>
      <c r="P204" s="147"/>
      <c r="Q204" s="147"/>
      <c r="R204" s="147"/>
      <c r="S204" s="147"/>
      <c r="T204" s="147"/>
      <c r="U204" s="147"/>
      <c r="V204" s="147"/>
      <c r="W204" s="147"/>
      <c r="X204" s="147"/>
      <c r="Y204" s="147"/>
      <c r="Z204" s="147"/>
      <c r="AA204" s="147"/>
      <c r="AB204" s="147"/>
      <c r="AC204" s="147"/>
      <c r="AD204" s="147"/>
      <c r="AE204" s="147"/>
      <c r="AF204" s="147"/>
      <c r="AG204" s="147"/>
      <c r="AH204" s="147"/>
      <c r="AI204" s="147"/>
      <c r="AJ204" s="147"/>
      <c r="AK204" s="147"/>
      <c r="AL204" s="147"/>
      <c r="AM204" s="147">
        <f>(AM$83 * AM115) + (AM$38 * AM70) + AM166</f>
        <v>5.7065575255617267</v>
      </c>
      <c r="AN204" s="147">
        <f t="shared" si="30"/>
        <v>5.7065575255617267</v>
      </c>
      <c r="AO204" s="147">
        <f t="shared" si="30"/>
        <v>5.7065575255617267</v>
      </c>
      <c r="AP204" s="147">
        <f t="shared" si="30"/>
        <v>5.7065575255617267</v>
      </c>
      <c r="AQ204" s="147">
        <f t="shared" si="30"/>
        <v>5.7065575255617267</v>
      </c>
      <c r="AR204" s="147">
        <f t="shared" si="30"/>
        <v>0</v>
      </c>
      <c r="AS204" s="147"/>
      <c r="AT204" s="147"/>
      <c r="AU204" s="147"/>
      <c r="AV204" s="147"/>
      <c r="AW204" s="147"/>
      <c r="AX204" s="147"/>
      <c r="AY204" s="147"/>
      <c r="AZ204" s="147"/>
      <c r="BA204" s="147"/>
      <c r="BB204" s="147"/>
      <c r="BC204" s="147"/>
      <c r="BD204" s="147"/>
      <c r="BE204" s="147"/>
      <c r="BF204" s="147"/>
      <c r="BG204" s="147"/>
      <c r="BH204" s="147"/>
      <c r="BI204" s="147"/>
      <c r="BJ204" s="147"/>
      <c r="BK204" s="147"/>
      <c r="BL204" s="147"/>
      <c r="BM204" s="147"/>
      <c r="BN204" s="147"/>
      <c r="BO204" s="147"/>
      <c r="BP204" s="147"/>
      <c r="BQ204" s="147"/>
      <c r="BR204" s="147"/>
      <c r="BS204" s="147"/>
    </row>
    <row r="205" spans="2:74" ht="15" customHeight="1">
      <c r="B205" s="87"/>
      <c r="E205" s="184">
        <v>43555</v>
      </c>
      <c r="G205" s="158" t="s">
        <v>844</v>
      </c>
      <c r="H205" s="147"/>
      <c r="I205" s="147">
        <f t="shared" si="24"/>
        <v>162.14536051015963</v>
      </c>
      <c r="J205" s="31"/>
      <c r="K205" s="147"/>
      <c r="L205" s="147"/>
      <c r="M205" s="147"/>
      <c r="N205" s="147"/>
      <c r="O205" s="147"/>
      <c r="P205" s="147"/>
      <c r="Q205" s="147"/>
      <c r="R205" s="147"/>
      <c r="S205" s="147"/>
      <c r="T205" s="147"/>
      <c r="U205" s="147"/>
      <c r="V205" s="147"/>
      <c r="W205" s="147"/>
      <c r="X205" s="147"/>
      <c r="Y205" s="147"/>
      <c r="Z205" s="147"/>
      <c r="AA205" s="147"/>
      <c r="AB205" s="147"/>
      <c r="AC205" s="147"/>
      <c r="AD205" s="147"/>
      <c r="AE205" s="147"/>
      <c r="AF205" s="147"/>
      <c r="AG205" s="147"/>
      <c r="AH205" s="147"/>
      <c r="AI205" s="147"/>
      <c r="AJ205" s="147"/>
      <c r="AK205" s="147"/>
      <c r="AL205" s="147"/>
      <c r="AM205" s="147"/>
      <c r="AN205" s="147">
        <f t="shared" si="30"/>
        <v>4.9890880156972193</v>
      </c>
      <c r="AO205" s="147">
        <f t="shared" si="30"/>
        <v>4.9890880156972193</v>
      </c>
      <c r="AP205" s="147">
        <f t="shared" si="30"/>
        <v>4.9890880156972193</v>
      </c>
      <c r="AQ205" s="147">
        <f t="shared" si="30"/>
        <v>4.9890880156972193</v>
      </c>
      <c r="AR205" s="147">
        <f t="shared" si="30"/>
        <v>0</v>
      </c>
      <c r="AS205" s="147"/>
      <c r="AT205" s="147"/>
      <c r="AU205" s="147"/>
      <c r="AV205" s="147"/>
      <c r="AW205" s="147"/>
      <c r="AX205" s="147"/>
      <c r="AY205" s="147"/>
      <c r="AZ205" s="147"/>
      <c r="BA205" s="147"/>
      <c r="BB205" s="147"/>
      <c r="BC205" s="147"/>
      <c r="BD205" s="147"/>
      <c r="BE205" s="147"/>
      <c r="BF205" s="147"/>
      <c r="BG205" s="147"/>
      <c r="BH205" s="147"/>
      <c r="BI205" s="147"/>
      <c r="BJ205" s="147"/>
      <c r="BK205" s="147"/>
      <c r="BL205" s="147"/>
      <c r="BM205" s="147"/>
      <c r="BN205" s="147"/>
      <c r="BO205" s="147"/>
      <c r="BP205" s="147"/>
      <c r="BQ205" s="147"/>
      <c r="BR205" s="147"/>
      <c r="BS205" s="147"/>
      <c r="BT205" s="147"/>
    </row>
    <row r="206" spans="2:74" ht="15" customHeight="1">
      <c r="B206" s="87"/>
      <c r="E206" s="184">
        <v>43921</v>
      </c>
      <c r="G206" s="158" t="s">
        <v>844</v>
      </c>
      <c r="H206" s="147"/>
      <c r="I206" s="147">
        <f t="shared" si="24"/>
        <v>157.21615584475998</v>
      </c>
      <c r="J206" s="31"/>
      <c r="K206" s="147"/>
      <c r="L206" s="147"/>
      <c r="M206" s="147"/>
      <c r="N206" s="147"/>
      <c r="O206" s="147"/>
      <c r="P206" s="147"/>
      <c r="Q206" s="147"/>
      <c r="R206" s="147"/>
      <c r="S206" s="147"/>
      <c r="T206" s="147"/>
      <c r="U206" s="147"/>
      <c r="V206" s="147"/>
      <c r="W206" s="147"/>
      <c r="X206" s="147"/>
      <c r="Y206" s="147"/>
      <c r="Z206" s="147"/>
      <c r="AA206" s="147"/>
      <c r="AB206" s="147"/>
      <c r="AC206" s="147"/>
      <c r="AD206" s="147"/>
      <c r="AE206" s="147"/>
      <c r="AF206" s="147"/>
      <c r="AG206" s="147"/>
      <c r="AH206" s="147"/>
      <c r="AI206" s="147"/>
      <c r="AJ206" s="147"/>
      <c r="AK206" s="147"/>
      <c r="AL206" s="147"/>
      <c r="AM206" s="147"/>
      <c r="AN206" s="147"/>
      <c r="AO206" s="147">
        <f t="shared" si="30"/>
        <v>4.4130850763441396</v>
      </c>
      <c r="AP206" s="147">
        <f t="shared" si="30"/>
        <v>4.4130850763441396</v>
      </c>
      <c r="AQ206" s="147">
        <f t="shared" si="30"/>
        <v>4.4130850763441396</v>
      </c>
      <c r="AR206" s="147">
        <f t="shared" si="30"/>
        <v>0</v>
      </c>
      <c r="AS206" s="147"/>
      <c r="AT206" s="147"/>
      <c r="AU206" s="147"/>
      <c r="AV206" s="147"/>
      <c r="AW206" s="147"/>
      <c r="AX206" s="147"/>
      <c r="AY206" s="147"/>
      <c r="AZ206" s="147"/>
      <c r="BA206" s="147"/>
      <c r="BB206" s="147"/>
      <c r="BC206" s="147"/>
      <c r="BD206" s="147"/>
      <c r="BE206" s="147"/>
      <c r="BF206" s="147"/>
      <c r="BG206" s="147"/>
      <c r="BH206" s="147"/>
      <c r="BI206" s="147"/>
      <c r="BJ206" s="147"/>
      <c r="BK206" s="147"/>
      <c r="BL206" s="147"/>
      <c r="BM206" s="147"/>
      <c r="BN206" s="147"/>
      <c r="BO206" s="147"/>
      <c r="BP206" s="147"/>
      <c r="BQ206" s="147"/>
      <c r="BR206" s="147"/>
      <c r="BS206" s="147"/>
      <c r="BT206" s="147"/>
      <c r="BU206" s="147"/>
    </row>
    <row r="207" spans="2:74" ht="15" customHeight="1">
      <c r="B207" s="87"/>
      <c r="E207" s="184">
        <v>44286</v>
      </c>
      <c r="G207" s="158" t="s">
        <v>844</v>
      </c>
      <c r="H207" s="147"/>
      <c r="I207" s="147">
        <f t="shared" si="24"/>
        <v>152.36174091460876</v>
      </c>
      <c r="J207" s="31"/>
      <c r="K207" s="147"/>
      <c r="L207" s="147"/>
      <c r="M207" s="147"/>
      <c r="N207" s="147"/>
      <c r="O207" s="147"/>
      <c r="P207" s="147"/>
      <c r="Q207" s="147"/>
      <c r="R207" s="147"/>
      <c r="S207" s="147"/>
      <c r="T207" s="147"/>
      <c r="U207" s="147"/>
      <c r="V207" s="147"/>
      <c r="W207" s="147"/>
      <c r="X207" s="147"/>
      <c r="Y207" s="147"/>
      <c r="Z207" s="147"/>
      <c r="AA207" s="147"/>
      <c r="AB207" s="147"/>
      <c r="AC207" s="147"/>
      <c r="AD207" s="147"/>
      <c r="AE207" s="147"/>
      <c r="AF207" s="147"/>
      <c r="AG207" s="147"/>
      <c r="AH207" s="147"/>
      <c r="AI207" s="147"/>
      <c r="AJ207" s="147"/>
      <c r="AK207" s="147"/>
      <c r="AL207" s="147"/>
      <c r="AM207" s="147"/>
      <c r="AN207" s="147"/>
      <c r="AO207" s="147"/>
      <c r="AP207" s="147">
        <f>(AP$83 * AP118) + (AP$38 * AP73) + AP169</f>
        <v>3.9319158945705488</v>
      </c>
      <c r="AQ207" s="147">
        <f t="shared" si="30"/>
        <v>3.9319158945705488</v>
      </c>
      <c r="AR207" s="147">
        <f t="shared" si="30"/>
        <v>0</v>
      </c>
      <c r="AS207" s="147"/>
      <c r="AT207" s="147"/>
      <c r="AU207" s="147"/>
      <c r="AV207" s="147"/>
      <c r="AW207" s="147"/>
      <c r="AX207" s="147"/>
      <c r="AY207" s="147"/>
      <c r="AZ207" s="147"/>
      <c r="BA207" s="147"/>
      <c r="BB207" s="147"/>
      <c r="BC207" s="147"/>
      <c r="BD207" s="147"/>
      <c r="BE207" s="147"/>
      <c r="BF207" s="147"/>
      <c r="BG207" s="147"/>
      <c r="BH207" s="147"/>
      <c r="BI207" s="147"/>
      <c r="BJ207" s="147"/>
      <c r="BK207" s="147"/>
      <c r="BL207" s="147"/>
      <c r="BM207" s="147"/>
      <c r="BN207" s="147"/>
      <c r="BO207" s="147"/>
      <c r="BP207" s="147"/>
      <c r="BQ207" s="147"/>
      <c r="BR207" s="147"/>
      <c r="BS207" s="147"/>
      <c r="BT207" s="147"/>
      <c r="BU207" s="147"/>
      <c r="BV207" s="147"/>
    </row>
    <row r="208" spans="2:74" ht="15" customHeight="1">
      <c r="E208" s="307">
        <v>44651</v>
      </c>
      <c r="F208" s="154"/>
      <c r="G208" s="154" t="s">
        <v>844</v>
      </c>
      <c r="H208" s="157"/>
      <c r="I208" s="157">
        <f t="shared" si="24"/>
        <v>152.79897079574016</v>
      </c>
      <c r="J208" s="31"/>
      <c r="K208" s="147"/>
      <c r="L208" s="147"/>
      <c r="M208" s="147"/>
      <c r="N208" s="147"/>
      <c r="O208" s="147"/>
      <c r="P208" s="147"/>
      <c r="Q208" s="147"/>
      <c r="R208" s="147"/>
      <c r="S208" s="147"/>
      <c r="T208" s="147"/>
      <c r="U208" s="147"/>
      <c r="V208" s="147"/>
      <c r="W208" s="147"/>
      <c r="X208" s="147"/>
      <c r="Y208" s="147"/>
      <c r="Z208" s="147"/>
      <c r="AA208" s="147"/>
      <c r="AB208" s="147"/>
      <c r="AC208" s="147"/>
      <c r="AD208" s="147"/>
      <c r="AE208" s="147"/>
      <c r="AF208" s="147"/>
      <c r="AG208" s="147"/>
      <c r="AH208" s="147"/>
      <c r="AI208" s="147"/>
      <c r="AJ208" s="147"/>
      <c r="AK208" s="147"/>
      <c r="AL208" s="147"/>
      <c r="AM208" s="147"/>
      <c r="AN208" s="147"/>
      <c r="AO208" s="147"/>
      <c r="AP208" s="147"/>
      <c r="AQ208" s="147">
        <f t="shared" si="30"/>
        <v>3.6489306458684219</v>
      </c>
      <c r="AR208" s="147">
        <f t="shared" si="30"/>
        <v>0</v>
      </c>
      <c r="AS208" s="147"/>
      <c r="AT208" s="147"/>
      <c r="AU208" s="147"/>
      <c r="AV208" s="147"/>
      <c r="AW208" s="147"/>
      <c r="AX208" s="147"/>
    </row>
    <row r="209" spans="2:43" ht="15" customHeight="1">
      <c r="E209" s="307">
        <v>45016</v>
      </c>
      <c r="F209" s="154"/>
      <c r="G209" s="154" t="s">
        <v>844</v>
      </c>
      <c r="H209" s="157"/>
      <c r="I209" s="157">
        <f t="shared" si="24"/>
        <v>148.8695577731709</v>
      </c>
      <c r="J209" s="31"/>
      <c r="K209" s="147"/>
      <c r="L209" s="147"/>
      <c r="M209" s="147"/>
      <c r="N209" s="147"/>
      <c r="O209" s="147"/>
      <c r="P209" s="147"/>
      <c r="Q209" s="147"/>
      <c r="R209" s="147"/>
      <c r="S209" s="147"/>
      <c r="T209" s="147"/>
      <c r="U209" s="147"/>
      <c r="V209" s="147"/>
      <c r="W209" s="147"/>
      <c r="X209" s="147"/>
      <c r="Y209" s="147"/>
      <c r="Z209" s="147"/>
      <c r="AA209" s="147"/>
      <c r="AB209" s="147"/>
      <c r="AC209" s="147"/>
      <c r="AD209" s="147"/>
      <c r="AE209" s="147"/>
      <c r="AF209" s="147"/>
      <c r="AG209" s="147"/>
      <c r="AH209" s="147"/>
      <c r="AI209" s="147"/>
      <c r="AJ209" s="147"/>
      <c r="AK209" s="147"/>
      <c r="AL209" s="147"/>
      <c r="AM209" s="147"/>
      <c r="AN209" s="147"/>
      <c r="AO209" s="147"/>
      <c r="AP209" s="147"/>
      <c r="AQ209" s="147"/>
    </row>
    <row r="210" spans="2:43" ht="15" customHeight="1">
      <c r="B210" s="417">
        <f t="shared" ref="B210" si="31">SUM(B177:B209)</f>
        <v>0</v>
      </c>
      <c r="C210" s="417">
        <f t="shared" ref="C210" si="32">SUM(C177:C209)</f>
        <v>0</v>
      </c>
      <c r="E210" s="149" t="s">
        <v>6</v>
      </c>
      <c r="H210" s="147"/>
      <c r="I210" s="147"/>
      <c r="J210" s="31"/>
      <c r="K210" s="147"/>
      <c r="L210" s="168">
        <f t="shared" ref="L210:AI210" si="33">SUM(L177:L209)</f>
        <v>0.63385897310439465</v>
      </c>
      <c r="M210" s="168">
        <f t="shared" si="33"/>
        <v>3.0119867992040943</v>
      </c>
      <c r="N210" s="168">
        <f t="shared" si="33"/>
        <v>5.3901146253037933</v>
      </c>
      <c r="O210" s="168">
        <f t="shared" si="33"/>
        <v>8.0458449213762204</v>
      </c>
      <c r="P210" s="168">
        <f t="shared" si="33"/>
        <v>9.9705553798537991</v>
      </c>
      <c r="Q210" s="168">
        <f t="shared" si="33"/>
        <v>11.446475178542133</v>
      </c>
      <c r="R210" s="168">
        <f t="shared" si="33"/>
        <v>13.33417197435668</v>
      </c>
      <c r="S210" s="168">
        <f t="shared" si="33"/>
        <v>14.666663830225772</v>
      </c>
      <c r="T210" s="168">
        <f t="shared" si="33"/>
        <v>16.578063703968528</v>
      </c>
      <c r="U210" s="168">
        <f t="shared" si="33"/>
        <v>18.375762665328445</v>
      </c>
      <c r="V210" s="168">
        <f t="shared" si="33"/>
        <v>20.640300965667894</v>
      </c>
      <c r="W210" s="168">
        <f t="shared" si="33"/>
        <v>23.757039639141979</v>
      </c>
      <c r="X210" s="417">
        <f t="shared" si="33"/>
        <v>26.658545363053445</v>
      </c>
      <c r="Y210" s="168">
        <f t="shared" si="33"/>
        <v>56.988903576184263</v>
      </c>
      <c r="Z210" s="168">
        <f t="shared" si="33"/>
        <v>62.326836463797463</v>
      </c>
      <c r="AA210" s="168">
        <f t="shared" si="33"/>
        <v>68.611330708736702</v>
      </c>
      <c r="AB210" s="168">
        <f t="shared" si="33"/>
        <v>73.600916574518237</v>
      </c>
      <c r="AC210" s="168">
        <f t="shared" si="33"/>
        <v>80.568449319109703</v>
      </c>
      <c r="AD210" s="168">
        <f t="shared" si="33"/>
        <v>88.821745082281893</v>
      </c>
      <c r="AE210" s="168">
        <f t="shared" si="33"/>
        <v>98.629965641919071</v>
      </c>
      <c r="AF210" s="168">
        <f t="shared" si="33"/>
        <v>106.65866258963196</v>
      </c>
      <c r="AG210" s="168">
        <f t="shared" si="33"/>
        <v>110.58050206540085</v>
      </c>
      <c r="AH210" s="168">
        <f t="shared" si="33"/>
        <v>114.33963382338879</v>
      </c>
      <c r="AI210" s="168">
        <f t="shared" si="33"/>
        <v>118.37518384123744</v>
      </c>
      <c r="AJ210" s="348">
        <f>SUM(AJ177:AJ209)</f>
        <v>124.24582509195155</v>
      </c>
      <c r="AK210" s="168">
        <f t="shared" ref="AK210:AQ210" si="34">SUM(AK177:AK209)</f>
        <v>128.58758374279918</v>
      </c>
      <c r="AL210" s="168">
        <f t="shared" si="34"/>
        <v>131.99264584696695</v>
      </c>
      <c r="AM210" s="168">
        <f t="shared" si="34"/>
        <v>135.48060443250662</v>
      </c>
      <c r="AN210" s="168">
        <f t="shared" si="34"/>
        <v>129.63929563357419</v>
      </c>
      <c r="AO210" s="168">
        <f t="shared" si="34"/>
        <v>131.05921193925411</v>
      </c>
      <c r="AP210" s="168">
        <f t="shared" si="34"/>
        <v>131.22067156375945</v>
      </c>
      <c r="AQ210" s="168">
        <f t="shared" si="34"/>
        <v>129.68023231829352</v>
      </c>
    </row>
    <row r="211" spans="2:43" ht="15" customHeight="1">
      <c r="E211" s="149"/>
      <c r="H211" s="147"/>
      <c r="I211" s="147"/>
      <c r="J211" s="31"/>
      <c r="K211" s="147"/>
      <c r="L211" s="147"/>
      <c r="M211" s="147"/>
      <c r="N211" s="147"/>
      <c r="O211" s="147"/>
      <c r="P211" s="147"/>
      <c r="Q211" s="147"/>
      <c r="R211" s="147"/>
      <c r="S211" s="147"/>
      <c r="T211" s="147"/>
      <c r="U211" s="147"/>
      <c r="V211" s="147"/>
      <c r="W211" s="147"/>
      <c r="X211" s="147"/>
      <c r="Y211" s="147"/>
      <c r="Z211" s="147"/>
      <c r="AA211" s="147"/>
      <c r="AB211" s="147"/>
      <c r="AC211" s="147"/>
      <c r="AD211" s="147"/>
      <c r="AE211" s="147"/>
      <c r="AF211" s="147"/>
      <c r="AG211" s="147"/>
      <c r="AH211" s="147"/>
      <c r="AI211" s="147"/>
      <c r="AJ211" s="147"/>
      <c r="AK211" s="147"/>
      <c r="AL211" s="147"/>
      <c r="AM211" s="147"/>
      <c r="AN211" s="147"/>
      <c r="AO211" s="147"/>
      <c r="AP211" s="147"/>
      <c r="AQ211" s="147"/>
    </row>
    <row r="212" spans="2:43" ht="15" customHeight="1">
      <c r="E212" s="149"/>
      <c r="H212" s="147"/>
      <c r="I212" s="147"/>
      <c r="J212" s="31"/>
      <c r="K212" s="147"/>
      <c r="L212" s="147"/>
      <c r="M212" s="147"/>
      <c r="N212" s="147"/>
      <c r="O212" s="147"/>
      <c r="P212" s="147"/>
      <c r="Q212" s="147"/>
      <c r="R212" s="149"/>
      <c r="S212" s="149"/>
      <c r="T212" s="149"/>
      <c r="U212" s="149"/>
      <c r="V212" s="147"/>
      <c r="W212" s="147"/>
      <c r="X212" s="147"/>
      <c r="Y212" s="147"/>
      <c r="Z212" s="147"/>
      <c r="AA212" s="147"/>
      <c r="AB212" s="147"/>
      <c r="AC212" s="147"/>
      <c r="AD212" s="147"/>
      <c r="AE212" s="147"/>
      <c r="AF212" s="147"/>
      <c r="AG212" s="147"/>
      <c r="AH212" s="147"/>
      <c r="AI212" s="147"/>
      <c r="AJ212" s="147"/>
      <c r="AK212" s="147"/>
      <c r="AL212" s="147"/>
      <c r="AM212" s="147"/>
      <c r="AN212" s="147"/>
      <c r="AO212" s="147"/>
      <c r="AP212" s="149"/>
      <c r="AQ212" s="149"/>
    </row>
    <row r="213" spans="2:43" ht="15" customHeight="1">
      <c r="C213" s="17" t="s">
        <v>233</v>
      </c>
      <c r="D213" s="17"/>
      <c r="E213" s="17"/>
      <c r="F213" s="17"/>
      <c r="G213" s="17"/>
      <c r="H213" s="17"/>
      <c r="I213" s="332"/>
      <c r="J213" s="345"/>
      <c r="K213" s="332"/>
      <c r="L213" s="332"/>
      <c r="M213" s="332"/>
      <c r="N213" s="332"/>
      <c r="O213" s="332"/>
      <c r="P213" s="332"/>
      <c r="Q213" s="332"/>
      <c r="R213" s="332"/>
      <c r="S213" s="332"/>
      <c r="T213" s="332"/>
      <c r="U213" s="332"/>
      <c r="V213" s="332"/>
      <c r="W213" s="332"/>
      <c r="X213" s="332"/>
      <c r="Y213" s="332"/>
      <c r="Z213" s="332"/>
      <c r="AA213" s="332"/>
      <c r="AB213" s="332"/>
      <c r="AC213" s="332"/>
      <c r="AD213" s="332"/>
      <c r="AE213" s="332"/>
      <c r="AF213" s="332"/>
      <c r="AG213" s="332"/>
      <c r="AH213" s="332"/>
      <c r="AI213" s="332"/>
      <c r="AJ213" s="332"/>
      <c r="AK213" s="332"/>
      <c r="AL213" s="332"/>
      <c r="AM213" s="332"/>
      <c r="AN213" s="332"/>
      <c r="AO213" s="332"/>
      <c r="AP213" s="332"/>
      <c r="AQ213" s="332"/>
    </row>
    <row r="214" spans="2:43" s="151" customFormat="1" ht="15" customHeight="1">
      <c r="B214" s="147"/>
      <c r="C214" s="166" t="s">
        <v>395</v>
      </c>
      <c r="D214" s="166"/>
      <c r="E214" s="166"/>
      <c r="F214" s="166"/>
      <c r="G214" s="166"/>
      <c r="H214" s="166"/>
      <c r="I214" s="197"/>
      <c r="J214" s="197"/>
      <c r="K214" s="197"/>
      <c r="L214" s="197"/>
      <c r="M214" s="197"/>
      <c r="N214" s="197"/>
      <c r="O214" s="197"/>
      <c r="P214" s="197"/>
      <c r="Q214" s="197"/>
      <c r="R214" s="197"/>
      <c r="S214" s="197"/>
      <c r="T214" s="197"/>
      <c r="U214" s="197"/>
      <c r="V214" s="197"/>
      <c r="W214" s="197"/>
      <c r="X214" s="197"/>
      <c r="Y214" s="197"/>
      <c r="Z214" s="197"/>
      <c r="AA214" s="197"/>
      <c r="AB214" s="197"/>
      <c r="AC214" s="197"/>
      <c r="AD214" s="197"/>
      <c r="AE214" s="197"/>
      <c r="AF214" s="197"/>
      <c r="AG214" s="197"/>
      <c r="AH214" s="197"/>
      <c r="AI214" s="197"/>
      <c r="AJ214" s="197"/>
      <c r="AK214" s="197"/>
      <c r="AL214" s="197"/>
      <c r="AM214" s="197"/>
      <c r="AN214" s="197"/>
      <c r="AO214" s="197"/>
      <c r="AP214" s="197"/>
      <c r="AQ214" s="197"/>
    </row>
    <row r="215" spans="2:43" ht="15" customHeight="1">
      <c r="E215" s="149"/>
      <c r="H215" s="147"/>
      <c r="I215" s="147"/>
      <c r="J215" s="31"/>
      <c r="K215" s="147"/>
      <c r="L215" s="147"/>
      <c r="M215" s="147"/>
      <c r="N215" s="147"/>
      <c r="O215" s="147"/>
      <c r="P215" s="147"/>
      <c r="Q215" s="147"/>
      <c r="R215" s="149"/>
      <c r="S215" s="149"/>
      <c r="T215" s="149"/>
      <c r="U215" s="149"/>
      <c r="V215" s="147"/>
      <c r="W215" s="147"/>
      <c r="X215" s="147"/>
      <c r="Y215" s="147"/>
      <c r="Z215" s="147"/>
      <c r="AA215" s="147"/>
      <c r="AB215" s="147"/>
      <c r="AC215" s="147"/>
      <c r="AD215" s="147"/>
      <c r="AE215" s="147"/>
      <c r="AF215" s="147"/>
      <c r="AG215" s="147"/>
      <c r="AH215" s="147"/>
      <c r="AI215" s="147"/>
      <c r="AJ215" s="147"/>
      <c r="AK215" s="147"/>
      <c r="AL215" s="147"/>
      <c r="AM215" s="147"/>
      <c r="AN215" s="147"/>
      <c r="AO215" s="147"/>
      <c r="AP215" s="149"/>
      <c r="AQ215" s="149"/>
    </row>
    <row r="216" spans="2:43" s="151" customFormat="1" ht="15" customHeight="1">
      <c r="B216" s="147"/>
      <c r="D216" s="147"/>
      <c r="E216" s="147" t="s">
        <v>230</v>
      </c>
      <c r="F216" s="147"/>
      <c r="G216" s="158" t="s">
        <v>844</v>
      </c>
      <c r="H216" s="147"/>
      <c r="I216" s="147"/>
      <c r="J216" s="31" t="s">
        <v>56</v>
      </c>
      <c r="K216" s="147"/>
      <c r="L216" s="147"/>
      <c r="M216" s="147"/>
      <c r="N216" s="147"/>
      <c r="O216" s="147"/>
      <c r="P216" s="147"/>
      <c r="Q216" s="147"/>
      <c r="R216" s="147"/>
      <c r="S216" s="147"/>
      <c r="T216" s="147"/>
      <c r="U216" s="147"/>
      <c r="V216" s="147"/>
      <c r="W216" s="147"/>
      <c r="X216" s="147"/>
      <c r="Y216" s="147"/>
      <c r="Z216" s="147"/>
      <c r="AA216" s="147"/>
      <c r="AB216" s="147"/>
      <c r="AC216" s="147"/>
      <c r="AD216" s="147"/>
      <c r="AE216" s="147"/>
      <c r="AF216" s="147"/>
      <c r="AG216" s="147"/>
      <c r="AH216" s="107"/>
      <c r="AI216" s="107">
        <f>SUM($K18:AI18)</f>
        <v>2663.9776754912023</v>
      </c>
      <c r="AJ216" s="147"/>
      <c r="AL216" s="147"/>
      <c r="AM216" s="147"/>
      <c r="AN216" s="147"/>
      <c r="AO216" s="147"/>
      <c r="AP216" s="147"/>
      <c r="AQ216" s="147"/>
    </row>
    <row r="217" spans="2:43" ht="15" customHeight="1">
      <c r="E217" s="149" t="s">
        <v>117</v>
      </c>
      <c r="G217" s="158" t="s">
        <v>844</v>
      </c>
      <c r="H217" s="147"/>
      <c r="I217" s="147"/>
      <c r="J217" s="31" t="s">
        <v>56</v>
      </c>
      <c r="K217" s="147"/>
      <c r="L217" s="147"/>
      <c r="M217" s="147"/>
      <c r="N217" s="147"/>
      <c r="O217" s="147"/>
      <c r="P217" s="147"/>
      <c r="Q217" s="147"/>
      <c r="R217" s="149"/>
      <c r="S217" s="149"/>
      <c r="T217" s="149"/>
      <c r="U217" s="149"/>
      <c r="V217" s="147"/>
      <c r="W217" s="147"/>
      <c r="X217" s="147"/>
      <c r="Y217" s="147"/>
      <c r="Z217" s="147"/>
      <c r="AA217" s="147"/>
      <c r="AB217" s="147"/>
      <c r="AC217" s="147"/>
      <c r="AD217" s="147"/>
      <c r="AE217" s="147"/>
      <c r="AF217" s="147"/>
      <c r="AG217" s="147"/>
      <c r="AH217" s="107"/>
      <c r="AI217" s="107">
        <f>SUM($K$23:$AI$23) + SUM($K210:AI210)</f>
        <v>1152.0115137053335</v>
      </c>
      <c r="AJ217" s="147"/>
      <c r="AL217" s="147"/>
      <c r="AM217" s="147"/>
      <c r="AN217" s="147"/>
      <c r="AO217" s="147"/>
      <c r="AP217" s="147"/>
      <c r="AQ217" s="147"/>
    </row>
    <row r="218" spans="2:43" ht="15" customHeight="1">
      <c r="E218" s="149"/>
      <c r="H218" s="147"/>
      <c r="I218" s="147"/>
      <c r="J218" s="31"/>
      <c r="K218" s="147"/>
      <c r="L218" s="147"/>
      <c r="M218" s="147"/>
      <c r="N218" s="147"/>
      <c r="O218" s="147"/>
      <c r="P218" s="147"/>
      <c r="Q218" s="147"/>
      <c r="R218" s="149"/>
      <c r="S218" s="149"/>
      <c r="T218" s="149"/>
      <c r="U218" s="149"/>
      <c r="V218" s="147"/>
      <c r="W218" s="147"/>
      <c r="X218" s="147"/>
      <c r="Y218" s="147"/>
      <c r="Z218" s="147"/>
      <c r="AA218" s="147"/>
      <c r="AB218" s="147"/>
      <c r="AC218" s="147"/>
      <c r="AD218" s="147"/>
      <c r="AE218" s="147"/>
      <c r="AF218" s="147"/>
      <c r="AG218" s="147"/>
      <c r="AH218" s="147"/>
      <c r="AI218" s="147"/>
      <c r="AJ218" s="147"/>
      <c r="AL218" s="147"/>
      <c r="AM218" s="147"/>
      <c r="AN218" s="147"/>
      <c r="AO218" s="147"/>
      <c r="AP218" s="149"/>
      <c r="AQ218" s="149"/>
    </row>
    <row r="219" spans="2:43" ht="15" customHeight="1">
      <c r="E219" s="149" t="s">
        <v>231</v>
      </c>
      <c r="G219" s="158" t="s">
        <v>844</v>
      </c>
      <c r="H219" s="147"/>
      <c r="I219" s="147"/>
      <c r="J219" s="31"/>
      <c r="K219" s="147"/>
      <c r="L219" s="147"/>
      <c r="M219" s="147"/>
      <c r="N219" s="147"/>
      <c r="O219" s="147"/>
      <c r="P219" s="147"/>
      <c r="Q219" s="147"/>
      <c r="R219" s="149"/>
      <c r="S219" s="149"/>
      <c r="T219" s="149"/>
      <c r="U219" s="149"/>
      <c r="V219" s="147"/>
      <c r="W219" s="147"/>
      <c r="X219" s="147"/>
      <c r="Y219" s="147"/>
      <c r="Z219" s="147"/>
      <c r="AA219" s="147"/>
      <c r="AB219" s="147"/>
      <c r="AC219" s="147"/>
      <c r="AD219" s="147"/>
      <c r="AE219" s="147"/>
      <c r="AF219" s="147"/>
      <c r="AG219" s="147"/>
      <c r="AH219" s="149"/>
      <c r="AI219" s="107"/>
      <c r="AJ219" s="107">
        <f>AI216</f>
        <v>2663.9776754912023</v>
      </c>
      <c r="AK219" s="147"/>
      <c r="AL219" s="147"/>
      <c r="AM219" s="147"/>
      <c r="AN219" s="147"/>
      <c r="AO219" s="147"/>
      <c r="AP219" s="149"/>
      <c r="AQ219" s="149"/>
    </row>
    <row r="220" spans="2:43" ht="15" customHeight="1">
      <c r="E220" s="149" t="s">
        <v>232</v>
      </c>
      <c r="G220" s="158" t="s">
        <v>844</v>
      </c>
      <c r="H220" s="147"/>
      <c r="I220" s="147"/>
      <c r="J220" s="31"/>
      <c r="K220" s="147"/>
      <c r="L220" s="147"/>
      <c r="M220" s="147"/>
      <c r="N220" s="147"/>
      <c r="O220" s="147"/>
      <c r="P220" s="147"/>
      <c r="Q220" s="147"/>
      <c r="R220" s="149"/>
      <c r="S220" s="149"/>
      <c r="T220" s="149"/>
      <c r="U220" s="149"/>
      <c r="V220" s="147"/>
      <c r="W220" s="147"/>
      <c r="X220" s="147"/>
      <c r="Y220" s="147"/>
      <c r="Z220" s="147"/>
      <c r="AA220" s="147"/>
      <c r="AB220" s="147"/>
      <c r="AC220" s="147"/>
      <c r="AD220" s="147"/>
      <c r="AE220" s="147"/>
      <c r="AF220" s="147"/>
      <c r="AG220" s="147"/>
      <c r="AH220" s="149"/>
      <c r="AI220" s="107"/>
      <c r="AJ220" s="107">
        <f>AI217</f>
        <v>1152.0115137053335</v>
      </c>
      <c r="AK220" s="147"/>
      <c r="AL220" s="147"/>
      <c r="AM220" s="147"/>
      <c r="AN220" s="147"/>
      <c r="AO220" s="147"/>
      <c r="AP220" s="149"/>
      <c r="AQ220" s="149"/>
    </row>
    <row r="222" spans="2:43" ht="15" customHeight="1">
      <c r="E222" s="158" t="s">
        <v>689</v>
      </c>
      <c r="G222" s="416" t="str">
        <f>IF(SUM(K225:K257)=0,"OK","Error")</f>
        <v>OK</v>
      </c>
    </row>
    <row r="224" spans="2:43" ht="15" customHeight="1">
      <c r="E224" s="158" t="s">
        <v>517</v>
      </c>
      <c r="G224" s="158" t="s">
        <v>543</v>
      </c>
      <c r="I224" s="158" t="s">
        <v>690</v>
      </c>
      <c r="K224" s="158" t="s">
        <v>691</v>
      </c>
    </row>
    <row r="225" spans="5:36" ht="15" customHeight="1">
      <c r="E225" s="307">
        <f>E177</f>
        <v>33328</v>
      </c>
      <c r="G225" s="158">
        <f>SUM(K177:AQ177)</f>
        <v>21.107503804376332</v>
      </c>
      <c r="I225" s="158">
        <f>I177</f>
        <v>21.107503804376339</v>
      </c>
      <c r="K225" s="158">
        <f>IF(ROUND(G225,6)&gt;ROUND(I225,6),1,0)</f>
        <v>0</v>
      </c>
    </row>
    <row r="226" spans="5:36" ht="15" customHeight="1">
      <c r="E226" s="307">
        <f t="shared" ref="E226:E257" si="35">E178</f>
        <v>33694</v>
      </c>
      <c r="G226" s="158">
        <f t="shared" ref="G226:G257" si="36">SUM(K178:AQ178)</f>
        <v>79.191656609119988</v>
      </c>
      <c r="I226" s="158">
        <f t="shared" ref="I226:I257" si="37">I178</f>
        <v>79.191656609119988</v>
      </c>
      <c r="K226" s="158">
        <f t="shared" ref="K226:K257" si="38">IF(ROUND(G226,6)&gt;ROUND(I226,6),1,0)</f>
        <v>0</v>
      </c>
      <c r="AJ226" s="226"/>
    </row>
    <row r="227" spans="5:36" ht="15" customHeight="1">
      <c r="E227" s="307">
        <f t="shared" si="35"/>
        <v>34059</v>
      </c>
      <c r="G227" s="158">
        <f t="shared" si="36"/>
        <v>79.191656609119931</v>
      </c>
      <c r="I227" s="158">
        <f t="shared" si="37"/>
        <v>79.191656609119988</v>
      </c>
      <c r="K227" s="158">
        <f t="shared" si="38"/>
        <v>0</v>
      </c>
    </row>
    <row r="228" spans="5:36" ht="15" customHeight="1">
      <c r="E228" s="307">
        <f t="shared" si="35"/>
        <v>34424</v>
      </c>
      <c r="G228" s="158">
        <f t="shared" si="36"/>
        <v>88.435818859211793</v>
      </c>
      <c r="I228" s="158">
        <f t="shared" si="37"/>
        <v>88.435818859211835</v>
      </c>
      <c r="K228" s="158">
        <f t="shared" si="38"/>
        <v>0</v>
      </c>
    </row>
    <row r="229" spans="5:36" ht="15" customHeight="1">
      <c r="E229" s="307">
        <f t="shared" si="35"/>
        <v>34789</v>
      </c>
      <c r="G229" s="158">
        <f t="shared" si="36"/>
        <v>64.092858267303328</v>
      </c>
      <c r="I229" s="158">
        <f t="shared" si="37"/>
        <v>64.092858267303342</v>
      </c>
      <c r="K229" s="158">
        <f t="shared" si="38"/>
        <v>0</v>
      </c>
    </row>
    <row r="230" spans="5:36" ht="15" customHeight="1">
      <c r="E230" s="307">
        <f t="shared" si="35"/>
        <v>35155</v>
      </c>
      <c r="G230" s="158">
        <f t="shared" si="36"/>
        <v>49.148129296321578</v>
      </c>
      <c r="I230" s="158">
        <f t="shared" si="37"/>
        <v>49.148129296321557</v>
      </c>
      <c r="K230" s="158">
        <f t="shared" si="38"/>
        <v>0</v>
      </c>
    </row>
    <row r="231" spans="5:36" ht="15" customHeight="1">
      <c r="E231" s="307">
        <f t="shared" si="35"/>
        <v>35520</v>
      </c>
      <c r="G231" s="158">
        <f t="shared" si="36"/>
        <v>62.860303300624423</v>
      </c>
      <c r="I231" s="158">
        <f t="shared" si="37"/>
        <v>62.860303300624423</v>
      </c>
      <c r="K231" s="158">
        <f t="shared" si="38"/>
        <v>0</v>
      </c>
    </row>
    <row r="232" spans="5:36" ht="15" customHeight="1">
      <c r="E232" s="307">
        <f t="shared" si="35"/>
        <v>35885</v>
      </c>
      <c r="G232" s="158">
        <f t="shared" si="36"/>
        <v>44.371978800440765</v>
      </c>
      <c r="I232" s="158">
        <f t="shared" si="37"/>
        <v>44.371978800440779</v>
      </c>
      <c r="K232" s="158">
        <f t="shared" si="38"/>
        <v>0</v>
      </c>
    </row>
    <row r="233" spans="5:36" ht="15" customHeight="1">
      <c r="E233" s="307">
        <f t="shared" si="35"/>
        <v>36250</v>
      </c>
      <c r="G233" s="158">
        <f t="shared" si="36"/>
        <v>63.649615795633814</v>
      </c>
      <c r="I233" s="158">
        <f t="shared" si="37"/>
        <v>63.649615795633814</v>
      </c>
      <c r="K233" s="158">
        <f t="shared" si="38"/>
        <v>0</v>
      </c>
    </row>
    <row r="234" spans="5:36" ht="15" customHeight="1">
      <c r="E234" s="307">
        <f t="shared" si="35"/>
        <v>36616</v>
      </c>
      <c r="G234" s="158">
        <f t="shared" si="36"/>
        <v>59.86337541328529</v>
      </c>
      <c r="I234" s="158">
        <f t="shared" si="37"/>
        <v>59.863375413285262</v>
      </c>
      <c r="K234" s="158">
        <f t="shared" si="38"/>
        <v>0</v>
      </c>
    </row>
    <row r="235" spans="5:36" ht="15" customHeight="1">
      <c r="E235" s="307">
        <f t="shared" si="35"/>
        <v>36981</v>
      </c>
      <c r="G235" s="158">
        <f t="shared" si="36"/>
        <v>75.409125401303641</v>
      </c>
      <c r="I235" s="158">
        <f t="shared" si="37"/>
        <v>75.409125401303626</v>
      </c>
      <c r="K235" s="158">
        <f t="shared" si="38"/>
        <v>0</v>
      </c>
    </row>
    <row r="236" spans="5:36" ht="15" customHeight="1">
      <c r="E236" s="307">
        <f t="shared" si="35"/>
        <v>37346</v>
      </c>
      <c r="G236" s="158">
        <f t="shared" si="36"/>
        <v>103.78739782668704</v>
      </c>
      <c r="I236" s="158">
        <f t="shared" si="37"/>
        <v>103.78739782668701</v>
      </c>
      <c r="K236" s="158">
        <f t="shared" si="38"/>
        <v>0</v>
      </c>
    </row>
    <row r="237" spans="5:36" ht="15" customHeight="1">
      <c r="E237" s="307">
        <f t="shared" si="35"/>
        <v>37711</v>
      </c>
      <c r="G237" s="158">
        <f t="shared" si="36"/>
        <v>96.620140606251752</v>
      </c>
      <c r="I237" s="158">
        <f t="shared" si="37"/>
        <v>96.620140606251795</v>
      </c>
      <c r="K237" s="158">
        <f t="shared" si="38"/>
        <v>0</v>
      </c>
    </row>
    <row r="238" spans="5:36" ht="15" customHeight="1">
      <c r="E238" s="307">
        <f t="shared" si="35"/>
        <v>38077</v>
      </c>
      <c r="G238" s="158">
        <f t="shared" si="36"/>
        <v>94.135680915193916</v>
      </c>
      <c r="I238" s="158">
        <f t="shared" si="37"/>
        <v>99.090190437046175</v>
      </c>
      <c r="K238" s="158">
        <f t="shared" si="38"/>
        <v>0</v>
      </c>
    </row>
    <row r="239" spans="5:36" ht="15" customHeight="1">
      <c r="E239" s="307">
        <f t="shared" si="35"/>
        <v>38442</v>
      </c>
      <c r="G239" s="158">
        <f t="shared" si="36"/>
        <v>96.082791977037544</v>
      </c>
      <c r="I239" s="158">
        <f t="shared" si="37"/>
        <v>106.75865775226399</v>
      </c>
      <c r="K239" s="158">
        <f t="shared" si="38"/>
        <v>0</v>
      </c>
    </row>
    <row r="240" spans="5:36" ht="15" customHeight="1">
      <c r="E240" s="307">
        <f t="shared" si="35"/>
        <v>38807</v>
      </c>
      <c r="G240" s="158">
        <f t="shared" si="36"/>
        <v>106.83640216396705</v>
      </c>
      <c r="I240" s="158">
        <f t="shared" si="37"/>
        <v>125.68988489878477</v>
      </c>
      <c r="K240" s="158">
        <f t="shared" si="38"/>
        <v>0</v>
      </c>
    </row>
    <row r="241" spans="5:11" ht="15" customHeight="1">
      <c r="E241" s="307">
        <f t="shared" si="35"/>
        <v>39172</v>
      </c>
      <c r="G241" s="158">
        <f t="shared" si="36"/>
        <v>79.833373852504565</v>
      </c>
      <c r="I241" s="158">
        <f t="shared" si="37"/>
        <v>99.791717315630706</v>
      </c>
      <c r="K241" s="158">
        <f t="shared" si="38"/>
        <v>0</v>
      </c>
    </row>
    <row r="242" spans="5:11" ht="15" customHeight="1">
      <c r="E242" s="307">
        <f t="shared" si="35"/>
        <v>39538</v>
      </c>
      <c r="G242" s="158">
        <f t="shared" si="36"/>
        <v>104.51299116887201</v>
      </c>
      <c r="I242" s="158">
        <f t="shared" si="37"/>
        <v>139.35065489182935</v>
      </c>
      <c r="K242" s="158">
        <f t="shared" si="38"/>
        <v>0</v>
      </c>
    </row>
    <row r="243" spans="5:11" ht="15" customHeight="1">
      <c r="E243" s="307">
        <f t="shared" si="35"/>
        <v>39903</v>
      </c>
      <c r="G243" s="158">
        <f t="shared" si="36"/>
        <v>115.54614068441064</v>
      </c>
      <c r="I243" s="158">
        <f t="shared" si="37"/>
        <v>165.06591526344377</v>
      </c>
      <c r="K243" s="158">
        <f t="shared" si="38"/>
        <v>0</v>
      </c>
    </row>
    <row r="244" spans="5:11" ht="15" customHeight="1">
      <c r="E244" s="307">
        <f t="shared" si="35"/>
        <v>40268</v>
      </c>
      <c r="G244" s="158">
        <f t="shared" si="36"/>
        <v>127.5068672752833</v>
      </c>
      <c r="I244" s="158">
        <f t="shared" si="37"/>
        <v>196.1644111927435</v>
      </c>
      <c r="K244" s="158">
        <f t="shared" si="38"/>
        <v>0</v>
      </c>
    </row>
    <row r="245" spans="5:11" ht="15" customHeight="1">
      <c r="E245" s="307">
        <f t="shared" si="35"/>
        <v>40633</v>
      </c>
      <c r="G245" s="158">
        <f t="shared" si="36"/>
        <v>109.0088656551804</v>
      </c>
      <c r="I245" s="158">
        <f t="shared" si="37"/>
        <v>181.68144275863403</v>
      </c>
      <c r="K245" s="158">
        <f t="shared" si="38"/>
        <v>0</v>
      </c>
    </row>
    <row r="246" spans="5:11" ht="15" customHeight="1">
      <c r="E246" s="307">
        <f t="shared" si="35"/>
        <v>40999</v>
      </c>
      <c r="G246" s="158">
        <f t="shared" si="36"/>
        <v>86.695645368473748</v>
      </c>
      <c r="I246" s="158">
        <f t="shared" si="37"/>
        <v>157.62844612449771</v>
      </c>
      <c r="K246" s="158">
        <f t="shared" si="38"/>
        <v>0</v>
      </c>
    </row>
    <row r="247" spans="5:11" ht="15" customHeight="1">
      <c r="E247" s="307">
        <f t="shared" si="35"/>
        <v>41364</v>
      </c>
      <c r="G247" s="158">
        <f t="shared" si="36"/>
        <v>77.187145884439715</v>
      </c>
      <c r="I247" s="158">
        <f t="shared" si="37"/>
        <v>154.3742917688794</v>
      </c>
      <c r="K247" s="158">
        <f t="shared" si="38"/>
        <v>0</v>
      </c>
    </row>
    <row r="248" spans="5:11" ht="15" customHeight="1">
      <c r="E248" s="307">
        <f t="shared" si="35"/>
        <v>41729</v>
      </c>
      <c r="G248" s="158">
        <f t="shared" si="36"/>
        <v>76.116068647283115</v>
      </c>
      <c r="I248" s="158">
        <f t="shared" si="37"/>
        <v>169.1468192161847</v>
      </c>
      <c r="K248" s="158">
        <f t="shared" si="38"/>
        <v>0</v>
      </c>
    </row>
    <row r="249" spans="5:11" ht="15" customHeight="1">
      <c r="E249" s="307">
        <f t="shared" si="35"/>
        <v>42094</v>
      </c>
      <c r="G249" s="158">
        <f t="shared" si="36"/>
        <v>72.602273312633983</v>
      </c>
      <c r="I249" s="158">
        <f t="shared" si="37"/>
        <v>181.50568328158491</v>
      </c>
      <c r="K249" s="158">
        <f t="shared" si="38"/>
        <v>0</v>
      </c>
    </row>
    <row r="250" spans="5:11" ht="15" customHeight="1">
      <c r="E250" s="307">
        <f t="shared" si="35"/>
        <v>42460</v>
      </c>
      <c r="G250" s="158">
        <f t="shared" si="36"/>
        <v>47.594155809646146</v>
      </c>
      <c r="I250" s="158">
        <f t="shared" si="37"/>
        <v>157.2306932997239</v>
      </c>
      <c r="K250" s="158">
        <f t="shared" si="38"/>
        <v>0</v>
      </c>
    </row>
    <row r="251" spans="5:11" ht="15" customHeight="1">
      <c r="E251" s="307">
        <f t="shared" si="35"/>
        <v>42825</v>
      </c>
      <c r="G251" s="158">
        <f t="shared" si="36"/>
        <v>39.288463615193933</v>
      </c>
      <c r="I251" s="158">
        <f t="shared" si="37"/>
        <v>171.88702831647345</v>
      </c>
      <c r="K251" s="158">
        <f t="shared" si="38"/>
        <v>0</v>
      </c>
    </row>
    <row r="252" spans="5:11" ht="15" customHeight="1">
      <c r="E252" s="307">
        <f t="shared" si="35"/>
        <v>43190</v>
      </c>
      <c r="G252" s="158">
        <f t="shared" si="36"/>
        <v>28.532787627808634</v>
      </c>
      <c r="I252" s="158">
        <f t="shared" si="37"/>
        <v>167.63012731337571</v>
      </c>
      <c r="K252" s="158">
        <f t="shared" si="38"/>
        <v>0</v>
      </c>
    </row>
    <row r="253" spans="5:11" ht="15" customHeight="1">
      <c r="E253" s="307">
        <f t="shared" si="35"/>
        <v>43555</v>
      </c>
      <c r="G253" s="158">
        <f t="shared" si="36"/>
        <v>19.956352062788877</v>
      </c>
      <c r="I253" s="158">
        <f t="shared" si="37"/>
        <v>162.14536051015963</v>
      </c>
      <c r="K253" s="158">
        <f t="shared" si="38"/>
        <v>0</v>
      </c>
    </row>
    <row r="254" spans="5:11" ht="15" customHeight="1">
      <c r="E254" s="307">
        <f t="shared" si="35"/>
        <v>43921</v>
      </c>
      <c r="G254" s="158">
        <f t="shared" si="36"/>
        <v>13.23925522903242</v>
      </c>
      <c r="I254" s="158">
        <f t="shared" si="37"/>
        <v>157.21615584475998</v>
      </c>
      <c r="K254" s="158">
        <f t="shared" si="38"/>
        <v>0</v>
      </c>
    </row>
    <row r="255" spans="5:11" ht="15" customHeight="1">
      <c r="E255" s="307">
        <f t="shared" si="35"/>
        <v>44286</v>
      </c>
      <c r="G255" s="158">
        <f t="shared" si="36"/>
        <v>7.8638317891410976</v>
      </c>
      <c r="I255" s="158">
        <f t="shared" si="37"/>
        <v>152.36174091460876</v>
      </c>
      <c r="K255" s="158">
        <f t="shared" si="38"/>
        <v>0</v>
      </c>
    </row>
    <row r="256" spans="5:11" ht="15" customHeight="1">
      <c r="E256" s="307">
        <f t="shared" si="35"/>
        <v>44651</v>
      </c>
      <c r="G256" s="158">
        <f t="shared" si="36"/>
        <v>3.6489306458684219</v>
      </c>
      <c r="I256" s="158">
        <f t="shared" si="37"/>
        <v>152.79897079574016</v>
      </c>
      <c r="K256" s="158">
        <f t="shared" si="38"/>
        <v>0</v>
      </c>
    </row>
    <row r="257" spans="5:11" ht="15" customHeight="1">
      <c r="E257" s="307">
        <f t="shared" si="35"/>
        <v>45016</v>
      </c>
      <c r="G257" s="158">
        <f t="shared" si="36"/>
        <v>0</v>
      </c>
      <c r="I257" s="158">
        <f t="shared" si="37"/>
        <v>148.8695577731709</v>
      </c>
      <c r="K257" s="158">
        <f t="shared" si="38"/>
        <v>0</v>
      </c>
    </row>
    <row r="258" spans="5:11" ht="15" customHeight="1">
      <c r="E258" s="307"/>
    </row>
  </sheetData>
  <conditionalFormatting sqref="K79:AB79 L83:AQ83 L127:AQ127 L38:AQ38 L129:AR129">
    <cfRule type="cellIs" dxfId="91" priority="76" operator="equal">
      <formula>FALSE()</formula>
    </cfRule>
  </conditionalFormatting>
  <conditionalFormatting sqref="L88:AQ120">
    <cfRule type="expression" dxfId="90" priority="75">
      <formula>L$83 = FALSE()</formula>
    </cfRule>
  </conditionalFormatting>
  <conditionalFormatting sqref="L43:AQ75">
    <cfRule type="expression" dxfId="89" priority="74">
      <formula>L$38 = FALSE()</formula>
    </cfRule>
  </conditionalFormatting>
  <conditionalFormatting sqref="AR45">
    <cfRule type="expression" dxfId="88" priority="69">
      <formula>AT$38 = FALSE()</formula>
    </cfRule>
  </conditionalFormatting>
  <conditionalFormatting sqref="AR46">
    <cfRule type="expression" dxfId="87" priority="68">
      <formula>AT$38 = FALSE()</formula>
    </cfRule>
  </conditionalFormatting>
  <conditionalFormatting sqref="AS46">
    <cfRule type="expression" dxfId="86" priority="67">
      <formula>AU$38 = FALSE()</formula>
    </cfRule>
  </conditionalFormatting>
  <conditionalFormatting sqref="AS47">
    <cfRule type="expression" dxfId="85" priority="66">
      <formula>AU$38 = FALSE()</formula>
    </cfRule>
  </conditionalFormatting>
  <conditionalFormatting sqref="AT47">
    <cfRule type="expression" dxfId="84" priority="65">
      <formula>AV$38 = FALSE()</formula>
    </cfRule>
  </conditionalFormatting>
  <conditionalFormatting sqref="AT48">
    <cfRule type="expression" dxfId="83" priority="64">
      <formula>AV$38 = FALSE()</formula>
    </cfRule>
  </conditionalFormatting>
  <conditionalFormatting sqref="AU48">
    <cfRule type="expression" dxfId="82" priority="63">
      <formula>AW$38 = FALSE()</formula>
    </cfRule>
  </conditionalFormatting>
  <conditionalFormatting sqref="AU49">
    <cfRule type="expression" dxfId="81" priority="62">
      <formula>AW$38 = FALSE()</formula>
    </cfRule>
  </conditionalFormatting>
  <conditionalFormatting sqref="AV49">
    <cfRule type="expression" dxfId="80" priority="61">
      <formula>AX$38 = FALSE()</formula>
    </cfRule>
  </conditionalFormatting>
  <conditionalFormatting sqref="AV50">
    <cfRule type="expression" dxfId="79" priority="60">
      <formula>AX$38 = FALSE()</formula>
    </cfRule>
  </conditionalFormatting>
  <conditionalFormatting sqref="AW50">
    <cfRule type="expression" dxfId="78" priority="59">
      <formula>AY$38 = FALSE()</formula>
    </cfRule>
  </conditionalFormatting>
  <conditionalFormatting sqref="AW51">
    <cfRule type="expression" dxfId="77" priority="58">
      <formula>AY$38 = FALSE()</formula>
    </cfRule>
  </conditionalFormatting>
  <conditionalFormatting sqref="AX51">
    <cfRule type="expression" dxfId="76" priority="57">
      <formula>AZ$38 = FALSE()</formula>
    </cfRule>
  </conditionalFormatting>
  <conditionalFormatting sqref="AX52">
    <cfRule type="expression" dxfId="75" priority="56">
      <formula>AZ$38 = FALSE()</formula>
    </cfRule>
  </conditionalFormatting>
  <conditionalFormatting sqref="AY52">
    <cfRule type="expression" dxfId="74" priority="55">
      <formula>BA$38 = FALSE()</formula>
    </cfRule>
  </conditionalFormatting>
  <conditionalFormatting sqref="AY53">
    <cfRule type="expression" dxfId="73" priority="54">
      <formula>BA$38 = FALSE()</formula>
    </cfRule>
  </conditionalFormatting>
  <conditionalFormatting sqref="AZ53">
    <cfRule type="expression" dxfId="72" priority="53">
      <formula>BB$38 = FALSE()</formula>
    </cfRule>
  </conditionalFormatting>
  <conditionalFormatting sqref="AZ54">
    <cfRule type="expression" dxfId="71" priority="52">
      <formula>BB$38 = FALSE()</formula>
    </cfRule>
  </conditionalFormatting>
  <conditionalFormatting sqref="BA54">
    <cfRule type="expression" dxfId="70" priority="51">
      <formula>BC$38 = FALSE()</formula>
    </cfRule>
  </conditionalFormatting>
  <conditionalFormatting sqref="BA55">
    <cfRule type="expression" dxfId="69" priority="50">
      <formula>BC$38 = FALSE()</formula>
    </cfRule>
  </conditionalFormatting>
  <conditionalFormatting sqref="BB55">
    <cfRule type="expression" dxfId="68" priority="49">
      <formula>BD$38 = FALSE()</formula>
    </cfRule>
  </conditionalFormatting>
  <conditionalFormatting sqref="BB56">
    <cfRule type="expression" dxfId="67" priority="48">
      <formula>BD$38 = FALSE()</formula>
    </cfRule>
  </conditionalFormatting>
  <conditionalFormatting sqref="BC56">
    <cfRule type="expression" dxfId="66" priority="47">
      <formula>BE$38 = FALSE()</formula>
    </cfRule>
  </conditionalFormatting>
  <conditionalFormatting sqref="BC57">
    <cfRule type="expression" dxfId="65" priority="46">
      <formula>BE$38 = FALSE()</formula>
    </cfRule>
  </conditionalFormatting>
  <conditionalFormatting sqref="BD57">
    <cfRule type="expression" dxfId="64" priority="45">
      <formula>BF$38 = FALSE()</formula>
    </cfRule>
  </conditionalFormatting>
  <conditionalFormatting sqref="BD58">
    <cfRule type="expression" dxfId="63" priority="44">
      <formula>BF$38 = FALSE()</formula>
    </cfRule>
  </conditionalFormatting>
  <conditionalFormatting sqref="BE58">
    <cfRule type="expression" dxfId="62" priority="43">
      <formula>BG$38 = FALSE()</formula>
    </cfRule>
  </conditionalFormatting>
  <conditionalFormatting sqref="BE59">
    <cfRule type="expression" dxfId="61" priority="42">
      <formula>BG$38 = FALSE()</formula>
    </cfRule>
  </conditionalFormatting>
  <conditionalFormatting sqref="BF59">
    <cfRule type="expression" dxfId="60" priority="41">
      <formula>BH$38 = FALSE()</formula>
    </cfRule>
  </conditionalFormatting>
  <conditionalFormatting sqref="BF60">
    <cfRule type="expression" dxfId="59" priority="40">
      <formula>BH$38 = FALSE()</formula>
    </cfRule>
  </conditionalFormatting>
  <conditionalFormatting sqref="BG60">
    <cfRule type="expression" dxfId="58" priority="39">
      <formula>BI$38 = FALSE()</formula>
    </cfRule>
  </conditionalFormatting>
  <conditionalFormatting sqref="BG61">
    <cfRule type="expression" dxfId="57" priority="38">
      <formula>BI$38 = FALSE()</formula>
    </cfRule>
  </conditionalFormatting>
  <conditionalFormatting sqref="BH61">
    <cfRule type="expression" dxfId="56" priority="37">
      <formula>BJ$38 = FALSE()</formula>
    </cfRule>
  </conditionalFormatting>
  <conditionalFormatting sqref="BH62">
    <cfRule type="expression" dxfId="55" priority="36">
      <formula>BJ$38 = FALSE()</formula>
    </cfRule>
  </conditionalFormatting>
  <conditionalFormatting sqref="BI62">
    <cfRule type="expression" dxfId="54" priority="35">
      <formula>BK$38 = FALSE()</formula>
    </cfRule>
  </conditionalFormatting>
  <conditionalFormatting sqref="BI63">
    <cfRule type="expression" dxfId="53" priority="34">
      <formula>BK$38 = FALSE()</formula>
    </cfRule>
  </conditionalFormatting>
  <conditionalFormatting sqref="BJ63">
    <cfRule type="expression" dxfId="52" priority="33">
      <formula>BL$38 = FALSE()</formula>
    </cfRule>
  </conditionalFormatting>
  <conditionalFormatting sqref="BJ64">
    <cfRule type="expression" dxfId="51" priority="32">
      <formula>BL$38 = FALSE()</formula>
    </cfRule>
  </conditionalFormatting>
  <conditionalFormatting sqref="BK64">
    <cfRule type="expression" dxfId="50" priority="31">
      <formula>BM$38 = FALSE()</formula>
    </cfRule>
  </conditionalFormatting>
  <conditionalFormatting sqref="BK65">
    <cfRule type="expression" dxfId="49" priority="30">
      <formula>BM$38 = FALSE()</formula>
    </cfRule>
  </conditionalFormatting>
  <conditionalFormatting sqref="BL65">
    <cfRule type="expression" dxfId="48" priority="29">
      <formula>BN$38 = FALSE()</formula>
    </cfRule>
  </conditionalFormatting>
  <conditionalFormatting sqref="BL66">
    <cfRule type="expression" dxfId="47" priority="28">
      <formula>BN$38 = FALSE()</formula>
    </cfRule>
  </conditionalFormatting>
  <conditionalFormatting sqref="BM66">
    <cfRule type="expression" dxfId="46" priority="27">
      <formula>BO$38 = FALSE()</formula>
    </cfRule>
  </conditionalFormatting>
  <conditionalFormatting sqref="BM67">
    <cfRule type="expression" dxfId="45" priority="26">
      <formula>BO$38 = FALSE()</formula>
    </cfRule>
  </conditionalFormatting>
  <conditionalFormatting sqref="BN67">
    <cfRule type="expression" dxfId="44" priority="25">
      <formula>BP$38 = FALSE()</formula>
    </cfRule>
  </conditionalFormatting>
  <conditionalFormatting sqref="BN68">
    <cfRule type="expression" dxfId="43" priority="24">
      <formula>BP$38 = FALSE()</formula>
    </cfRule>
  </conditionalFormatting>
  <conditionalFormatting sqref="BO68">
    <cfRule type="expression" dxfId="42" priority="23">
      <formula>BQ$38 = FALSE()</formula>
    </cfRule>
  </conditionalFormatting>
  <conditionalFormatting sqref="BO69">
    <cfRule type="expression" dxfId="41" priority="22">
      <formula>BQ$38 = FALSE()</formula>
    </cfRule>
  </conditionalFormatting>
  <conditionalFormatting sqref="BP69">
    <cfRule type="expression" dxfId="40" priority="21">
      <formula>BR$38 = FALSE()</formula>
    </cfRule>
  </conditionalFormatting>
  <conditionalFormatting sqref="BP70">
    <cfRule type="expression" dxfId="39" priority="20">
      <formula>BR$38 = FALSE()</formula>
    </cfRule>
  </conditionalFormatting>
  <conditionalFormatting sqref="BQ70">
    <cfRule type="expression" dxfId="38" priority="19">
      <formula>BS$38 = FALSE()</formula>
    </cfRule>
  </conditionalFormatting>
  <conditionalFormatting sqref="BQ71">
    <cfRule type="expression" dxfId="37" priority="18">
      <formula>BS$38 = FALSE()</formula>
    </cfRule>
  </conditionalFormatting>
  <conditionalFormatting sqref="BR71">
    <cfRule type="expression" dxfId="36" priority="17">
      <formula>BT$38 = FALSE()</formula>
    </cfRule>
  </conditionalFormatting>
  <conditionalFormatting sqref="BR72">
    <cfRule type="expression" dxfId="35" priority="16">
      <formula>BT$38 = FALSE()</formula>
    </cfRule>
  </conditionalFormatting>
  <conditionalFormatting sqref="BS72">
    <cfRule type="expression" dxfId="34" priority="15">
      <formula>BU$38 = FALSE()</formula>
    </cfRule>
  </conditionalFormatting>
  <conditionalFormatting sqref="BS73">
    <cfRule type="expression" dxfId="33" priority="12">
      <formula>BU$38 = FALSE()</formula>
    </cfRule>
  </conditionalFormatting>
  <conditionalFormatting sqref="BT73">
    <cfRule type="expression" dxfId="32" priority="11">
      <formula>BV$38 = FALSE()</formula>
    </cfRule>
  </conditionalFormatting>
  <conditionalFormatting sqref="BT74">
    <cfRule type="expression" dxfId="31" priority="8">
      <formula>BV$38 = FALSE()</formula>
    </cfRule>
  </conditionalFormatting>
  <conditionalFormatting sqref="BU74">
    <cfRule type="expression" dxfId="30" priority="7">
      <formula>BW$38 = FALSE()</formula>
    </cfRule>
  </conditionalFormatting>
  <pageMargins left="0.23622047244094491" right="0.23622047244094491" top="0.74803149606299213" bottom="0.74803149606299213" header="0.31496062992125984" footer="0.31496062992125984"/>
  <pageSetup paperSize="8" scale="42" fitToHeight="0" orientation="landscape" r:id="rId1"/>
  <headerFooter>
    <oddFooter>&amp;LDraft at &amp;D&amp;C&amp;P of &amp;N&amp;R"&amp;A" sheet</oddFooter>
  </headerFooter>
  <rowBreaks count="2" manualBreakCount="2">
    <brk id="76" max="41" man="1"/>
    <brk id="172"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309249" r:id="rId4" name="Drop Down 1">
              <controlPr defaultSize="0" autoLine="0" autoPict="0">
                <anchor moveWithCells="1">
                  <from>
                    <xdr:col>4</xdr:col>
                    <xdr:colOff>2390775</xdr:colOff>
                    <xdr:row>0</xdr:row>
                    <xdr:rowOff>114300</xdr:rowOff>
                  </from>
                  <to>
                    <xdr:col>8</xdr:col>
                    <xdr:colOff>561975</xdr:colOff>
                    <xdr:row>1</xdr:row>
                    <xdr:rowOff>95250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tabColor theme="7" tint="0.59999389629810485"/>
  </sheetPr>
  <dimension ref="A1:AR345"/>
  <sheetViews>
    <sheetView zoomScale="75" zoomScaleNormal="75" zoomScaleSheetLayoutView="70" workbookViewId="0">
      <pane xSplit="10" ySplit="7" topLeftCell="AJ8" activePane="bottomRight" state="frozen"/>
      <selection activeCell="F444" sqref="F444"/>
      <selection pane="topRight" activeCell="F444" sqref="F444"/>
      <selection pane="bottomLeft" activeCell="F444" sqref="F444"/>
      <selection pane="bottomRight" activeCell="AQ47" sqref="AQ47"/>
    </sheetView>
  </sheetViews>
  <sheetFormatPr defaultColWidth="0" defaultRowHeight="15" customHeight="1" zeroHeight="1" outlineLevelCol="1"/>
  <cols>
    <col min="1" max="4" width="1.625" style="149" customWidth="1"/>
    <col min="5" max="5" width="50.625" style="25" customWidth="1"/>
    <col min="6" max="6" width="1.625" style="149" customWidth="1"/>
    <col min="7" max="7" width="12.625" style="149" customWidth="1"/>
    <col min="8" max="8" width="1.625" style="149" customWidth="1"/>
    <col min="9" max="9" width="10.625" style="149" customWidth="1"/>
    <col min="10" max="10" width="1.625" style="153" customWidth="1"/>
    <col min="11" max="24" width="10.625" style="153" hidden="1" customWidth="1" outlineLevel="1"/>
    <col min="25" max="35" width="10.625" style="149" hidden="1" customWidth="1" outlineLevel="1"/>
    <col min="36" max="36" width="10.625" style="149" customWidth="1" collapsed="1"/>
    <col min="37" max="43" width="10.625" style="149" customWidth="1"/>
    <col min="44" max="44" width="1.625" style="149" customWidth="1"/>
    <col min="45" max="16384" width="9" style="149" hidden="1"/>
  </cols>
  <sheetData>
    <row r="1" spans="1:44" s="10" customFormat="1">
      <c r="A1" s="349" t="s">
        <v>165</v>
      </c>
      <c r="J1" s="350"/>
      <c r="K1" s="350"/>
      <c r="L1" s="350"/>
      <c r="M1" s="350"/>
      <c r="N1" s="350"/>
      <c r="O1" s="350"/>
      <c r="P1" s="350"/>
      <c r="Q1" s="350"/>
      <c r="R1" s="350"/>
      <c r="S1" s="350"/>
      <c r="T1" s="350"/>
      <c r="U1" s="350"/>
      <c r="V1" s="350"/>
      <c r="W1" s="350"/>
      <c r="X1" s="350"/>
      <c r="AR1" s="351"/>
    </row>
    <row r="2" spans="1:44" s="10" customFormat="1" ht="15" customHeight="1">
      <c r="B2" s="10" t="str">
        <f>UserInterface!G24</f>
        <v>SPN</v>
      </c>
      <c r="AJ2" s="355" t="s">
        <v>639</v>
      </c>
    </row>
    <row r="3" spans="1:44" s="10" customFormat="1" ht="15" customHeight="1">
      <c r="AJ3" s="355"/>
    </row>
    <row r="4" spans="1:44" s="10" customFormat="1" ht="15" customHeight="1">
      <c r="AJ4" s="355"/>
    </row>
    <row r="5" spans="1:44" s="10" customFormat="1" ht="15" customHeight="1">
      <c r="AJ5" s="355"/>
    </row>
    <row r="6" spans="1:44" s="10" customFormat="1" ht="15" customHeight="1">
      <c r="E6" s="9" t="s">
        <v>44</v>
      </c>
      <c r="F6" s="9"/>
      <c r="G6" s="9" t="s">
        <v>40</v>
      </c>
      <c r="H6" s="9"/>
      <c r="I6" s="9" t="s">
        <v>43</v>
      </c>
      <c r="AJ6" s="9" t="s">
        <v>41</v>
      </c>
    </row>
    <row r="7" spans="1:44" s="10" customFormat="1" ht="15" customHeight="1">
      <c r="E7" s="10" t="s">
        <v>236</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row>
    <row r="8" spans="1:44" ht="15" customHeight="1">
      <c r="E8" s="149"/>
      <c r="J8" s="149"/>
      <c r="K8" s="149"/>
      <c r="L8" s="149"/>
      <c r="M8" s="149"/>
      <c r="N8" s="149"/>
      <c r="O8" s="149"/>
      <c r="P8" s="149"/>
      <c r="Q8" s="149"/>
      <c r="R8" s="149"/>
      <c r="S8" s="149"/>
      <c r="T8" s="149"/>
      <c r="U8" s="149"/>
      <c r="V8" s="149"/>
      <c r="W8" s="149"/>
      <c r="X8" s="149"/>
    </row>
    <row r="9" spans="1:44" s="195" customFormat="1" ht="15" customHeight="1">
      <c r="B9" s="334" t="s">
        <v>19</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56"/>
      <c r="AK9" s="356"/>
      <c r="AL9" s="356"/>
      <c r="AM9" s="356"/>
      <c r="AN9" s="356"/>
      <c r="AO9" s="356"/>
      <c r="AP9" s="356"/>
      <c r="AQ9" s="356"/>
      <c r="AR9" s="113"/>
    </row>
    <row r="10" spans="1:44" s="195" customFormat="1" ht="15" customHeight="1">
      <c r="E10" s="18"/>
      <c r="H10" s="113"/>
      <c r="AJ10" s="157"/>
      <c r="AK10" s="157"/>
      <c r="AL10" s="157"/>
      <c r="AM10" s="157"/>
      <c r="AN10" s="157"/>
      <c r="AO10" s="157"/>
      <c r="AP10" s="157"/>
      <c r="AQ10" s="157"/>
      <c r="AR10" s="113"/>
    </row>
    <row r="11" spans="1:44" s="195" customFormat="1" ht="15" customHeight="1">
      <c r="C11" s="331" t="s">
        <v>163</v>
      </c>
      <c r="D11" s="331"/>
      <c r="E11" s="331"/>
      <c r="F11" s="331"/>
      <c r="G11" s="331"/>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113"/>
    </row>
    <row r="12" spans="1:44" s="195" customFormat="1" ht="15" customHeight="1">
      <c r="C12" s="197" t="s">
        <v>375</v>
      </c>
      <c r="D12" s="197"/>
      <c r="E12" s="197"/>
      <c r="F12" s="197"/>
      <c r="G12" s="197"/>
      <c r="H12" s="197"/>
      <c r="I12" s="197"/>
      <c r="J12" s="197"/>
      <c r="K12" s="197"/>
      <c r="L12" s="197"/>
      <c r="M12" s="197"/>
      <c r="N12" s="197"/>
      <c r="O12" s="197"/>
      <c r="P12" s="197"/>
      <c r="Q12" s="197"/>
      <c r="R12" s="197"/>
      <c r="S12" s="197"/>
      <c r="T12" s="197"/>
      <c r="U12" s="197"/>
      <c r="V12" s="197"/>
      <c r="W12" s="197"/>
      <c r="X12" s="197"/>
      <c r="Y12" s="197"/>
      <c r="Z12" s="197"/>
      <c r="AA12" s="197"/>
      <c r="AB12" s="197"/>
      <c r="AC12" s="197"/>
      <c r="AD12" s="197"/>
      <c r="AE12" s="197"/>
      <c r="AF12" s="197"/>
      <c r="AG12" s="197"/>
      <c r="AH12" s="197"/>
      <c r="AI12" s="197"/>
      <c r="AJ12" s="197"/>
      <c r="AK12" s="197"/>
      <c r="AL12" s="197"/>
      <c r="AM12" s="197"/>
      <c r="AN12" s="197"/>
      <c r="AO12" s="197"/>
      <c r="AP12" s="197"/>
      <c r="AQ12" s="197"/>
      <c r="AR12" s="113"/>
    </row>
    <row r="13" spans="1:44" s="195" customFormat="1" ht="15" customHeight="1">
      <c r="E13" s="18"/>
      <c r="H13" s="113"/>
      <c r="AJ13" s="157"/>
      <c r="AK13" s="157"/>
      <c r="AL13" s="157"/>
      <c r="AM13" s="157"/>
      <c r="AN13" s="157"/>
      <c r="AO13" s="157"/>
      <c r="AP13" s="157"/>
      <c r="AQ13" s="157"/>
      <c r="AR13" s="113"/>
    </row>
    <row r="14" spans="1:44" s="195" customFormat="1" ht="15" customHeight="1">
      <c r="D14" s="198" t="s">
        <v>234</v>
      </c>
      <c r="E14" s="198"/>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c r="AR14" s="113"/>
    </row>
    <row r="15" spans="1:44" s="195" customFormat="1" ht="15" customHeight="1">
      <c r="E15" s="18"/>
      <c r="H15" s="113"/>
      <c r="AJ15" s="157"/>
      <c r="AK15" s="157"/>
      <c r="AL15" s="157"/>
      <c r="AM15" s="157"/>
      <c r="AN15" s="157"/>
      <c r="AO15" s="157"/>
      <c r="AP15" s="157"/>
      <c r="AQ15" s="157"/>
      <c r="AR15" s="113"/>
    </row>
    <row r="16" spans="1:44" s="195" customFormat="1" ht="15" customHeight="1">
      <c r="E16" s="18" t="s">
        <v>9</v>
      </c>
      <c r="G16" s="195" t="s">
        <v>42</v>
      </c>
      <c r="H16" s="113"/>
      <c r="AJ16" s="239">
        <f>Input!AJ51</f>
        <v>3.8679999999999999E-2</v>
      </c>
      <c r="AK16" s="239">
        <f>Input!AK51</f>
        <v>3.8679999999999999E-2</v>
      </c>
      <c r="AL16" s="239">
        <f>Input!AL51</f>
        <v>3.8679999999999999E-2</v>
      </c>
      <c r="AM16" s="239">
        <f>Input!AM51</f>
        <v>3.8679999999999999E-2</v>
      </c>
      <c r="AN16" s="239">
        <f>Input!AN51</f>
        <v>3.8679999999999999E-2</v>
      </c>
      <c r="AO16" s="239">
        <f>Input!AO51</f>
        <v>3.8679999999999999E-2</v>
      </c>
      <c r="AP16" s="239">
        <f>Input!AP51</f>
        <v>3.8679999999999999E-2</v>
      </c>
      <c r="AQ16" s="239">
        <f>Input!AQ51</f>
        <v>3.8679999999999999E-2</v>
      </c>
      <c r="AR16" s="113"/>
    </row>
    <row r="17" spans="3:44" s="195" customFormat="1" ht="15" customHeight="1">
      <c r="E17" s="25" t="s">
        <v>162</v>
      </c>
      <c r="G17" s="195" t="s">
        <v>46</v>
      </c>
      <c r="H17" s="113"/>
      <c r="AJ17" s="19">
        <f>1 / (1 + AJ16)</f>
        <v>0.96276042669542106</v>
      </c>
      <c r="AK17" s="19">
        <f t="shared" ref="AK17:AQ17" si="0">1 / (1 + AK16)</f>
        <v>0.96276042669542106</v>
      </c>
      <c r="AL17" s="19">
        <f t="shared" si="0"/>
        <v>0.96276042669542106</v>
      </c>
      <c r="AM17" s="19">
        <f t="shared" si="0"/>
        <v>0.96276042669542106</v>
      </c>
      <c r="AN17" s="19">
        <f t="shared" si="0"/>
        <v>0.96276042669542106</v>
      </c>
      <c r="AO17" s="19">
        <f t="shared" si="0"/>
        <v>0.96276042669542106</v>
      </c>
      <c r="AP17" s="19">
        <f t="shared" si="0"/>
        <v>0.96276042669542106</v>
      </c>
      <c r="AQ17" s="19">
        <f t="shared" si="0"/>
        <v>0.96276042669542106</v>
      </c>
      <c r="AR17" s="113"/>
    </row>
    <row r="18" spans="3:44" s="195" customFormat="1" ht="15" customHeight="1">
      <c r="E18" s="25"/>
      <c r="H18" s="113"/>
      <c r="AJ18" s="19"/>
      <c r="AK18" s="19"/>
      <c r="AL18" s="19"/>
      <c r="AM18" s="19"/>
      <c r="AN18" s="19"/>
      <c r="AO18" s="19"/>
      <c r="AP18" s="19"/>
      <c r="AQ18" s="19"/>
      <c r="AR18" s="113"/>
    </row>
    <row r="19" spans="3:44" s="195" customFormat="1" ht="15" customHeight="1">
      <c r="E19" s="25" t="s">
        <v>104</v>
      </c>
      <c r="G19" s="149" t="s">
        <v>844</v>
      </c>
      <c r="H19" s="113"/>
      <c r="AJ19" s="157">
        <f t="shared" ref="AJ19:AQ19" si="1">AJ47</f>
        <v>1524.8275770285732</v>
      </c>
      <c r="AK19" s="157">
        <f t="shared" si="1"/>
        <v>1568.1270216022474</v>
      </c>
      <c r="AL19" s="157">
        <f t="shared" si="1"/>
        <v>1603.764503068656</v>
      </c>
      <c r="AM19" s="157">
        <f t="shared" si="1"/>
        <v>1630.4292591463091</v>
      </c>
      <c r="AN19" s="157">
        <f t="shared" si="1"/>
        <v>1658.0061193574948</v>
      </c>
      <c r="AO19" s="157">
        <f t="shared" si="1"/>
        <v>1679.3086483328495</v>
      </c>
      <c r="AP19" s="157">
        <f t="shared" si="1"/>
        <v>1700.8869475648303</v>
      </c>
      <c r="AQ19" s="157">
        <f t="shared" si="1"/>
        <v>1720.0762730197077</v>
      </c>
      <c r="AR19" s="113"/>
    </row>
    <row r="20" spans="3:44" s="195" customFormat="1" ht="15" customHeight="1">
      <c r="E20" s="25"/>
      <c r="G20" s="149"/>
      <c r="H20" s="113"/>
      <c r="AJ20" s="157"/>
      <c r="AK20" s="157"/>
      <c r="AL20" s="157"/>
      <c r="AM20" s="157"/>
      <c r="AN20" s="157"/>
      <c r="AO20" s="157"/>
      <c r="AP20" s="157"/>
      <c r="AQ20" s="157"/>
      <c r="AR20" s="113"/>
    </row>
    <row r="21" spans="3:44" s="195" customFormat="1" ht="15" customHeight="1">
      <c r="E21" s="18" t="s">
        <v>437</v>
      </c>
      <c r="G21" s="149" t="s">
        <v>844</v>
      </c>
      <c r="H21" s="113"/>
      <c r="AJ21" s="38">
        <f t="shared" ref="AJ21:AQ21" si="2">AJ19 * AJ17</f>
        <v>1468.0436486969741</v>
      </c>
      <c r="AK21" s="38">
        <f t="shared" si="2"/>
        <v>1509.7306404303995</v>
      </c>
      <c r="AL21" s="38">
        <f t="shared" si="2"/>
        <v>1544.0409972933492</v>
      </c>
      <c r="AM21" s="38">
        <f t="shared" si="2"/>
        <v>1569.7127692323998</v>
      </c>
      <c r="AN21" s="38">
        <f t="shared" si="2"/>
        <v>1596.2626789362409</v>
      </c>
      <c r="AO21" s="38">
        <f t="shared" si="2"/>
        <v>1616.771910822245</v>
      </c>
      <c r="AP21" s="38">
        <f t="shared" si="2"/>
        <v>1637.5466433981883</v>
      </c>
      <c r="AQ21" s="38">
        <f t="shared" si="2"/>
        <v>1656.0213665611234</v>
      </c>
      <c r="AR21" s="113"/>
    </row>
    <row r="22" spans="3:44" s="195" customFormat="1" ht="15" customHeight="1">
      <c r="E22" s="25"/>
      <c r="H22" s="113"/>
      <c r="AJ22" s="157"/>
      <c r="AK22" s="157"/>
      <c r="AL22" s="157"/>
      <c r="AM22" s="157"/>
      <c r="AN22" s="157"/>
      <c r="AO22" s="157"/>
      <c r="AP22" s="157"/>
      <c r="AQ22" s="157"/>
      <c r="AR22" s="113"/>
    </row>
    <row r="23" spans="3:44" s="195" customFormat="1" ht="15" customHeight="1">
      <c r="D23" s="198" t="s">
        <v>235</v>
      </c>
      <c r="E23" s="198"/>
      <c r="F23" s="198"/>
      <c r="G23" s="198"/>
      <c r="H23" s="198"/>
      <c r="I23" s="198"/>
      <c r="J23" s="198"/>
      <c r="K23" s="198"/>
      <c r="L23" s="198"/>
      <c r="M23" s="198"/>
      <c r="N23" s="198"/>
      <c r="O23" s="198"/>
      <c r="P23" s="198"/>
      <c r="Q23" s="198"/>
      <c r="R23" s="198"/>
      <c r="S23" s="198"/>
      <c r="T23" s="198"/>
      <c r="U23" s="198"/>
      <c r="V23" s="198"/>
      <c r="W23" s="198"/>
      <c r="X23" s="198"/>
      <c r="Y23" s="198"/>
      <c r="Z23" s="198"/>
      <c r="AA23" s="198"/>
      <c r="AB23" s="198"/>
      <c r="AC23" s="198"/>
      <c r="AD23" s="198"/>
      <c r="AE23" s="198"/>
      <c r="AF23" s="198"/>
      <c r="AG23" s="198"/>
      <c r="AH23" s="198"/>
      <c r="AI23" s="198"/>
      <c r="AJ23" s="198"/>
      <c r="AK23" s="198"/>
      <c r="AL23" s="198"/>
      <c r="AM23" s="198"/>
      <c r="AN23" s="198"/>
      <c r="AO23" s="198"/>
      <c r="AP23" s="198"/>
      <c r="AQ23" s="198"/>
      <c r="AR23" s="113"/>
    </row>
    <row r="24" spans="3:44" s="195" customFormat="1" ht="15" customHeight="1">
      <c r="E24" s="25"/>
      <c r="H24" s="113"/>
      <c r="AJ24" s="357"/>
      <c r="AK24" s="157"/>
      <c r="AL24" s="157"/>
      <c r="AM24" s="157"/>
      <c r="AN24" s="157"/>
      <c r="AO24" s="157"/>
      <c r="AP24" s="157"/>
      <c r="AQ24" s="157"/>
      <c r="AR24" s="113"/>
    </row>
    <row r="25" spans="3:44" s="195" customFormat="1" ht="15" customHeight="1">
      <c r="E25" s="25" t="s">
        <v>243</v>
      </c>
      <c r="G25" s="149" t="s">
        <v>844</v>
      </c>
      <c r="H25" s="113"/>
      <c r="AJ25" s="157">
        <f t="shared" ref="AJ25:AQ25" si="3">AJ44</f>
        <v>1491.8427088208007</v>
      </c>
      <c r="AK25" s="157">
        <f t="shared" si="3"/>
        <v>1524.8275770285732</v>
      </c>
      <c r="AL25" s="157">
        <f t="shared" si="3"/>
        <v>1568.1270216022474</v>
      </c>
      <c r="AM25" s="157">
        <f t="shared" si="3"/>
        <v>1603.764503068656</v>
      </c>
      <c r="AN25" s="157">
        <f t="shared" si="3"/>
        <v>1630.4292591463091</v>
      </c>
      <c r="AO25" s="157">
        <f t="shared" si="3"/>
        <v>1658.0061193574948</v>
      </c>
      <c r="AP25" s="157">
        <f t="shared" si="3"/>
        <v>1679.3086483328495</v>
      </c>
      <c r="AQ25" s="157">
        <f t="shared" si="3"/>
        <v>1700.8869475648303</v>
      </c>
      <c r="AR25" s="113"/>
    </row>
    <row r="26" spans="3:44" s="195" customFormat="1" ht="15" customHeight="1">
      <c r="E26" s="25" t="s">
        <v>437</v>
      </c>
      <c r="G26" s="149" t="s">
        <v>844</v>
      </c>
      <c r="H26" s="113"/>
      <c r="AJ26" s="157">
        <f>AJ21</f>
        <v>1468.0436486969741</v>
      </c>
      <c r="AK26" s="157">
        <f t="shared" ref="AK26:AQ26" si="4">AK21</f>
        <v>1509.7306404303995</v>
      </c>
      <c r="AL26" s="157">
        <f t="shared" si="4"/>
        <v>1544.0409972933492</v>
      </c>
      <c r="AM26" s="157">
        <f t="shared" si="4"/>
        <v>1569.7127692323998</v>
      </c>
      <c r="AN26" s="157">
        <f t="shared" si="4"/>
        <v>1596.2626789362409</v>
      </c>
      <c r="AO26" s="157">
        <f t="shared" si="4"/>
        <v>1616.771910822245</v>
      </c>
      <c r="AP26" s="157">
        <f t="shared" si="4"/>
        <v>1637.5466433981883</v>
      </c>
      <c r="AQ26" s="157">
        <f t="shared" si="4"/>
        <v>1656.0213665611234</v>
      </c>
      <c r="AR26" s="113"/>
    </row>
    <row r="27" spans="3:44" s="195" customFormat="1" ht="15" customHeight="1">
      <c r="E27" s="18"/>
      <c r="H27" s="113"/>
      <c r="AJ27" s="157"/>
      <c r="AK27" s="157"/>
      <c r="AL27" s="157"/>
      <c r="AM27" s="157"/>
      <c r="AN27" s="157"/>
      <c r="AO27" s="157"/>
      <c r="AP27" s="157"/>
      <c r="AQ27" s="157"/>
      <c r="AR27" s="113"/>
    </row>
    <row r="28" spans="3:44" s="195" customFormat="1" ht="15" customHeight="1">
      <c r="E28" s="18" t="s">
        <v>235</v>
      </c>
      <c r="G28" s="149" t="s">
        <v>844</v>
      </c>
      <c r="H28" s="113"/>
      <c r="AJ28" s="38">
        <f>AVERAGE(AJ25:AJ26)</f>
        <v>1479.9431787588874</v>
      </c>
      <c r="AK28" s="38">
        <f t="shared" ref="AK28:AQ28" si="5">AVERAGE(AK25:AK26)</f>
        <v>1517.2791087294863</v>
      </c>
      <c r="AL28" s="38">
        <f t="shared" si="5"/>
        <v>1556.0840094477983</v>
      </c>
      <c r="AM28" s="38">
        <f t="shared" si="5"/>
        <v>1586.7386361505278</v>
      </c>
      <c r="AN28" s="38">
        <f t="shared" si="5"/>
        <v>1613.3459690412751</v>
      </c>
      <c r="AO28" s="38">
        <f t="shared" si="5"/>
        <v>1637.3890150898699</v>
      </c>
      <c r="AP28" s="38">
        <f t="shared" si="5"/>
        <v>1658.427645865519</v>
      </c>
      <c r="AQ28" s="38">
        <f t="shared" si="5"/>
        <v>1678.4541570629767</v>
      </c>
      <c r="AR28" s="113"/>
    </row>
    <row r="29" spans="3:44" s="195" customFormat="1" ht="15" customHeight="1">
      <c r="E29" s="18"/>
      <c r="H29" s="113"/>
      <c r="AJ29" s="157"/>
      <c r="AK29" s="157"/>
      <c r="AL29" s="157"/>
      <c r="AM29" s="157"/>
      <c r="AN29" s="157"/>
      <c r="AO29" s="157"/>
      <c r="AP29" s="157"/>
      <c r="AQ29" s="157"/>
      <c r="AR29" s="113"/>
    </row>
    <row r="30" spans="3:44" s="195" customFormat="1" ht="15" customHeight="1">
      <c r="C30" s="331" t="s">
        <v>164</v>
      </c>
      <c r="D30" s="331"/>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1"/>
      <c r="AM30" s="331"/>
      <c r="AN30" s="331"/>
      <c r="AO30" s="331"/>
      <c r="AP30" s="331"/>
      <c r="AQ30" s="331"/>
      <c r="AR30" s="113"/>
    </row>
    <row r="31" spans="3:44" s="195" customFormat="1" ht="15" customHeight="1">
      <c r="E31" s="18"/>
      <c r="H31" s="113"/>
      <c r="AJ31" s="157"/>
      <c r="AK31" s="157"/>
      <c r="AL31" s="157"/>
      <c r="AM31" s="157"/>
      <c r="AN31" s="157"/>
      <c r="AO31" s="157"/>
      <c r="AP31" s="157"/>
      <c r="AQ31" s="157"/>
      <c r="AR31" s="113"/>
    </row>
    <row r="32" spans="3:44" s="195" customFormat="1" ht="15" customHeight="1">
      <c r="E32" s="18" t="s">
        <v>235</v>
      </c>
      <c r="G32" s="149" t="s">
        <v>844</v>
      </c>
      <c r="H32" s="113"/>
      <c r="AJ32" s="157">
        <f>AJ28</f>
        <v>1479.9431787588874</v>
      </c>
      <c r="AK32" s="157">
        <f t="shared" ref="AK32:AQ32" si="6">AK28</f>
        <v>1517.2791087294863</v>
      </c>
      <c r="AL32" s="157">
        <f t="shared" si="6"/>
        <v>1556.0840094477983</v>
      </c>
      <c r="AM32" s="157">
        <f t="shared" si="6"/>
        <v>1586.7386361505278</v>
      </c>
      <c r="AN32" s="157">
        <f t="shared" si="6"/>
        <v>1613.3459690412751</v>
      </c>
      <c r="AO32" s="157">
        <f t="shared" si="6"/>
        <v>1637.3890150898699</v>
      </c>
      <c r="AP32" s="157">
        <f t="shared" si="6"/>
        <v>1658.427645865519</v>
      </c>
      <c r="AQ32" s="157">
        <f t="shared" si="6"/>
        <v>1678.4541570629767</v>
      </c>
      <c r="AR32" s="113"/>
    </row>
    <row r="33" spans="2:44" s="195" customFormat="1" ht="15" customHeight="1">
      <c r="E33" s="18" t="s">
        <v>9</v>
      </c>
      <c r="G33" s="195" t="s">
        <v>42</v>
      </c>
      <c r="H33" s="113"/>
      <c r="AJ33" s="165">
        <f>AJ16</f>
        <v>3.8679999999999999E-2</v>
      </c>
      <c r="AK33" s="165">
        <f t="shared" ref="AK33:AQ33" si="7">AK16</f>
        <v>3.8679999999999999E-2</v>
      </c>
      <c r="AL33" s="165">
        <f t="shared" si="7"/>
        <v>3.8679999999999999E-2</v>
      </c>
      <c r="AM33" s="165">
        <f t="shared" si="7"/>
        <v>3.8679999999999999E-2</v>
      </c>
      <c r="AN33" s="165">
        <f t="shared" si="7"/>
        <v>3.8679999999999999E-2</v>
      </c>
      <c r="AO33" s="165">
        <f t="shared" si="7"/>
        <v>3.8679999999999999E-2</v>
      </c>
      <c r="AP33" s="165">
        <f t="shared" si="7"/>
        <v>3.8679999999999999E-2</v>
      </c>
      <c r="AQ33" s="165">
        <f t="shared" si="7"/>
        <v>3.8679999999999999E-2</v>
      </c>
      <c r="AR33" s="113"/>
    </row>
    <row r="34" spans="2:44" s="195" customFormat="1" ht="15" customHeight="1">
      <c r="E34" s="18"/>
      <c r="H34" s="113"/>
      <c r="AJ34" s="157"/>
      <c r="AK34" s="157"/>
      <c r="AL34" s="157"/>
      <c r="AM34" s="157"/>
      <c r="AN34" s="157"/>
      <c r="AO34" s="157"/>
      <c r="AP34" s="157"/>
      <c r="AQ34" s="157"/>
      <c r="AR34" s="113"/>
    </row>
    <row r="35" spans="2:44" s="195" customFormat="1" ht="15" customHeight="1">
      <c r="E35" s="18" t="s">
        <v>19</v>
      </c>
      <c r="G35" s="195" t="s">
        <v>844</v>
      </c>
      <c r="H35" s="113"/>
      <c r="AJ35" s="380">
        <f>AJ32 * AJ33</f>
        <v>57.244202154393761</v>
      </c>
      <c r="AK35" s="38">
        <f t="shared" ref="AK35:AQ35" si="8">AK32 * AK33</f>
        <v>58.688355925656531</v>
      </c>
      <c r="AL35" s="38">
        <f t="shared" si="8"/>
        <v>60.189329485440837</v>
      </c>
      <c r="AM35" s="38">
        <f t="shared" si="8"/>
        <v>61.37505044630241</v>
      </c>
      <c r="AN35" s="38">
        <f t="shared" si="8"/>
        <v>62.404222082516519</v>
      </c>
      <c r="AO35" s="38">
        <f t="shared" si="8"/>
        <v>63.334207103676164</v>
      </c>
      <c r="AP35" s="38">
        <f t="shared" si="8"/>
        <v>64.147981342078268</v>
      </c>
      <c r="AQ35" s="38">
        <f t="shared" si="8"/>
        <v>64.922606795195932</v>
      </c>
      <c r="AR35" s="113"/>
    </row>
    <row r="36" spans="2:44" s="195" customFormat="1" ht="15" customHeight="1">
      <c r="E36" s="18"/>
      <c r="H36" s="113"/>
      <c r="AJ36" s="157"/>
      <c r="AK36" s="157"/>
      <c r="AL36" s="157"/>
      <c r="AM36" s="157"/>
      <c r="AN36" s="157"/>
      <c r="AO36" s="157"/>
      <c r="AP36" s="157"/>
      <c r="AQ36" s="157"/>
      <c r="AR36" s="113"/>
    </row>
    <row r="37" spans="2:44" ht="15" customHeight="1">
      <c r="B37" s="358" t="s">
        <v>29</v>
      </c>
      <c r="C37" s="359"/>
      <c r="D37" s="359"/>
      <c r="E37" s="360"/>
      <c r="F37" s="359"/>
      <c r="G37" s="359"/>
      <c r="H37" s="359"/>
      <c r="I37" s="359"/>
      <c r="J37" s="361"/>
      <c r="K37" s="361"/>
      <c r="L37" s="361"/>
      <c r="M37" s="361"/>
      <c r="N37" s="361"/>
      <c r="O37" s="361"/>
      <c r="P37" s="361"/>
      <c r="Q37" s="361"/>
      <c r="R37" s="361"/>
      <c r="S37" s="361"/>
      <c r="T37" s="361"/>
      <c r="U37" s="361"/>
      <c r="V37" s="361"/>
      <c r="W37" s="361"/>
      <c r="X37" s="361"/>
      <c r="Y37" s="359"/>
      <c r="Z37" s="359"/>
      <c r="AA37" s="359"/>
      <c r="AB37" s="359"/>
      <c r="AC37" s="359"/>
      <c r="AD37" s="359"/>
      <c r="AE37" s="359"/>
      <c r="AF37" s="359"/>
      <c r="AG37" s="359"/>
      <c r="AH37" s="359"/>
      <c r="AI37" s="359"/>
      <c r="AJ37" s="359"/>
      <c r="AK37" s="359"/>
      <c r="AL37" s="359"/>
      <c r="AM37" s="359"/>
      <c r="AN37" s="359"/>
      <c r="AO37" s="359"/>
      <c r="AP37" s="359"/>
      <c r="AQ37" s="359"/>
    </row>
    <row r="38" spans="2:44" ht="15" customHeight="1">
      <c r="B38" s="197" t="s">
        <v>376</v>
      </c>
      <c r="C38" s="197"/>
      <c r="D38" s="197"/>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c r="AO38" s="197"/>
      <c r="AP38" s="197"/>
      <c r="AQ38" s="197"/>
    </row>
    <row r="39" spans="2:44" ht="15" customHeight="1">
      <c r="C39" s="353"/>
    </row>
    <row r="40" spans="2:44" ht="15" customHeight="1">
      <c r="C40" s="332" t="s">
        <v>125</v>
      </c>
      <c r="D40" s="332"/>
      <c r="E40" s="332"/>
      <c r="F40" s="332"/>
      <c r="G40" s="332"/>
      <c r="H40" s="332"/>
      <c r="I40" s="332"/>
      <c r="J40" s="332"/>
      <c r="K40" s="332"/>
      <c r="L40" s="332"/>
      <c r="M40" s="332"/>
      <c r="N40" s="332"/>
      <c r="O40" s="332"/>
      <c r="P40" s="332"/>
      <c r="Q40" s="332"/>
      <c r="R40" s="332"/>
      <c r="S40" s="332"/>
      <c r="T40" s="332"/>
      <c r="U40" s="332"/>
      <c r="V40" s="332"/>
      <c r="W40" s="332"/>
      <c r="X40" s="332"/>
      <c r="Y40" s="332"/>
      <c r="Z40" s="332"/>
      <c r="AA40" s="332"/>
      <c r="AB40" s="332"/>
      <c r="AC40" s="332"/>
      <c r="AD40" s="332"/>
      <c r="AE40" s="332"/>
      <c r="AF40" s="332"/>
      <c r="AG40" s="332"/>
      <c r="AH40" s="332"/>
      <c r="AI40" s="332"/>
      <c r="AJ40" s="331"/>
      <c r="AK40" s="331"/>
      <c r="AL40" s="331"/>
      <c r="AM40" s="331"/>
      <c r="AN40" s="331"/>
      <c r="AO40" s="331"/>
      <c r="AP40" s="331"/>
      <c r="AQ40" s="331"/>
    </row>
    <row r="41" spans="2:44" ht="15" customHeight="1">
      <c r="C41" s="353"/>
      <c r="AJ41" s="157"/>
      <c r="AK41" s="157"/>
      <c r="AL41" s="157"/>
      <c r="AM41" s="157"/>
      <c r="AN41" s="157"/>
      <c r="AO41" s="157"/>
      <c r="AP41" s="157"/>
      <c r="AQ41" s="157"/>
    </row>
    <row r="42" spans="2:44" ht="15" customHeight="1">
      <c r="D42" s="362"/>
      <c r="E42" s="25" t="s">
        <v>242</v>
      </c>
      <c r="G42" s="149" t="s">
        <v>844</v>
      </c>
      <c r="Y42" s="153"/>
      <c r="Z42" s="153"/>
      <c r="AA42" s="153"/>
      <c r="AB42" s="153"/>
      <c r="AC42" s="153"/>
      <c r="AD42" s="153"/>
      <c r="AE42" s="153"/>
      <c r="AF42" s="153"/>
      <c r="AG42" s="153"/>
      <c r="AH42" s="153"/>
      <c r="AI42" s="153"/>
      <c r="AJ42" s="42">
        <f>(AJ56 - AJ64)-AJ76</f>
        <v>1491.8427088208007</v>
      </c>
      <c r="AK42" s="149">
        <f t="shared" ref="AK42:AQ42" si="9">AJ47</f>
        <v>1524.8275770285732</v>
      </c>
      <c r="AL42" s="149">
        <f t="shared" si="9"/>
        <v>1568.1270216022474</v>
      </c>
      <c r="AM42" s="149">
        <f t="shared" si="9"/>
        <v>1603.764503068656</v>
      </c>
      <c r="AN42" s="149">
        <f t="shared" si="9"/>
        <v>1630.4292591463091</v>
      </c>
      <c r="AO42" s="149">
        <f t="shared" si="9"/>
        <v>1658.0061193574948</v>
      </c>
      <c r="AP42" s="149">
        <f t="shared" si="9"/>
        <v>1679.3086483328495</v>
      </c>
      <c r="AQ42" s="149">
        <f t="shared" si="9"/>
        <v>1700.8869475648303</v>
      </c>
    </row>
    <row r="43" spans="2:44" ht="15" customHeight="1">
      <c r="D43" s="362"/>
      <c r="E43" s="25" t="s">
        <v>122</v>
      </c>
      <c r="G43" s="149" t="s">
        <v>844</v>
      </c>
      <c r="Y43" s="153"/>
      <c r="Z43" s="153"/>
      <c r="AA43" s="153"/>
      <c r="AB43" s="153"/>
      <c r="AC43" s="153"/>
      <c r="AD43" s="153"/>
      <c r="AE43" s="153"/>
      <c r="AF43" s="153"/>
      <c r="AG43" s="153"/>
      <c r="AH43" s="153"/>
      <c r="AI43" s="153"/>
      <c r="AJ43" s="157">
        <f t="shared" ref="AJ43:AQ43" si="10">(AJ57 - AJ65)</f>
        <v>0</v>
      </c>
      <c r="AK43" s="157">
        <f t="shared" si="10"/>
        <v>0</v>
      </c>
      <c r="AL43" s="157">
        <f t="shared" si="10"/>
        <v>0</v>
      </c>
      <c r="AM43" s="157">
        <f t="shared" si="10"/>
        <v>0</v>
      </c>
      <c r="AN43" s="157">
        <f t="shared" si="10"/>
        <v>0</v>
      </c>
      <c r="AO43" s="157">
        <f t="shared" si="10"/>
        <v>0</v>
      </c>
      <c r="AP43" s="157">
        <f t="shared" si="10"/>
        <v>0</v>
      </c>
      <c r="AQ43" s="157">
        <f t="shared" si="10"/>
        <v>0</v>
      </c>
    </row>
    <row r="44" spans="2:44" ht="15" customHeight="1">
      <c r="E44" s="25" t="s">
        <v>243</v>
      </c>
      <c r="G44" s="149" t="s">
        <v>844</v>
      </c>
      <c r="Y44" s="153"/>
      <c r="Z44" s="153"/>
      <c r="AA44" s="153"/>
      <c r="AB44" s="153"/>
      <c r="AC44" s="153"/>
      <c r="AD44" s="153"/>
      <c r="AE44" s="153"/>
      <c r="AF44" s="153"/>
      <c r="AG44" s="153"/>
      <c r="AH44" s="153"/>
      <c r="AI44" s="153"/>
      <c r="AJ44" s="167">
        <f t="shared" ref="AJ44:AQ44" si="11">SUM(AJ42:AJ43)</f>
        <v>1491.8427088208007</v>
      </c>
      <c r="AK44" s="167">
        <f t="shared" si="11"/>
        <v>1524.8275770285732</v>
      </c>
      <c r="AL44" s="167">
        <f t="shared" si="11"/>
        <v>1568.1270216022474</v>
      </c>
      <c r="AM44" s="167">
        <f t="shared" si="11"/>
        <v>1603.764503068656</v>
      </c>
      <c r="AN44" s="167">
        <f t="shared" si="11"/>
        <v>1630.4292591463091</v>
      </c>
      <c r="AO44" s="167">
        <f t="shared" si="11"/>
        <v>1658.0061193574948</v>
      </c>
      <c r="AP44" s="167">
        <f t="shared" si="11"/>
        <v>1679.3086483328495</v>
      </c>
      <c r="AQ44" s="167">
        <f t="shared" si="11"/>
        <v>1700.8869475648303</v>
      </c>
    </row>
    <row r="45" spans="2:44" ht="15" customHeight="1">
      <c r="E45" s="25" t="s">
        <v>126</v>
      </c>
      <c r="G45" s="149" t="s">
        <v>844</v>
      </c>
      <c r="Y45" s="153"/>
      <c r="Z45" s="153"/>
      <c r="AA45" s="153"/>
      <c r="AB45" s="153"/>
      <c r="AC45" s="153"/>
      <c r="AD45" s="153"/>
      <c r="AE45" s="153"/>
      <c r="AF45" s="153"/>
      <c r="AG45" s="153"/>
      <c r="AH45" s="153"/>
      <c r="AI45" s="153"/>
      <c r="AJ45" s="157">
        <f>AJ59</f>
        <v>157.2306932997239</v>
      </c>
      <c r="AK45" s="157">
        <f t="shared" ref="AK45:AQ45" si="12">AK59</f>
        <v>171.88702831647345</v>
      </c>
      <c r="AL45" s="157">
        <f t="shared" si="12"/>
        <v>167.63012731337571</v>
      </c>
      <c r="AM45" s="157">
        <f t="shared" si="12"/>
        <v>162.14536051015963</v>
      </c>
      <c r="AN45" s="157">
        <f t="shared" si="12"/>
        <v>157.21615584475998</v>
      </c>
      <c r="AO45" s="157">
        <f t="shared" si="12"/>
        <v>152.36174091460876</v>
      </c>
      <c r="AP45" s="157">
        <f t="shared" si="12"/>
        <v>152.79897079574016</v>
      </c>
      <c r="AQ45" s="157">
        <f t="shared" si="12"/>
        <v>148.8695577731709</v>
      </c>
    </row>
    <row r="46" spans="2:44" ht="15" customHeight="1">
      <c r="E46" s="30" t="s">
        <v>0</v>
      </c>
      <c r="G46" s="149" t="s">
        <v>844</v>
      </c>
      <c r="Y46" s="153"/>
      <c r="Z46" s="153"/>
      <c r="AA46" s="153"/>
      <c r="AB46" s="153"/>
      <c r="AC46" s="153"/>
      <c r="AD46" s="153"/>
      <c r="AE46" s="153"/>
      <c r="AF46" s="153"/>
      <c r="AG46" s="153"/>
      <c r="AH46" s="153"/>
      <c r="AI46" s="153"/>
      <c r="AJ46" s="157">
        <f>-( AJ67)</f>
        <v>-124.24582509195155</v>
      </c>
      <c r="AK46" s="157">
        <f t="shared" ref="AK46:AQ46" si="13">-( AK67)</f>
        <v>-128.58758374279918</v>
      </c>
      <c r="AL46" s="157">
        <f t="shared" si="13"/>
        <v>-131.99264584696695</v>
      </c>
      <c r="AM46" s="157">
        <f t="shared" si="13"/>
        <v>-135.48060443250662</v>
      </c>
      <c r="AN46" s="157">
        <f t="shared" si="13"/>
        <v>-129.63929563357419</v>
      </c>
      <c r="AO46" s="157">
        <f t="shared" si="13"/>
        <v>-131.05921193925411</v>
      </c>
      <c r="AP46" s="157">
        <f t="shared" si="13"/>
        <v>-131.22067156375945</v>
      </c>
      <c r="AQ46" s="157">
        <f t="shared" si="13"/>
        <v>-129.68023231829352</v>
      </c>
    </row>
    <row r="47" spans="2:44" ht="15" customHeight="1">
      <c r="E47" s="25" t="s">
        <v>104</v>
      </c>
      <c r="G47" s="149" t="s">
        <v>844</v>
      </c>
      <c r="Y47" s="153"/>
      <c r="Z47" s="153"/>
      <c r="AA47" s="153"/>
      <c r="AB47" s="153"/>
      <c r="AC47" s="153"/>
      <c r="AD47" s="153"/>
      <c r="AE47" s="153"/>
      <c r="AF47" s="153"/>
      <c r="AG47" s="153"/>
      <c r="AH47" s="153"/>
      <c r="AI47" s="153"/>
      <c r="AJ47" s="363">
        <f>SUM(AJ44:AJ46)</f>
        <v>1524.8275770285732</v>
      </c>
      <c r="AK47" s="363">
        <f t="shared" ref="AK47:AQ47" si="14">SUM(AK44:AK46)</f>
        <v>1568.1270216022474</v>
      </c>
      <c r="AL47" s="363">
        <f t="shared" si="14"/>
        <v>1603.764503068656</v>
      </c>
      <c r="AM47" s="363">
        <f t="shared" si="14"/>
        <v>1630.4292591463091</v>
      </c>
      <c r="AN47" s="363">
        <f t="shared" si="14"/>
        <v>1658.0061193574948</v>
      </c>
      <c r="AO47" s="363">
        <f t="shared" si="14"/>
        <v>1679.3086483328495</v>
      </c>
      <c r="AP47" s="363">
        <f t="shared" si="14"/>
        <v>1700.8869475648303</v>
      </c>
      <c r="AQ47" s="363">
        <f t="shared" si="14"/>
        <v>1720.0762730197077</v>
      </c>
    </row>
    <row r="48" spans="2:44" ht="15" customHeight="1">
      <c r="Y48" s="153"/>
      <c r="Z48" s="153"/>
      <c r="AA48" s="153"/>
      <c r="AB48" s="153"/>
      <c r="AC48" s="153"/>
      <c r="AD48" s="153"/>
      <c r="AE48" s="153"/>
      <c r="AF48" s="153"/>
      <c r="AG48" s="153"/>
      <c r="AH48" s="153"/>
      <c r="AI48" s="153"/>
    </row>
    <row r="49" spans="3:43" ht="15" customHeight="1">
      <c r="Y49" s="153"/>
      <c r="Z49" s="153"/>
      <c r="AA49" s="153"/>
      <c r="AB49" s="153"/>
      <c r="AC49" s="153"/>
      <c r="AD49" s="153"/>
      <c r="AE49" s="153"/>
      <c r="AF49" s="153"/>
      <c r="AG49" s="153"/>
      <c r="AH49" s="153"/>
      <c r="AI49" s="153"/>
    </row>
    <row r="50" spans="3:43" ht="15" customHeight="1">
      <c r="C50" s="332" t="s">
        <v>206</v>
      </c>
      <c r="D50" s="332"/>
      <c r="E50" s="332"/>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c r="AD50" s="332"/>
      <c r="AE50" s="332"/>
      <c r="AF50" s="332"/>
      <c r="AG50" s="332"/>
      <c r="AH50" s="332"/>
      <c r="AI50" s="332"/>
      <c r="AJ50" s="332"/>
      <c r="AK50" s="332"/>
      <c r="AL50" s="332"/>
      <c r="AM50" s="332"/>
      <c r="AN50" s="332"/>
      <c r="AO50" s="332"/>
      <c r="AP50" s="332"/>
      <c r="AQ50" s="332"/>
    </row>
    <row r="51" spans="3:43" s="147" customFormat="1" ht="15" customHeight="1">
      <c r="C51" s="197" t="s">
        <v>378</v>
      </c>
      <c r="D51" s="197"/>
      <c r="E51" s="197"/>
      <c r="F51" s="197"/>
      <c r="G51" s="197"/>
      <c r="H51" s="197"/>
      <c r="I51" s="197"/>
      <c r="J51" s="197"/>
      <c r="K51" s="197"/>
      <c r="L51" s="197"/>
      <c r="M51" s="197"/>
      <c r="N51" s="197"/>
      <c r="O51" s="197"/>
      <c r="P51" s="197"/>
      <c r="Q51" s="197"/>
      <c r="R51" s="197"/>
      <c r="S51" s="197"/>
      <c r="T51" s="197"/>
      <c r="U51" s="197"/>
      <c r="V51" s="197"/>
      <c r="W51" s="197"/>
      <c r="X51" s="197"/>
      <c r="Y51" s="197"/>
      <c r="Z51" s="197"/>
      <c r="AA51" s="197"/>
      <c r="AB51" s="197"/>
      <c r="AC51" s="197"/>
      <c r="AD51" s="197"/>
      <c r="AE51" s="197"/>
      <c r="AF51" s="197"/>
      <c r="AG51" s="197"/>
      <c r="AH51" s="197"/>
      <c r="AI51" s="197"/>
      <c r="AJ51" s="197"/>
      <c r="AK51" s="197"/>
      <c r="AL51" s="197"/>
      <c r="AM51" s="197"/>
      <c r="AN51" s="197"/>
      <c r="AO51" s="197"/>
      <c r="AP51" s="197"/>
      <c r="AQ51" s="197"/>
    </row>
    <row r="52" spans="3:43" s="147" customFormat="1" ht="15" customHeight="1">
      <c r="C52" s="197" t="s">
        <v>377</v>
      </c>
      <c r="D52" s="197"/>
      <c r="E52" s="197"/>
      <c r="F52" s="197"/>
      <c r="G52" s="197"/>
      <c r="H52" s="197"/>
      <c r="I52" s="197"/>
      <c r="J52" s="197"/>
      <c r="K52" s="197"/>
      <c r="L52" s="197"/>
      <c r="M52" s="197"/>
      <c r="N52" s="197"/>
      <c r="O52" s="197"/>
      <c r="P52" s="197"/>
      <c r="Q52" s="197"/>
      <c r="R52" s="197"/>
      <c r="S52" s="197"/>
      <c r="T52" s="197"/>
      <c r="U52" s="197"/>
      <c r="V52" s="197"/>
      <c r="W52" s="197"/>
      <c r="X52" s="197"/>
      <c r="Y52" s="197"/>
      <c r="Z52" s="197"/>
      <c r="AA52" s="197"/>
      <c r="AB52" s="197"/>
      <c r="AC52" s="197"/>
      <c r="AD52" s="197"/>
      <c r="AE52" s="197"/>
      <c r="AF52" s="197"/>
      <c r="AG52" s="197"/>
      <c r="AH52" s="197"/>
      <c r="AI52" s="197"/>
      <c r="AJ52" s="197"/>
      <c r="AK52" s="197"/>
      <c r="AL52" s="197"/>
      <c r="AM52" s="197"/>
      <c r="AN52" s="197"/>
      <c r="AO52" s="197"/>
      <c r="AP52" s="197"/>
      <c r="AQ52" s="197"/>
    </row>
    <row r="53" spans="3:43" ht="15" customHeight="1">
      <c r="Y53" s="153"/>
      <c r="Z53" s="153"/>
      <c r="AA53" s="153"/>
      <c r="AB53" s="153"/>
      <c r="AC53" s="153"/>
      <c r="AD53" s="153"/>
      <c r="AE53" s="153"/>
      <c r="AF53" s="153"/>
      <c r="AG53" s="153"/>
      <c r="AH53" s="153"/>
      <c r="AI53" s="153"/>
    </row>
    <row r="54" spans="3:43" ht="15" customHeight="1">
      <c r="D54" s="29" t="s">
        <v>11</v>
      </c>
      <c r="E54" s="364"/>
      <c r="F54" s="365"/>
      <c r="G54" s="365"/>
      <c r="H54" s="365"/>
      <c r="I54" s="365"/>
      <c r="J54" s="366"/>
      <c r="K54" s="366"/>
      <c r="L54" s="366"/>
      <c r="M54" s="366"/>
      <c r="N54" s="366"/>
      <c r="O54" s="366"/>
      <c r="P54" s="366"/>
      <c r="Q54" s="366"/>
      <c r="R54" s="366"/>
      <c r="S54" s="366"/>
      <c r="T54" s="366"/>
      <c r="U54" s="366"/>
      <c r="V54" s="366"/>
      <c r="W54" s="366"/>
      <c r="X54" s="366"/>
      <c r="Y54" s="365"/>
      <c r="Z54" s="365"/>
      <c r="AA54" s="365"/>
      <c r="AB54" s="365"/>
      <c r="AC54" s="365"/>
      <c r="AD54" s="365"/>
      <c r="AE54" s="365"/>
      <c r="AF54" s="365"/>
      <c r="AG54" s="365"/>
      <c r="AH54" s="365"/>
      <c r="AI54" s="365"/>
      <c r="AJ54" s="365"/>
      <c r="AK54" s="365"/>
      <c r="AL54" s="365"/>
      <c r="AM54" s="365"/>
      <c r="AN54" s="365"/>
      <c r="AO54" s="365"/>
      <c r="AP54" s="365"/>
      <c r="AQ54" s="365"/>
    </row>
    <row r="55" spans="3:43" ht="15" customHeight="1">
      <c r="J55" s="31"/>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31"/>
      <c r="AJ55" s="367"/>
      <c r="AK55" s="31"/>
      <c r="AL55" s="31"/>
      <c r="AM55" s="31"/>
      <c r="AN55" s="31"/>
      <c r="AO55" s="31"/>
      <c r="AP55" s="31"/>
      <c r="AQ55" s="31"/>
    </row>
    <row r="56" spans="3:43" ht="15" customHeight="1">
      <c r="E56" s="25" t="s">
        <v>123</v>
      </c>
      <c r="G56" s="149" t="s">
        <v>844</v>
      </c>
      <c r="J56" s="31"/>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31"/>
      <c r="AJ56" s="42">
        <f>Depn!AJ219</f>
        <v>2663.9776754912023</v>
      </c>
      <c r="AK56" s="149">
        <f t="shared" ref="AK56:AQ56" si="15">AJ60</f>
        <v>2821.2083687909262</v>
      </c>
      <c r="AL56" s="149">
        <f t="shared" si="15"/>
        <v>2993.0953971073995</v>
      </c>
      <c r="AM56" s="149">
        <f t="shared" si="15"/>
        <v>3160.7255244207754</v>
      </c>
      <c r="AN56" s="149">
        <f t="shared" si="15"/>
        <v>3322.8708849309351</v>
      </c>
      <c r="AO56" s="149">
        <f t="shared" si="15"/>
        <v>3480.0870407756952</v>
      </c>
      <c r="AP56" s="149">
        <f t="shared" si="15"/>
        <v>3632.4487816903038</v>
      </c>
      <c r="AQ56" s="149">
        <f t="shared" si="15"/>
        <v>3785.2477524860442</v>
      </c>
    </row>
    <row r="57" spans="3:43" ht="15" customHeight="1">
      <c r="E57" s="25" t="s">
        <v>122</v>
      </c>
      <c r="G57" s="149" t="s">
        <v>844</v>
      </c>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31"/>
      <c r="AJ57" s="152"/>
      <c r="AK57" s="152"/>
      <c r="AL57" s="152"/>
      <c r="AM57" s="152"/>
      <c r="AN57" s="152"/>
      <c r="AO57" s="152"/>
      <c r="AP57" s="152"/>
      <c r="AQ57" s="152"/>
    </row>
    <row r="58" spans="3:43" ht="15" customHeight="1">
      <c r="E58" s="25" t="s">
        <v>124</v>
      </c>
      <c r="G58" s="149" t="s">
        <v>844</v>
      </c>
      <c r="Y58" s="153"/>
      <c r="Z58" s="153"/>
      <c r="AA58" s="153"/>
      <c r="AB58" s="153"/>
      <c r="AC58" s="153"/>
      <c r="AD58" s="153"/>
      <c r="AE58" s="153"/>
      <c r="AF58" s="153"/>
      <c r="AG58" s="153"/>
      <c r="AH58" s="153"/>
      <c r="AI58" s="153"/>
      <c r="AJ58" s="168">
        <f t="shared" ref="AJ58:AQ58" si="16">SUM(AJ56:AJ57)</f>
        <v>2663.9776754912023</v>
      </c>
      <c r="AK58" s="168">
        <f t="shared" si="16"/>
        <v>2821.2083687909262</v>
      </c>
      <c r="AL58" s="168">
        <f t="shared" si="16"/>
        <v>2993.0953971073995</v>
      </c>
      <c r="AM58" s="168">
        <f t="shared" si="16"/>
        <v>3160.7255244207754</v>
      </c>
      <c r="AN58" s="168">
        <f t="shared" si="16"/>
        <v>3322.8708849309351</v>
      </c>
      <c r="AO58" s="168">
        <f t="shared" si="16"/>
        <v>3480.0870407756952</v>
      </c>
      <c r="AP58" s="168">
        <f t="shared" si="16"/>
        <v>3632.4487816903038</v>
      </c>
      <c r="AQ58" s="168">
        <f t="shared" si="16"/>
        <v>3785.2477524860442</v>
      </c>
    </row>
    <row r="59" spans="3:43" ht="15" customHeight="1">
      <c r="E59" s="25" t="s">
        <v>126</v>
      </c>
      <c r="G59" s="149" t="s">
        <v>844</v>
      </c>
      <c r="Y59" s="153"/>
      <c r="Z59" s="153"/>
      <c r="AA59" s="153"/>
      <c r="AB59" s="153"/>
      <c r="AC59" s="153"/>
      <c r="AD59" s="153"/>
      <c r="AE59" s="153"/>
      <c r="AF59" s="153"/>
      <c r="AG59" s="153"/>
      <c r="AH59" s="153"/>
      <c r="AI59" s="153"/>
      <c r="AJ59" s="152">
        <f>Depn!AJ18</f>
        <v>157.2306932997239</v>
      </c>
      <c r="AK59" s="152">
        <f>Depn!AK18</f>
        <v>171.88702831647345</v>
      </c>
      <c r="AL59" s="152">
        <f>Depn!AL18</f>
        <v>167.63012731337571</v>
      </c>
      <c r="AM59" s="152">
        <f>Depn!AM18</f>
        <v>162.14536051015963</v>
      </c>
      <c r="AN59" s="152">
        <f>Depn!AN18</f>
        <v>157.21615584475998</v>
      </c>
      <c r="AO59" s="152">
        <f>Depn!AO18</f>
        <v>152.36174091460876</v>
      </c>
      <c r="AP59" s="152">
        <f>Depn!AP18</f>
        <v>152.79897079574016</v>
      </c>
      <c r="AQ59" s="152">
        <f>Depn!AQ18</f>
        <v>148.8695577731709</v>
      </c>
    </row>
    <row r="60" spans="3:43" ht="15" customHeight="1">
      <c r="E60" s="25" t="s">
        <v>71</v>
      </c>
      <c r="G60" s="149" t="s">
        <v>844</v>
      </c>
      <c r="Y60" s="153"/>
      <c r="Z60" s="153"/>
      <c r="AA60" s="153"/>
      <c r="AB60" s="153"/>
      <c r="AC60" s="153"/>
      <c r="AD60" s="153"/>
      <c r="AE60" s="153"/>
      <c r="AF60" s="153"/>
      <c r="AG60" s="153"/>
      <c r="AH60" s="153"/>
      <c r="AI60" s="153"/>
      <c r="AJ60" s="144">
        <f t="shared" ref="AJ60:AK60" si="17">AJ58 + AJ59</f>
        <v>2821.2083687909262</v>
      </c>
      <c r="AK60" s="144">
        <f t="shared" si="17"/>
        <v>2993.0953971073995</v>
      </c>
      <c r="AL60" s="144">
        <f>AL58 + AL59</f>
        <v>3160.7255244207754</v>
      </c>
      <c r="AM60" s="144">
        <f t="shared" ref="AM60:AQ60" si="18">AM58 + AM59</f>
        <v>3322.8708849309351</v>
      </c>
      <c r="AN60" s="144">
        <f t="shared" si="18"/>
        <v>3480.0870407756952</v>
      </c>
      <c r="AO60" s="144">
        <f t="shared" si="18"/>
        <v>3632.4487816903038</v>
      </c>
      <c r="AP60" s="144">
        <f t="shared" si="18"/>
        <v>3785.2477524860442</v>
      </c>
      <c r="AQ60" s="144">
        <f t="shared" si="18"/>
        <v>3934.1173102592152</v>
      </c>
    </row>
    <row r="61" spans="3:43" ht="15" customHeight="1">
      <c r="Y61" s="153"/>
      <c r="Z61" s="153"/>
      <c r="AA61" s="153"/>
      <c r="AB61" s="153"/>
      <c r="AC61" s="153"/>
      <c r="AD61" s="153"/>
      <c r="AE61" s="153"/>
      <c r="AF61" s="153"/>
      <c r="AG61" s="153"/>
      <c r="AH61" s="153"/>
      <c r="AI61" s="153"/>
    </row>
    <row r="62" spans="3:43" ht="15" customHeight="1">
      <c r="D62" s="27" t="s">
        <v>117</v>
      </c>
      <c r="E62" s="27"/>
      <c r="F62" s="29"/>
      <c r="G62" s="29"/>
      <c r="H62" s="29"/>
      <c r="I62" s="29"/>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9"/>
      <c r="AK62" s="29"/>
      <c r="AL62" s="29"/>
      <c r="AM62" s="29"/>
      <c r="AN62" s="29"/>
      <c r="AO62" s="29"/>
      <c r="AP62" s="29"/>
      <c r="AQ62" s="29"/>
    </row>
    <row r="63" spans="3:43" ht="15" customHeight="1">
      <c r="Y63" s="153"/>
      <c r="Z63" s="153"/>
      <c r="AA63" s="153"/>
      <c r="AB63" s="153"/>
      <c r="AC63" s="153"/>
      <c r="AD63" s="153"/>
      <c r="AE63" s="153"/>
      <c r="AF63" s="153"/>
      <c r="AG63" s="153"/>
      <c r="AH63" s="153"/>
      <c r="AI63" s="153"/>
    </row>
    <row r="64" spans="3:43" ht="15" customHeight="1">
      <c r="E64" s="25" t="s">
        <v>123</v>
      </c>
      <c r="G64" s="149" t="s">
        <v>844</v>
      </c>
      <c r="J64" s="31"/>
      <c r="K64" s="31"/>
      <c r="L64" s="31"/>
      <c r="M64" s="31"/>
      <c r="N64" s="31"/>
      <c r="O64" s="31"/>
      <c r="P64" s="31"/>
      <c r="Q64" s="31"/>
      <c r="R64" s="31"/>
      <c r="S64" s="31"/>
      <c r="T64" s="31"/>
      <c r="U64" s="31"/>
      <c r="V64" s="31"/>
      <c r="W64" s="31"/>
      <c r="X64" s="31"/>
      <c r="Y64" s="31"/>
      <c r="Z64" s="31"/>
      <c r="AA64" s="31"/>
      <c r="AB64" s="31"/>
      <c r="AC64" s="31"/>
      <c r="AD64" s="31"/>
      <c r="AE64" s="31"/>
      <c r="AF64" s="31"/>
      <c r="AG64" s="31"/>
      <c r="AH64" s="31"/>
      <c r="AI64" s="31"/>
      <c r="AJ64" s="42">
        <f>Depn!AJ220</f>
        <v>1152.0115137053335</v>
      </c>
      <c r="AK64" s="149">
        <f t="shared" ref="AK64:AQ64" si="19">AJ68</f>
        <v>1276.257338797285</v>
      </c>
      <c r="AL64" s="149">
        <f t="shared" si="19"/>
        <v>1404.8449225400841</v>
      </c>
      <c r="AM64" s="149">
        <f t="shared" si="19"/>
        <v>1536.8375683870511</v>
      </c>
      <c r="AN64" s="149">
        <f t="shared" si="19"/>
        <v>1672.3181728195577</v>
      </c>
      <c r="AO64" s="149">
        <f t="shared" si="19"/>
        <v>1801.9574684531319</v>
      </c>
      <c r="AP64" s="149">
        <f t="shared" si="19"/>
        <v>1933.016680392386</v>
      </c>
      <c r="AQ64" s="149">
        <f t="shared" si="19"/>
        <v>2064.2373519561456</v>
      </c>
    </row>
    <row r="65" spans="2:43" ht="15" customHeight="1">
      <c r="G65" s="149" t="s">
        <v>844</v>
      </c>
      <c r="J65" s="31"/>
      <c r="K65" s="31"/>
      <c r="L65" s="31"/>
      <c r="M65" s="31"/>
      <c r="N65" s="31"/>
      <c r="O65" s="31"/>
      <c r="P65" s="31"/>
      <c r="Q65" s="31"/>
      <c r="R65" s="31"/>
      <c r="S65" s="31"/>
      <c r="T65" s="31"/>
      <c r="U65" s="31"/>
      <c r="V65" s="31"/>
      <c r="W65" s="31"/>
      <c r="X65" s="31"/>
      <c r="Y65" s="31"/>
      <c r="Z65" s="31"/>
      <c r="AA65" s="31"/>
      <c r="AB65" s="31"/>
      <c r="AC65" s="31"/>
      <c r="AD65" s="31"/>
      <c r="AE65" s="31"/>
      <c r="AF65" s="31"/>
      <c r="AG65" s="31"/>
      <c r="AH65" s="31"/>
      <c r="AI65" s="31"/>
      <c r="AJ65" s="152"/>
      <c r="AK65" s="152"/>
      <c r="AL65" s="152"/>
      <c r="AM65" s="152"/>
      <c r="AN65" s="152"/>
      <c r="AO65" s="152"/>
      <c r="AP65" s="152"/>
      <c r="AQ65" s="152"/>
    </row>
    <row r="66" spans="2:43" ht="15" customHeight="1">
      <c r="E66" s="25" t="s">
        <v>124</v>
      </c>
      <c r="G66" s="149" t="s">
        <v>844</v>
      </c>
      <c r="Y66" s="153"/>
      <c r="Z66" s="153"/>
      <c r="AA66" s="153"/>
      <c r="AB66" s="153"/>
      <c r="AC66" s="153"/>
      <c r="AD66" s="153"/>
      <c r="AE66" s="153"/>
      <c r="AF66" s="153"/>
      <c r="AG66" s="153"/>
      <c r="AH66" s="153"/>
      <c r="AI66" s="153"/>
      <c r="AJ66" s="167">
        <f t="shared" ref="AJ66:AQ66" si="20">SUM(AJ64:AJ65)</f>
        <v>1152.0115137053335</v>
      </c>
      <c r="AK66" s="167">
        <f t="shared" si="20"/>
        <v>1276.257338797285</v>
      </c>
      <c r="AL66" s="167">
        <f t="shared" si="20"/>
        <v>1404.8449225400841</v>
      </c>
      <c r="AM66" s="167">
        <f t="shared" si="20"/>
        <v>1536.8375683870511</v>
      </c>
      <c r="AN66" s="167">
        <f t="shared" si="20"/>
        <v>1672.3181728195577</v>
      </c>
      <c r="AO66" s="167">
        <f t="shared" si="20"/>
        <v>1801.9574684531319</v>
      </c>
      <c r="AP66" s="167">
        <f t="shared" si="20"/>
        <v>1933.016680392386</v>
      </c>
      <c r="AQ66" s="167">
        <f t="shared" si="20"/>
        <v>2064.2373519561456</v>
      </c>
    </row>
    <row r="67" spans="2:43" ht="15" customHeight="1">
      <c r="D67" s="147"/>
      <c r="E67" s="30" t="s">
        <v>0</v>
      </c>
      <c r="F67" s="147"/>
      <c r="G67" s="149" t="s">
        <v>844</v>
      </c>
      <c r="H67" s="147"/>
      <c r="I67" s="147"/>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152">
        <f>Depn!AJ210</f>
        <v>124.24582509195155</v>
      </c>
      <c r="AK67" s="152">
        <f>Depn!AK210</f>
        <v>128.58758374279918</v>
      </c>
      <c r="AL67" s="152">
        <f>Depn!AL210</f>
        <v>131.99264584696695</v>
      </c>
      <c r="AM67" s="152">
        <f>Depn!AM210</f>
        <v>135.48060443250662</v>
      </c>
      <c r="AN67" s="152">
        <f>Depn!AN210</f>
        <v>129.63929563357419</v>
      </c>
      <c r="AO67" s="152">
        <f>Depn!AO210</f>
        <v>131.05921193925411</v>
      </c>
      <c r="AP67" s="152">
        <f>Depn!AP210</f>
        <v>131.22067156375945</v>
      </c>
      <c r="AQ67" s="152">
        <f>Depn!AQ210</f>
        <v>129.68023231829352</v>
      </c>
    </row>
    <row r="68" spans="2:43" ht="15" customHeight="1">
      <c r="E68" s="25" t="s">
        <v>71</v>
      </c>
      <c r="G68" s="149" t="s">
        <v>844</v>
      </c>
      <c r="Y68" s="153"/>
      <c r="Z68" s="153"/>
      <c r="AA68" s="153"/>
      <c r="AB68" s="153"/>
      <c r="AC68" s="153"/>
      <c r="AD68" s="153"/>
      <c r="AE68" s="153"/>
      <c r="AF68" s="153"/>
      <c r="AG68" s="153"/>
      <c r="AH68" s="153"/>
      <c r="AI68" s="153"/>
      <c r="AJ68" s="144">
        <f>AJ66 + AJ67</f>
        <v>1276.257338797285</v>
      </c>
      <c r="AK68" s="144">
        <f t="shared" ref="AK68:AQ68" si="21">AK66 + AK67</f>
        <v>1404.8449225400841</v>
      </c>
      <c r="AL68" s="144">
        <f t="shared" si="21"/>
        <v>1536.8375683870511</v>
      </c>
      <c r="AM68" s="144">
        <f t="shared" si="21"/>
        <v>1672.3181728195577</v>
      </c>
      <c r="AN68" s="144">
        <f t="shared" si="21"/>
        <v>1801.9574684531319</v>
      </c>
      <c r="AO68" s="144">
        <f t="shared" si="21"/>
        <v>1933.016680392386</v>
      </c>
      <c r="AP68" s="144">
        <f t="shared" si="21"/>
        <v>2064.2373519561456</v>
      </c>
      <c r="AQ68" s="144">
        <f t="shared" si="21"/>
        <v>2193.9175842744389</v>
      </c>
    </row>
    <row r="69" spans="2:43" ht="15" customHeight="1">
      <c r="Y69" s="153"/>
      <c r="Z69" s="153"/>
      <c r="AA69" s="153"/>
      <c r="AB69" s="153"/>
      <c r="AC69" s="153"/>
      <c r="AD69" s="153"/>
      <c r="AE69" s="153"/>
      <c r="AF69" s="153"/>
      <c r="AG69" s="153"/>
      <c r="AH69" s="153"/>
      <c r="AI69" s="153"/>
    </row>
    <row r="70" spans="2:43" ht="15" customHeight="1">
      <c r="D70" s="29" t="s">
        <v>52</v>
      </c>
      <c r="E70" s="27"/>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row>
    <row r="71" spans="2:43" ht="15" customHeight="1">
      <c r="Y71" s="153"/>
      <c r="Z71" s="153"/>
      <c r="AA71" s="153"/>
      <c r="AB71" s="153"/>
      <c r="AC71" s="153"/>
      <c r="AD71" s="153"/>
      <c r="AE71" s="153"/>
      <c r="AF71" s="153"/>
      <c r="AG71" s="153"/>
      <c r="AH71" s="153"/>
      <c r="AI71" s="153"/>
    </row>
    <row r="72" spans="2:43" ht="15" customHeight="1">
      <c r="E72" s="25" t="s">
        <v>14</v>
      </c>
      <c r="G72" s="149" t="s">
        <v>844</v>
      </c>
      <c r="Y72" s="153"/>
      <c r="Z72" s="153"/>
      <c r="AA72" s="153"/>
      <c r="AB72" s="153"/>
      <c r="AC72" s="153"/>
      <c r="AD72" s="153"/>
      <c r="AE72" s="153"/>
      <c r="AF72" s="153"/>
      <c r="AG72" s="153"/>
      <c r="AH72" s="153"/>
      <c r="AI72" s="153"/>
      <c r="AJ72" s="32">
        <f t="shared" ref="AJ72:AQ72" si="22">AJ60 - AJ68</f>
        <v>1544.9510299936412</v>
      </c>
      <c r="AK72" s="32">
        <f t="shared" si="22"/>
        <v>1588.2504745673155</v>
      </c>
      <c r="AL72" s="32">
        <f t="shared" si="22"/>
        <v>1623.8879560337243</v>
      </c>
      <c r="AM72" s="32">
        <f t="shared" si="22"/>
        <v>1650.5527121113773</v>
      </c>
      <c r="AN72" s="32">
        <f t="shared" si="22"/>
        <v>1678.1295723225633</v>
      </c>
      <c r="AO72" s="32">
        <f t="shared" si="22"/>
        <v>1699.4321012979178</v>
      </c>
      <c r="AP72" s="32">
        <f t="shared" si="22"/>
        <v>1721.0104005298986</v>
      </c>
      <c r="AQ72" s="32">
        <f t="shared" si="22"/>
        <v>1740.1997259847763</v>
      </c>
    </row>
    <row r="73" spans="2:43" ht="15" customHeight="1">
      <c r="Y73" s="153"/>
      <c r="Z73" s="153"/>
      <c r="AA73" s="153"/>
      <c r="AB73" s="153"/>
      <c r="AC73" s="153"/>
      <c r="AD73" s="153"/>
      <c r="AE73" s="153"/>
      <c r="AF73" s="153"/>
      <c r="AG73" s="153"/>
      <c r="AH73" s="153"/>
      <c r="AI73" s="153"/>
      <c r="AJ73" s="147"/>
      <c r="AK73" s="147"/>
      <c r="AL73" s="147"/>
      <c r="AM73" s="147"/>
      <c r="AN73" s="147"/>
      <c r="AO73" s="147"/>
      <c r="AP73" s="147"/>
      <c r="AQ73" s="147"/>
    </row>
    <row r="74" spans="2:43" ht="15" customHeight="1">
      <c r="C74" s="332" t="s">
        <v>671</v>
      </c>
      <c r="D74" s="332"/>
      <c r="E74" s="332"/>
      <c r="F74" s="332"/>
      <c r="G74" s="332"/>
      <c r="H74" s="332"/>
      <c r="I74" s="332"/>
      <c r="J74" s="332"/>
      <c r="K74" s="332"/>
      <c r="L74" s="332"/>
      <c r="M74" s="332"/>
      <c r="N74" s="332"/>
      <c r="O74" s="332"/>
      <c r="P74" s="332"/>
      <c r="Q74" s="332"/>
      <c r="R74" s="332"/>
      <c r="S74" s="332"/>
      <c r="T74" s="332"/>
      <c r="U74" s="332"/>
      <c r="V74" s="332"/>
      <c r="W74" s="332"/>
      <c r="X74" s="332"/>
      <c r="Y74" s="332"/>
      <c r="Z74" s="332"/>
      <c r="AA74" s="332"/>
      <c r="AB74" s="332"/>
      <c r="AC74" s="332"/>
      <c r="AD74" s="332"/>
      <c r="AE74" s="332"/>
      <c r="AF74" s="332"/>
      <c r="AG74" s="332"/>
      <c r="AH74" s="332"/>
      <c r="AI74" s="332"/>
      <c r="AJ74" s="332"/>
      <c r="AK74" s="332"/>
      <c r="AL74" s="332"/>
      <c r="AM74" s="332"/>
      <c r="AN74" s="332"/>
      <c r="AO74" s="332"/>
      <c r="AP74" s="332"/>
      <c r="AQ74" s="332"/>
    </row>
    <row r="75" spans="2:43" ht="15" customHeight="1">
      <c r="Y75" s="153"/>
      <c r="Z75" s="153"/>
      <c r="AA75" s="153"/>
      <c r="AB75" s="153"/>
      <c r="AC75" s="153"/>
      <c r="AD75" s="153"/>
      <c r="AE75" s="153"/>
      <c r="AF75" s="153"/>
      <c r="AG75" s="153"/>
      <c r="AH75" s="153"/>
      <c r="AI75" s="153"/>
      <c r="AJ75" s="147"/>
      <c r="AK75" s="147"/>
      <c r="AL75" s="147"/>
      <c r="AM75" s="147"/>
      <c r="AN75" s="147"/>
      <c r="AO75" s="147"/>
      <c r="AP75" s="147"/>
      <c r="AQ75" s="147"/>
    </row>
    <row r="76" spans="2:43" ht="15" customHeight="1">
      <c r="E76" s="25" t="s">
        <v>672</v>
      </c>
      <c r="G76" s="149" t="s">
        <v>844</v>
      </c>
      <c r="Y76" s="153"/>
      <c r="Z76" s="153"/>
      <c r="AA76" s="153"/>
      <c r="AB76" s="153"/>
      <c r="AC76" s="153"/>
      <c r="AD76" s="153"/>
      <c r="AE76" s="153"/>
      <c r="AF76" s="153"/>
      <c r="AG76" s="153"/>
      <c r="AH76" s="153"/>
      <c r="AI76" s="153"/>
      <c r="AJ76" s="42">
        <f>Input!I320</f>
        <v>20.123452965068136</v>
      </c>
      <c r="AK76" s="147"/>
      <c r="AL76" s="147"/>
      <c r="AM76" s="147"/>
      <c r="AN76" s="147"/>
      <c r="AO76" s="147"/>
      <c r="AP76" s="147"/>
      <c r="AQ76" s="147"/>
    </row>
    <row r="77" spans="2:43" ht="15" customHeight="1">
      <c r="Y77" s="153"/>
      <c r="Z77" s="153"/>
      <c r="AA77" s="153"/>
      <c r="AB77" s="153"/>
      <c r="AC77" s="153"/>
      <c r="AD77" s="153"/>
      <c r="AE77" s="153"/>
      <c r="AF77" s="153"/>
      <c r="AG77" s="153"/>
      <c r="AH77" s="153"/>
      <c r="AI77" s="153"/>
      <c r="AJ77" s="147"/>
      <c r="AK77" s="147"/>
      <c r="AL77" s="147"/>
      <c r="AM77" s="147"/>
      <c r="AN77" s="147"/>
      <c r="AO77" s="147"/>
      <c r="AP77" s="147"/>
      <c r="AQ77" s="147"/>
    </row>
    <row r="78" spans="2:43" ht="15" customHeight="1">
      <c r="Y78" s="153"/>
      <c r="Z78" s="147"/>
      <c r="AA78" s="147"/>
      <c r="AB78" s="147"/>
      <c r="AC78" s="147"/>
      <c r="AD78" s="147"/>
      <c r="AE78" s="147"/>
      <c r="AF78" s="147"/>
      <c r="AG78" s="147"/>
      <c r="AH78" s="147"/>
      <c r="AI78" s="147"/>
      <c r="AJ78" s="147"/>
      <c r="AK78" s="147"/>
      <c r="AL78" s="147"/>
      <c r="AM78" s="147"/>
      <c r="AN78" s="147"/>
      <c r="AO78" s="147"/>
      <c r="AP78" s="147"/>
      <c r="AQ78" s="147"/>
    </row>
    <row r="79" spans="2:43" ht="15" customHeight="1">
      <c r="B79" s="334" t="s">
        <v>53</v>
      </c>
      <c r="C79" s="334"/>
      <c r="D79" s="334"/>
      <c r="E79" s="334"/>
      <c r="F79" s="334"/>
      <c r="G79" s="334"/>
      <c r="H79" s="334"/>
      <c r="I79" s="334"/>
      <c r="J79" s="334"/>
      <c r="K79" s="334"/>
      <c r="L79" s="334"/>
      <c r="M79" s="334"/>
      <c r="N79" s="334"/>
      <c r="O79" s="334"/>
      <c r="P79" s="334"/>
      <c r="Q79" s="334"/>
      <c r="R79" s="334"/>
      <c r="S79" s="334"/>
      <c r="T79" s="334"/>
      <c r="U79" s="334"/>
      <c r="V79" s="334"/>
      <c r="W79" s="334"/>
      <c r="X79" s="334"/>
      <c r="Y79" s="334"/>
      <c r="Z79" s="334"/>
      <c r="AA79" s="334"/>
      <c r="AB79" s="334"/>
      <c r="AC79" s="334"/>
      <c r="AD79" s="334"/>
      <c r="AE79" s="334"/>
      <c r="AF79" s="334"/>
      <c r="AG79" s="334"/>
      <c r="AH79" s="334"/>
      <c r="AI79" s="334"/>
      <c r="AJ79" s="334"/>
      <c r="AK79" s="334"/>
      <c r="AL79" s="334"/>
      <c r="AM79" s="334"/>
      <c r="AN79" s="334"/>
      <c r="AO79" s="334"/>
      <c r="AP79" s="334"/>
      <c r="AQ79" s="334"/>
    </row>
    <row r="80" spans="2:43" ht="15" customHeight="1"/>
    <row r="81" ht="15" customHeight="1"/>
    <row r="82" ht="15" customHeight="1"/>
    <row r="83" ht="15"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row r="110" ht="15" hidden="1" customHeight="1"/>
    <row r="111" ht="15" hidden="1" customHeight="1"/>
    <row r="112" ht="15" hidden="1" customHeight="1"/>
    <row r="113" ht="15" hidden="1" customHeight="1"/>
    <row r="114" ht="15" hidden="1" customHeight="1"/>
    <row r="115" ht="15" hidden="1" customHeight="1"/>
    <row r="116" ht="15" hidden="1" customHeight="1"/>
    <row r="117" ht="15" hidden="1" customHeight="1"/>
    <row r="118" ht="15" hidden="1" customHeight="1"/>
    <row r="119" ht="15" hidden="1" customHeight="1"/>
    <row r="120" ht="15" hidden="1" customHeight="1"/>
    <row r="121" ht="15" hidden="1" customHeight="1"/>
    <row r="122" ht="15" hidden="1" customHeight="1"/>
    <row r="123" ht="15" hidden="1" customHeight="1"/>
    <row r="124" ht="15" hidden="1" customHeight="1"/>
    <row r="125" ht="15" hidden="1" customHeight="1"/>
    <row r="126" ht="15" hidden="1" customHeight="1"/>
    <row r="127" ht="15" hidden="1" customHeight="1"/>
    <row r="128" ht="15" hidden="1" customHeight="1"/>
    <row r="129" ht="15" hidden="1" customHeight="1"/>
    <row r="130" ht="15" hidden="1" customHeight="1"/>
    <row r="131" ht="15" hidden="1" customHeight="1"/>
    <row r="132" ht="15" hidden="1" customHeight="1"/>
    <row r="133" ht="15" hidden="1" customHeight="1"/>
    <row r="134" ht="15" hidden="1" customHeight="1"/>
    <row r="135" ht="15" hidden="1" customHeight="1"/>
    <row r="136" ht="15" hidden="1" customHeight="1"/>
    <row r="137" ht="15" hidden="1" customHeight="1"/>
    <row r="138" ht="15" hidden="1" customHeight="1"/>
    <row r="139" ht="15" hidden="1" customHeight="1"/>
    <row r="140" ht="15" hidden="1" customHeight="1"/>
    <row r="141" ht="15" hidden="1" customHeight="1"/>
    <row r="142" ht="15" hidden="1" customHeight="1"/>
    <row r="143" ht="15" hidden="1" customHeight="1"/>
    <row r="144"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hidden="1" customHeight="1"/>
    <row r="167" ht="15" hidden="1" customHeight="1"/>
    <row r="168" ht="15" hidden="1" customHeight="1"/>
    <row r="169" ht="15" hidden="1" customHeight="1"/>
    <row r="170" ht="15" hidden="1" customHeight="1"/>
    <row r="171" ht="15" hidden="1" customHeight="1"/>
    <row r="172" ht="15" hidden="1" customHeight="1"/>
    <row r="173" ht="15" hidden="1" customHeight="1"/>
    <row r="174" ht="15" hidden="1" customHeight="1"/>
    <row r="175" ht="15" hidden="1" customHeight="1"/>
    <row r="176" ht="15" hidden="1" customHeight="1"/>
    <row r="177" ht="15" hidden="1" customHeight="1"/>
    <row r="178" ht="15" hidden="1" customHeight="1"/>
    <row r="179" ht="15" hidden="1" customHeight="1"/>
    <row r="180" ht="15" hidden="1" customHeight="1"/>
    <row r="181" ht="15" hidden="1" customHeight="1"/>
    <row r="182" ht="15" hidden="1" customHeight="1"/>
    <row r="183" ht="15" hidden="1" customHeight="1"/>
    <row r="184" ht="15" hidden="1" customHeight="1"/>
    <row r="185" ht="15" hidden="1" customHeight="1"/>
    <row r="186" ht="15" hidden="1" customHeight="1"/>
    <row r="187" ht="15" hidden="1" customHeight="1"/>
    <row r="188" ht="15" hidden="1" customHeight="1"/>
    <row r="189" ht="15" hidden="1" customHeight="1"/>
    <row r="190" ht="15" hidden="1" customHeight="1"/>
    <row r="191" ht="15" hidden="1" customHeight="1"/>
    <row r="192" ht="15" hidden="1" customHeight="1"/>
    <row r="193" ht="15" hidden="1" customHeight="1"/>
    <row r="194" ht="15" hidden="1" customHeight="1"/>
    <row r="195" ht="15" hidden="1" customHeight="1"/>
    <row r="196" ht="15" hidden="1" customHeight="1"/>
    <row r="197" ht="15" hidden="1" customHeight="1"/>
    <row r="198" ht="15" hidden="1" customHeight="1"/>
    <row r="199" ht="15" hidden="1" customHeight="1"/>
    <row r="200" ht="15" hidden="1" customHeight="1"/>
    <row r="201" ht="15" hidden="1" customHeight="1"/>
    <row r="202" ht="15" hidden="1" customHeight="1"/>
    <row r="203" ht="15" hidden="1" customHeight="1"/>
    <row r="204" ht="15" hidden="1" customHeight="1"/>
    <row r="205" ht="15" hidden="1" customHeight="1"/>
    <row r="206" ht="15" hidden="1" customHeight="1"/>
    <row r="207" ht="15" hidden="1" customHeight="1"/>
    <row r="208"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sheetData>
  <pageMargins left="0.23622047244094491" right="0.23622047244094491" top="0.74803149606299213" bottom="0.74803149606299213" header="0.31496062992125984" footer="0.31496062992125984"/>
  <pageSetup paperSize="8" scale="42" fitToHeight="0" orientation="landscape"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25633" r:id="rId4" name="Drop Down 1">
              <controlPr defaultSize="0" autoLine="0" autoPict="0">
                <anchor moveWithCells="1">
                  <from>
                    <xdr:col>4</xdr:col>
                    <xdr:colOff>981075</xdr:colOff>
                    <xdr:row>0</xdr:row>
                    <xdr:rowOff>114300</xdr:rowOff>
                  </from>
                  <to>
                    <xdr:col>4</xdr:col>
                    <xdr:colOff>3419475</xdr:colOff>
                    <xdr:row>1</xdr:row>
                    <xdr:rowOff>95250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7" tint="0.59999389629810485"/>
    <pageSetUpPr fitToPage="1"/>
  </sheetPr>
  <dimension ref="A1:XEQ206"/>
  <sheetViews>
    <sheetView zoomScale="75" zoomScaleNormal="75" workbookViewId="0">
      <pane xSplit="10" ySplit="7" topLeftCell="AJ8" activePane="bottomRight" state="frozen"/>
      <selection activeCell="F444" sqref="F444"/>
      <selection pane="topRight" activeCell="F444" sqref="F444"/>
      <selection pane="bottomLeft" activeCell="F444" sqref="F444"/>
      <selection pane="bottomRight" activeCell="AJ73" sqref="AJ73"/>
    </sheetView>
  </sheetViews>
  <sheetFormatPr defaultColWidth="0" defaultRowHeight="15" customHeight="1" zeroHeight="1" outlineLevelCol="1"/>
  <cols>
    <col min="1" max="4" width="1.625" style="149" customWidth="1"/>
    <col min="5" max="5" width="50.625" style="149" customWidth="1"/>
    <col min="6" max="6" width="1.625" style="149" customWidth="1"/>
    <col min="7" max="7" width="12.625" style="149" customWidth="1"/>
    <col min="8" max="8" width="1.625" style="149" customWidth="1"/>
    <col min="9" max="9" width="10.625" style="149" customWidth="1"/>
    <col min="10" max="10" width="1.625" style="149" customWidth="1"/>
    <col min="11" max="35" width="10.625" style="149" hidden="1" customWidth="1" outlineLevel="1"/>
    <col min="36" max="36" width="10.625" style="149" customWidth="1" collapsed="1"/>
    <col min="37" max="43" width="10.625" style="149" customWidth="1"/>
    <col min="44" max="44" width="1.625" style="149" customWidth="1"/>
    <col min="45" max="49" width="0" style="149" hidden="1"/>
    <col min="50" max="16371" width="9" style="149" hidden="1"/>
    <col min="16372" max="16384" width="0" style="149" hidden="1"/>
  </cols>
  <sheetData>
    <row r="1" spans="1:44" s="351" customFormat="1">
      <c r="A1" s="349" t="s">
        <v>226</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c r="AJ1" s="10"/>
      <c r="AM1" s="10"/>
      <c r="AN1" s="10"/>
      <c r="AO1" s="10"/>
      <c r="AP1" s="10"/>
      <c r="AQ1" s="10"/>
    </row>
    <row r="2" spans="1:44" s="351" customFormat="1" ht="15" customHeight="1">
      <c r="A2" s="10"/>
      <c r="B2" s="10" t="str">
        <f>UserInterface!G24</f>
        <v>SPN</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355" t="s">
        <v>639</v>
      </c>
      <c r="AK2" s="10"/>
      <c r="AL2" s="10"/>
      <c r="AM2" s="10"/>
      <c r="AN2" s="10"/>
      <c r="AO2" s="10"/>
      <c r="AP2" s="10"/>
      <c r="AQ2" s="10"/>
      <c r="AR2" s="10"/>
    </row>
    <row r="3" spans="1:44" s="351" customFormat="1" ht="15" customHeigh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355"/>
      <c r="AK3" s="10"/>
      <c r="AL3" s="10"/>
      <c r="AM3" s="10"/>
      <c r="AN3" s="10"/>
      <c r="AO3" s="10"/>
      <c r="AP3" s="10"/>
      <c r="AQ3" s="10"/>
      <c r="AR3" s="10"/>
    </row>
    <row r="4" spans="1:44" s="351" customFormat="1" ht="15"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355"/>
      <c r="AK4" s="10"/>
      <c r="AL4" s="10"/>
      <c r="AM4" s="10"/>
      <c r="AN4" s="10"/>
      <c r="AO4" s="10"/>
      <c r="AP4" s="10"/>
      <c r="AQ4" s="10"/>
      <c r="AR4" s="10"/>
    </row>
    <row r="5" spans="1:44" s="351" customFormat="1" ht="15" customHeigh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355"/>
      <c r="AK5" s="10"/>
      <c r="AL5" s="10"/>
      <c r="AM5" s="10"/>
      <c r="AN5" s="10"/>
      <c r="AO5" s="10"/>
      <c r="AP5" s="10"/>
      <c r="AQ5" s="10"/>
      <c r="AR5" s="10"/>
    </row>
    <row r="6" spans="1:44" s="351" customFormat="1" ht="15" customHeigh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8" spans="1:44" ht="15" customHeight="1"/>
    <row r="9" spans="1:44" ht="12.75">
      <c r="B9" s="334" t="s">
        <v>138</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0" spans="1:44" ht="12.75">
      <c r="B10" s="197" t="s">
        <v>344</v>
      </c>
      <c r="C10" s="197"/>
      <c r="D10" s="197"/>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row>
    <row r="11" spans="1:44" ht="15" customHeight="1"/>
    <row r="12" spans="1:44" ht="15" customHeight="1">
      <c r="C12" s="332" t="s">
        <v>146</v>
      </c>
      <c r="D12" s="332"/>
      <c r="E12" s="332"/>
      <c r="F12" s="332"/>
      <c r="G12" s="332"/>
      <c r="H12" s="332"/>
      <c r="I12" s="332"/>
      <c r="J12" s="332"/>
      <c r="K12" s="332"/>
      <c r="L12" s="332"/>
      <c r="M12" s="332"/>
      <c r="N12" s="332"/>
      <c r="O12" s="332"/>
      <c r="P12" s="332"/>
      <c r="Q12" s="332"/>
      <c r="R12" s="332"/>
      <c r="S12" s="332"/>
      <c r="T12" s="332"/>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row>
    <row r="13" spans="1:44" ht="15" customHeight="1"/>
    <row r="14" spans="1:44" ht="15" customHeight="1">
      <c r="D14" s="198" t="s">
        <v>151</v>
      </c>
      <c r="E14" s="198"/>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row>
    <row r="15" spans="1:44" ht="15" customHeight="1">
      <c r="AJ15" s="163"/>
      <c r="AK15" s="163"/>
      <c r="AL15" s="163"/>
      <c r="AM15" s="163"/>
      <c r="AN15" s="163"/>
      <c r="AO15" s="163"/>
      <c r="AP15" s="163"/>
      <c r="AQ15" s="163"/>
    </row>
    <row r="16" spans="1:44" ht="12.75">
      <c r="E16" s="149" t="s">
        <v>110</v>
      </c>
      <c r="G16" s="309" t="s">
        <v>844</v>
      </c>
      <c r="AJ16" s="149">
        <f>Totex!AJ83</f>
        <v>26.739990327429616</v>
      </c>
      <c r="AK16" s="149">
        <f>Totex!AK83</f>
        <v>35.239780046754412</v>
      </c>
      <c r="AL16" s="149">
        <f>Totex!AL83</f>
        <v>36.659762346816315</v>
      </c>
      <c r="AM16" s="149">
        <f>Totex!AM83</f>
        <v>27.169156828588772</v>
      </c>
      <c r="AN16" s="149">
        <f>Totex!AN83</f>
        <v>22.355939146206488</v>
      </c>
      <c r="AO16" s="149">
        <f>Totex!AO83</f>
        <v>22.2953798351705</v>
      </c>
      <c r="AP16" s="149">
        <f>Totex!AP83</f>
        <v>29.617569454188985</v>
      </c>
      <c r="AQ16" s="149">
        <f>Totex!AQ83</f>
        <v>27.794893665984315</v>
      </c>
    </row>
    <row r="17" spans="3:44" ht="12.75">
      <c r="E17" s="149" t="s">
        <v>665</v>
      </c>
      <c r="G17" s="309" t="s">
        <v>844</v>
      </c>
      <c r="AJ17" s="149">
        <f>Totex!AJ84</f>
        <v>65.92104338760538</v>
      </c>
      <c r="AK17" s="149">
        <f>Totex!AK84</f>
        <v>73.927423722427974</v>
      </c>
      <c r="AL17" s="149">
        <f>Totex!AL84</f>
        <v>69.995029132927257</v>
      </c>
      <c r="AM17" s="149">
        <f>Totex!AM84</f>
        <v>72.482970008965808</v>
      </c>
      <c r="AN17" s="149">
        <f>Totex!AN84</f>
        <v>70.919425954148807</v>
      </c>
      <c r="AO17" s="149">
        <f>Totex!AO84</f>
        <v>66.586937127148502</v>
      </c>
      <c r="AP17" s="149">
        <f>Totex!AP84</f>
        <v>58.862741628195216</v>
      </c>
      <c r="AQ17" s="149">
        <f>Totex!AQ84</f>
        <v>57.066748754906456</v>
      </c>
    </row>
    <row r="18" spans="3:44" ht="12.75">
      <c r="E18" s="149" t="s">
        <v>109</v>
      </c>
      <c r="G18" s="309" t="s">
        <v>844</v>
      </c>
      <c r="AJ18" s="149">
        <f>Totex!AJ85</f>
        <v>13.991215034853029</v>
      </c>
      <c r="AK18" s="149">
        <f>Totex!AK85</f>
        <v>18.928463332794266</v>
      </c>
      <c r="AL18" s="149">
        <f>Totex!AL85</f>
        <v>16.482738082368776</v>
      </c>
      <c r="AM18" s="149">
        <f>Totex!AM85</f>
        <v>15.458043617419392</v>
      </c>
      <c r="AN18" s="149">
        <f>Totex!AN85</f>
        <v>15.767547692558061</v>
      </c>
      <c r="AO18" s="149">
        <f>Totex!AO85</f>
        <v>14.502008789609039</v>
      </c>
      <c r="AP18" s="149">
        <f>Totex!AP85</f>
        <v>16.731030495438947</v>
      </c>
      <c r="AQ18" s="149">
        <f>Totex!AQ85</f>
        <v>15.271170582085546</v>
      </c>
    </row>
    <row r="19" spans="3:44" ht="12.75">
      <c r="E19" s="149" t="s">
        <v>706</v>
      </c>
      <c r="G19" s="309" t="s">
        <v>844</v>
      </c>
      <c r="AJ19" s="149">
        <f>Totex!AJ86</f>
        <v>23.008090432561694</v>
      </c>
      <c r="AK19" s="149">
        <f>Totex!AK86</f>
        <v>22.892742106570036</v>
      </c>
      <c r="AL19" s="149">
        <f>Totex!AL86</f>
        <v>22.858878503846469</v>
      </c>
      <c r="AM19" s="149">
        <f>Totex!AM86</f>
        <v>22.97314495624822</v>
      </c>
      <c r="AN19" s="149">
        <f>Totex!AN86</f>
        <v>23.120071766167612</v>
      </c>
      <c r="AO19" s="149">
        <f>Totex!AO86</f>
        <v>23.374384462375929</v>
      </c>
      <c r="AP19" s="149">
        <f>Totex!AP86</f>
        <v>23.980841433706388</v>
      </c>
      <c r="AQ19" s="149">
        <f>Totex!AQ86</f>
        <v>24.498382573441969</v>
      </c>
    </row>
    <row r="20" spans="3:44" s="498" customFormat="1" ht="12.75">
      <c r="E20" s="412" t="s">
        <v>992</v>
      </c>
      <c r="G20" s="309" t="s">
        <v>844</v>
      </c>
      <c r="AJ20" s="498">
        <f>Totex!AJ87</f>
        <v>8.2841718957351382</v>
      </c>
      <c r="AK20" s="498">
        <f>Totex!AK87</f>
        <v>8.3879646906665197</v>
      </c>
      <c r="AL20" s="498">
        <f>Totex!AL87</f>
        <v>8.4927246531457889</v>
      </c>
      <c r="AM20" s="498">
        <f>Totex!AM87</f>
        <v>8.5851383427340835</v>
      </c>
      <c r="AN20" s="498">
        <f>Totex!AN87</f>
        <v>8.7337511061520772</v>
      </c>
      <c r="AO20" s="498">
        <f>Totex!AO87</f>
        <v>8.7244212967361001</v>
      </c>
      <c r="AP20" s="498">
        <f>Totex!AP87</f>
        <v>8.7251645355224134</v>
      </c>
      <c r="AQ20" s="498">
        <f>Totex!AQ87</f>
        <v>8.7084713647120999</v>
      </c>
    </row>
    <row r="21" spans="3:44" ht="12.75">
      <c r="E21" s="498" t="s">
        <v>922</v>
      </c>
      <c r="G21" s="309" t="s">
        <v>844</v>
      </c>
      <c r="AJ21" s="149">
        <f>Totex!AJ88</f>
        <v>12.451250256342281</v>
      </c>
      <c r="AK21" s="149">
        <f>Totex!AK88</f>
        <v>12.476058440838752</v>
      </c>
      <c r="AL21" s="149">
        <f>Totex!AL88</f>
        <v>12.167127433509471</v>
      </c>
      <c r="AM21" s="149">
        <f>Totex!AM88</f>
        <v>11.762413609729164</v>
      </c>
      <c r="AN21" s="149">
        <f>Totex!AN88</f>
        <v>11.254936902886174</v>
      </c>
      <c r="AO21" s="149">
        <f>Totex!AO88</f>
        <v>10.665032135045207</v>
      </c>
      <c r="AP21" s="149">
        <f>Totex!AP88</f>
        <v>9.6979393680788561</v>
      </c>
      <c r="AQ21" s="149">
        <f>Totex!AQ88</f>
        <v>9.1002575230104394</v>
      </c>
    </row>
    <row r="22" spans="3:44" ht="12.75">
      <c r="E22" s="149" t="s">
        <v>107</v>
      </c>
      <c r="G22" s="309" t="s">
        <v>844</v>
      </c>
      <c r="AJ22" s="149">
        <f>Totex!AJ89</f>
        <v>80.825846459184433</v>
      </c>
      <c r="AK22" s="149">
        <f>Totex!AK89</f>
        <v>80.922609301820756</v>
      </c>
      <c r="AL22" s="149">
        <f>Totex!AL89</f>
        <v>79.858632955291384</v>
      </c>
      <c r="AM22" s="149">
        <f>Totex!AM89</f>
        <v>80.018192210078723</v>
      </c>
      <c r="AN22" s="149">
        <f>Totex!AN89</f>
        <v>79.048556615351302</v>
      </c>
      <c r="AO22" s="149">
        <f>Totex!AO89</f>
        <v>77.913220051868763</v>
      </c>
      <c r="AP22" s="149">
        <f>Totex!AP89</f>
        <v>77.089081902134112</v>
      </c>
      <c r="AQ22" s="149">
        <f>Totex!AQ89</f>
        <v>76.485895790522221</v>
      </c>
    </row>
    <row r="23" spans="3:44" ht="12.75">
      <c r="E23" s="149" t="s">
        <v>151</v>
      </c>
      <c r="G23" s="309" t="s">
        <v>844</v>
      </c>
      <c r="AJ23" s="168">
        <f t="shared" ref="AJ23:AQ23" si="0">SUM(AJ16:AJ22)</f>
        <v>231.2216077937116</v>
      </c>
      <c r="AK23" s="168">
        <f t="shared" si="0"/>
        <v>252.77504164187269</v>
      </c>
      <c r="AL23" s="168">
        <f t="shared" si="0"/>
        <v>246.51489310790544</v>
      </c>
      <c r="AM23" s="168">
        <f t="shared" si="0"/>
        <v>238.44905957376415</v>
      </c>
      <c r="AN23" s="168">
        <f t="shared" si="0"/>
        <v>231.20022918347053</v>
      </c>
      <c r="AO23" s="168">
        <f t="shared" si="0"/>
        <v>224.06138369795406</v>
      </c>
      <c r="AP23" s="168">
        <f t="shared" si="0"/>
        <v>224.70436881726494</v>
      </c>
      <c r="AQ23" s="168">
        <f t="shared" si="0"/>
        <v>218.92582025466305</v>
      </c>
    </row>
    <row r="24" spans="3:44" ht="15" customHeight="1">
      <c r="AJ24" s="368"/>
      <c r="AK24" s="368"/>
      <c r="AL24" s="368"/>
      <c r="AM24" s="368"/>
      <c r="AN24" s="368"/>
      <c r="AO24" s="368"/>
      <c r="AP24" s="368"/>
      <c r="AQ24" s="368"/>
      <c r="AR24" s="368"/>
    </row>
    <row r="25" spans="3:44" ht="12.75">
      <c r="C25" s="332" t="s">
        <v>131</v>
      </c>
      <c r="D25" s="332"/>
      <c r="E25" s="332"/>
      <c r="F25" s="332"/>
      <c r="G25" s="332"/>
      <c r="H25" s="332"/>
      <c r="I25" s="332"/>
      <c r="J25" s="332"/>
      <c r="K25" s="332"/>
      <c r="L25" s="332"/>
      <c r="M25" s="332"/>
      <c r="N25" s="332"/>
      <c r="O25" s="332"/>
      <c r="P25" s="332"/>
      <c r="Q25" s="332"/>
      <c r="R25" s="332"/>
      <c r="S25" s="332"/>
      <c r="T25" s="33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row>
    <row r="26" spans="3:44" ht="15" customHeight="1"/>
    <row r="27" spans="3:44" ht="15" customHeight="1">
      <c r="D27" s="198" t="s">
        <v>30</v>
      </c>
      <c r="E27" s="198"/>
      <c r="F27" s="198"/>
      <c r="G27" s="198"/>
      <c r="H27" s="198"/>
      <c r="I27" s="198"/>
      <c r="J27" s="198"/>
      <c r="K27" s="198"/>
      <c r="L27" s="198"/>
      <c r="M27" s="198"/>
      <c r="N27" s="198"/>
      <c r="O27" s="198"/>
      <c r="P27" s="198"/>
      <c r="Q27" s="198"/>
      <c r="R27" s="198"/>
      <c r="S27" s="198"/>
      <c r="T27" s="198"/>
      <c r="U27" s="198"/>
      <c r="V27" s="198"/>
      <c r="W27" s="198"/>
      <c r="X27" s="198"/>
      <c r="Y27" s="198"/>
      <c r="Z27" s="198"/>
      <c r="AA27" s="198"/>
      <c r="AB27" s="198"/>
      <c r="AC27" s="198"/>
      <c r="AD27" s="198"/>
      <c r="AE27" s="198"/>
      <c r="AF27" s="198"/>
      <c r="AG27" s="198"/>
      <c r="AH27" s="198"/>
      <c r="AI27" s="198"/>
      <c r="AJ27" s="198"/>
      <c r="AK27" s="198"/>
      <c r="AL27" s="198"/>
      <c r="AM27" s="198"/>
      <c r="AN27" s="198"/>
      <c r="AO27" s="198"/>
      <c r="AP27" s="198"/>
      <c r="AQ27" s="198"/>
    </row>
    <row r="28" spans="3:44" ht="15" customHeight="1">
      <c r="E28" s="147"/>
      <c r="F28" s="370"/>
      <c r="G28" s="370"/>
      <c r="H28" s="370"/>
      <c r="I28" s="370"/>
      <c r="J28" s="370"/>
      <c r="K28" s="370"/>
      <c r="L28" s="370"/>
      <c r="M28" s="370"/>
      <c r="N28" s="370"/>
      <c r="O28" s="370"/>
      <c r="P28" s="370"/>
      <c r="Q28" s="370"/>
      <c r="R28" s="370"/>
      <c r="S28" s="370"/>
      <c r="T28" s="370"/>
      <c r="U28" s="370"/>
      <c r="V28" s="370"/>
      <c r="W28" s="370"/>
      <c r="X28" s="370"/>
      <c r="Y28" s="370"/>
      <c r="Z28" s="370"/>
      <c r="AA28" s="370"/>
      <c r="AB28" s="370"/>
      <c r="AC28" s="370"/>
      <c r="AD28" s="370"/>
      <c r="AE28" s="370"/>
      <c r="AF28" s="370"/>
      <c r="AG28" s="370"/>
      <c r="AH28" s="370"/>
      <c r="AI28" s="370"/>
    </row>
    <row r="29" spans="3:44" ht="15" customHeight="1">
      <c r="E29" s="111" t="s">
        <v>144</v>
      </c>
      <c r="F29" s="45"/>
      <c r="G29" s="45" t="s">
        <v>49</v>
      </c>
      <c r="H29" s="370"/>
      <c r="I29" s="370"/>
      <c r="J29" s="370"/>
      <c r="K29" s="370"/>
      <c r="L29" s="370"/>
      <c r="M29" s="370"/>
      <c r="N29" s="370"/>
      <c r="O29" s="370"/>
      <c r="P29" s="370"/>
      <c r="Q29" s="370"/>
      <c r="R29" s="370"/>
      <c r="S29" s="370"/>
      <c r="T29" s="370"/>
      <c r="U29" s="370"/>
      <c r="V29" s="370"/>
      <c r="W29" s="370"/>
      <c r="X29" s="370"/>
      <c r="Y29" s="370"/>
      <c r="Z29" s="370"/>
      <c r="AA29" s="370"/>
      <c r="AB29" s="370"/>
      <c r="AC29" s="370"/>
      <c r="AD29" s="370"/>
      <c r="AE29" s="370"/>
      <c r="AF29" s="370"/>
      <c r="AG29" s="370"/>
      <c r="AH29" s="370"/>
      <c r="AI29" s="370"/>
      <c r="AJ29" s="340">
        <f>Input!AJ375</f>
        <v>7.8860803135211988E-3</v>
      </c>
      <c r="AK29" s="340">
        <f>Input!AK375</f>
        <v>7.8860803135211988E-3</v>
      </c>
      <c r="AL29" s="340">
        <f>Input!AL375</f>
        <v>7.8860803135211988E-3</v>
      </c>
      <c r="AM29" s="340">
        <f>Input!AM375</f>
        <v>7.8860803135211988E-3</v>
      </c>
      <c r="AN29" s="340">
        <f>Input!AN375</f>
        <v>7.8860803135211988E-3</v>
      </c>
      <c r="AO29" s="340">
        <f>Input!AO375</f>
        <v>7.8860803135211988E-3</v>
      </c>
      <c r="AP29" s="340">
        <f>Input!AP375</f>
        <v>7.8860803135211988E-3</v>
      </c>
      <c r="AQ29" s="340">
        <f>Input!AQ375</f>
        <v>7.8860803135211988E-3</v>
      </c>
    </row>
    <row r="30" spans="3:44" ht="15" customHeight="1">
      <c r="E30" s="149" t="s">
        <v>665</v>
      </c>
      <c r="F30" s="45"/>
      <c r="G30" s="45" t="s">
        <v>49</v>
      </c>
      <c r="H30" s="370"/>
      <c r="I30" s="370"/>
      <c r="J30" s="370"/>
      <c r="K30" s="370"/>
      <c r="L30" s="370"/>
      <c r="M30" s="370"/>
      <c r="N30" s="370"/>
      <c r="O30" s="370"/>
      <c r="P30" s="370"/>
      <c r="Q30" s="370"/>
      <c r="R30" s="370"/>
      <c r="S30" s="370"/>
      <c r="T30" s="370"/>
      <c r="U30" s="370"/>
      <c r="V30" s="370"/>
      <c r="W30" s="370"/>
      <c r="X30" s="370"/>
      <c r="Y30" s="370"/>
      <c r="Z30" s="370"/>
      <c r="AA30" s="370"/>
      <c r="AB30" s="370"/>
      <c r="AC30" s="370"/>
      <c r="AD30" s="370"/>
      <c r="AE30" s="370"/>
      <c r="AF30" s="370"/>
      <c r="AG30" s="370"/>
      <c r="AH30" s="370"/>
      <c r="AI30" s="370"/>
      <c r="AJ30" s="340">
        <f>Input!AJ376</f>
        <v>1.7401222304203223E-2</v>
      </c>
      <c r="AK30" s="340">
        <f>Input!AK376</f>
        <v>1.7401222304203223E-2</v>
      </c>
      <c r="AL30" s="340">
        <f>Input!AL376</f>
        <v>1.7401222304203223E-2</v>
      </c>
      <c r="AM30" s="340">
        <f>Input!AM376</f>
        <v>1.7401222304203223E-2</v>
      </c>
      <c r="AN30" s="340">
        <f>Input!AN376</f>
        <v>1.7401222304203223E-2</v>
      </c>
      <c r="AO30" s="340">
        <f>Input!AO376</f>
        <v>1.7401222304203223E-2</v>
      </c>
      <c r="AP30" s="340">
        <f>Input!AP376</f>
        <v>1.7401222304203223E-2</v>
      </c>
      <c r="AQ30" s="340">
        <f>Input!AQ376</f>
        <v>1.7401222304203223E-2</v>
      </c>
    </row>
    <row r="31" spans="3:44" ht="15" customHeight="1">
      <c r="E31" s="111" t="s">
        <v>145</v>
      </c>
      <c r="F31" s="45"/>
      <c r="G31" s="45" t="s">
        <v>49</v>
      </c>
      <c r="H31" s="370"/>
      <c r="I31" s="370"/>
      <c r="J31" s="370"/>
      <c r="K31" s="370"/>
      <c r="L31" s="370"/>
      <c r="M31" s="370"/>
      <c r="N31" s="370"/>
      <c r="O31" s="370"/>
      <c r="P31" s="370"/>
      <c r="Q31" s="370"/>
      <c r="R31" s="370"/>
      <c r="S31" s="370"/>
      <c r="T31" s="370"/>
      <c r="U31" s="370"/>
      <c r="V31" s="370"/>
      <c r="W31" s="370"/>
      <c r="X31" s="370"/>
      <c r="Y31" s="370"/>
      <c r="Z31" s="370"/>
      <c r="AA31" s="370"/>
      <c r="AB31" s="370"/>
      <c r="AC31" s="370"/>
      <c r="AD31" s="370"/>
      <c r="AE31" s="370"/>
      <c r="AF31" s="370"/>
      <c r="AG31" s="370"/>
      <c r="AH31" s="370"/>
      <c r="AI31" s="370"/>
      <c r="AJ31" s="340">
        <f>Input!AJ377</f>
        <v>0.51947499118856355</v>
      </c>
      <c r="AK31" s="340">
        <f>Input!AK377</f>
        <v>0.51947499118856355</v>
      </c>
      <c r="AL31" s="340">
        <f>Input!AL377</f>
        <v>0.51947499118856355</v>
      </c>
      <c r="AM31" s="340">
        <f>Input!AM377</f>
        <v>0.51947499118856355</v>
      </c>
      <c r="AN31" s="340">
        <f>Input!AN377</f>
        <v>0.51947499118856355</v>
      </c>
      <c r="AO31" s="340">
        <f>Input!AO377</f>
        <v>0.51947499118856355</v>
      </c>
      <c r="AP31" s="340">
        <f>Input!AP377</f>
        <v>0.51947499118856355</v>
      </c>
      <c r="AQ31" s="340">
        <f>Input!AQ377</f>
        <v>0.51947499118856355</v>
      </c>
    </row>
    <row r="32" spans="3:44" ht="15" customHeight="1">
      <c r="E32" s="149" t="s">
        <v>706</v>
      </c>
      <c r="F32" s="45"/>
      <c r="G32" s="45" t="s">
        <v>49</v>
      </c>
      <c r="H32" s="370"/>
      <c r="I32" s="370"/>
      <c r="J32" s="370"/>
      <c r="K32" s="370"/>
      <c r="L32" s="370"/>
      <c r="M32" s="370"/>
      <c r="N32" s="370"/>
      <c r="O32" s="370"/>
      <c r="P32" s="370"/>
      <c r="Q32" s="370"/>
      <c r="R32" s="370"/>
      <c r="S32" s="370"/>
      <c r="T32" s="370"/>
      <c r="U32" s="370"/>
      <c r="V32" s="370"/>
      <c r="W32" s="370"/>
      <c r="X32" s="370"/>
      <c r="Y32" s="370"/>
      <c r="Z32" s="370"/>
      <c r="AA32" s="370"/>
      <c r="AB32" s="370"/>
      <c r="AC32" s="370"/>
      <c r="AD32" s="370"/>
      <c r="AE32" s="370"/>
      <c r="AF32" s="370"/>
      <c r="AG32" s="370"/>
      <c r="AH32" s="370"/>
      <c r="AI32" s="370"/>
      <c r="AJ32" s="340">
        <f>Input!AJ378</f>
        <v>0</v>
      </c>
      <c r="AK32" s="340">
        <f>Input!AK378</f>
        <v>0</v>
      </c>
      <c r="AL32" s="340">
        <f>Input!AL378</f>
        <v>0</v>
      </c>
      <c r="AM32" s="340">
        <f>Input!AM378</f>
        <v>0</v>
      </c>
      <c r="AN32" s="340">
        <f>Input!AN378</f>
        <v>0</v>
      </c>
      <c r="AO32" s="340">
        <f>Input!AO378</f>
        <v>0</v>
      </c>
      <c r="AP32" s="340">
        <f>Input!AP378</f>
        <v>0</v>
      </c>
      <c r="AQ32" s="340">
        <f>Input!AQ378</f>
        <v>0</v>
      </c>
    </row>
    <row r="33" spans="4:47" s="498" customFormat="1" ht="15" customHeight="1">
      <c r="E33" s="412" t="s">
        <v>992</v>
      </c>
      <c r="G33" s="45" t="s">
        <v>49</v>
      </c>
      <c r="H33" s="370"/>
      <c r="I33" s="370"/>
      <c r="J33" s="370"/>
      <c r="K33" s="370"/>
      <c r="L33" s="370"/>
      <c r="M33" s="370"/>
      <c r="N33" s="370"/>
      <c r="O33" s="370"/>
      <c r="P33" s="370"/>
      <c r="Q33" s="370"/>
      <c r="R33" s="370"/>
      <c r="S33" s="370"/>
      <c r="T33" s="370"/>
      <c r="U33" s="370"/>
      <c r="V33" s="370"/>
      <c r="W33" s="370"/>
      <c r="X33" s="370"/>
      <c r="Y33" s="370"/>
      <c r="Z33" s="370"/>
      <c r="AA33" s="370"/>
      <c r="AB33" s="370"/>
      <c r="AC33" s="370"/>
      <c r="AD33" s="370"/>
      <c r="AE33" s="370"/>
      <c r="AF33" s="370"/>
      <c r="AG33" s="370"/>
      <c r="AH33" s="370"/>
      <c r="AI33" s="370"/>
      <c r="AJ33" s="340">
        <f>Input!AJ379</f>
        <v>0</v>
      </c>
      <c r="AK33" s="340">
        <f>Input!AK379</f>
        <v>0</v>
      </c>
      <c r="AL33" s="340">
        <f>Input!AL379</f>
        <v>0</v>
      </c>
      <c r="AM33" s="340">
        <f>Input!AM379</f>
        <v>0</v>
      </c>
      <c r="AN33" s="340">
        <f>Input!AN379</f>
        <v>0</v>
      </c>
      <c r="AO33" s="340">
        <f>Input!AO379</f>
        <v>0</v>
      </c>
      <c r="AP33" s="340">
        <f>Input!AP379</f>
        <v>0</v>
      </c>
      <c r="AQ33" s="340">
        <f>Input!AQ379</f>
        <v>0</v>
      </c>
    </row>
    <row r="34" spans="4:47" ht="15" customHeight="1">
      <c r="E34" s="498" t="s">
        <v>922</v>
      </c>
      <c r="F34" s="45"/>
      <c r="G34" s="45" t="s">
        <v>49</v>
      </c>
      <c r="H34" s="370"/>
      <c r="I34" s="370"/>
      <c r="J34" s="370"/>
      <c r="K34" s="370"/>
      <c r="L34" s="370"/>
      <c r="M34" s="370"/>
      <c r="N34" s="370"/>
      <c r="O34" s="370"/>
      <c r="P34" s="370"/>
      <c r="Q34" s="370"/>
      <c r="R34" s="370"/>
      <c r="S34" s="370"/>
      <c r="T34" s="370"/>
      <c r="U34" s="370"/>
      <c r="V34" s="370"/>
      <c r="W34" s="370"/>
      <c r="X34" s="370"/>
      <c r="Y34" s="370"/>
      <c r="Z34" s="370"/>
      <c r="AA34" s="370"/>
      <c r="AB34" s="370"/>
      <c r="AC34" s="370"/>
      <c r="AD34" s="370"/>
      <c r="AE34" s="370"/>
      <c r="AF34" s="370"/>
      <c r="AG34" s="370"/>
      <c r="AH34" s="370"/>
      <c r="AI34" s="370"/>
      <c r="AJ34" s="340">
        <f>Input!AJ380</f>
        <v>0</v>
      </c>
      <c r="AK34" s="340">
        <f>Input!AK380</f>
        <v>0</v>
      </c>
      <c r="AL34" s="340">
        <f>Input!AL380</f>
        <v>0</v>
      </c>
      <c r="AM34" s="340">
        <f>Input!AM380</f>
        <v>0</v>
      </c>
      <c r="AN34" s="340">
        <f>Input!AN380</f>
        <v>0</v>
      </c>
      <c r="AO34" s="340">
        <f>Input!AO380</f>
        <v>0</v>
      </c>
      <c r="AP34" s="340">
        <f>Input!AP380</f>
        <v>0</v>
      </c>
      <c r="AQ34" s="340">
        <f>Input!AQ380</f>
        <v>0</v>
      </c>
    </row>
    <row r="35" spans="4:47" ht="15" customHeight="1">
      <c r="E35" s="156" t="s">
        <v>796</v>
      </c>
      <c r="F35" s="45"/>
      <c r="G35" s="45" t="s">
        <v>49</v>
      </c>
      <c r="H35" s="370"/>
      <c r="I35" s="370"/>
      <c r="J35" s="370"/>
      <c r="K35" s="370"/>
      <c r="L35" s="370"/>
      <c r="M35" s="370"/>
      <c r="N35" s="370"/>
      <c r="O35" s="370"/>
      <c r="P35" s="370"/>
      <c r="Q35" s="370"/>
      <c r="R35" s="370"/>
      <c r="S35" s="370"/>
      <c r="T35" s="370"/>
      <c r="U35" s="370"/>
      <c r="V35" s="370"/>
      <c r="W35" s="370"/>
      <c r="X35" s="370"/>
      <c r="Y35" s="370"/>
      <c r="Z35" s="370"/>
      <c r="AA35" s="370"/>
      <c r="AB35" s="370"/>
      <c r="AC35" s="370"/>
      <c r="AD35" s="370"/>
      <c r="AE35" s="370"/>
      <c r="AF35" s="370"/>
      <c r="AG35" s="370"/>
      <c r="AH35" s="370"/>
      <c r="AI35" s="370"/>
      <c r="AJ35" s="340">
        <f>Input!AJ381</f>
        <v>0</v>
      </c>
      <c r="AK35" s="340">
        <f>Input!AK381</f>
        <v>0</v>
      </c>
      <c r="AL35" s="340">
        <f>Input!AL381</f>
        <v>0</v>
      </c>
      <c r="AM35" s="340">
        <f>Input!AM381</f>
        <v>0</v>
      </c>
      <c r="AN35" s="340">
        <f>Input!AN381</f>
        <v>0</v>
      </c>
      <c r="AO35" s="340">
        <f>Input!AO381</f>
        <v>0</v>
      </c>
      <c r="AP35" s="340">
        <f>Input!AP381</f>
        <v>0</v>
      </c>
      <c r="AQ35" s="340">
        <f>Input!AQ381</f>
        <v>0</v>
      </c>
    </row>
    <row r="36" spans="4:47" ht="15" customHeight="1">
      <c r="E36" s="147"/>
      <c r="F36" s="45"/>
      <c r="G36" s="45"/>
      <c r="H36" s="370"/>
      <c r="I36" s="370"/>
      <c r="J36" s="370"/>
      <c r="K36" s="370"/>
      <c r="L36" s="370"/>
      <c r="M36" s="370"/>
      <c r="N36" s="370"/>
      <c r="O36" s="370"/>
      <c r="P36" s="370"/>
      <c r="Q36" s="370"/>
      <c r="R36" s="370"/>
      <c r="S36" s="370"/>
      <c r="T36" s="370"/>
      <c r="U36" s="370"/>
      <c r="V36" s="370"/>
      <c r="W36" s="370"/>
      <c r="X36" s="370"/>
      <c r="Y36" s="370"/>
      <c r="Z36" s="370"/>
      <c r="AA36" s="370"/>
      <c r="AB36" s="370"/>
      <c r="AC36" s="370"/>
      <c r="AD36" s="370"/>
      <c r="AE36" s="370"/>
      <c r="AF36" s="370"/>
      <c r="AG36" s="370"/>
      <c r="AH36" s="370"/>
      <c r="AI36" s="370"/>
    </row>
    <row r="37" spans="4:47" ht="15" customHeight="1">
      <c r="E37" s="35" t="s">
        <v>486</v>
      </c>
      <c r="F37" s="45"/>
      <c r="G37" s="147" t="s">
        <v>844</v>
      </c>
      <c r="H37" s="45"/>
      <c r="I37" s="147"/>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38">
        <f>SUMPRODUCT(AJ$16:AJ$22,AJ29:AJ35)</f>
        <v>8.6260667487652114</v>
      </c>
      <c r="AK37" s="38">
        <f t="shared" ref="AK37:AQ37" si="1">SUMPRODUCT(AK$16:AK$22,AK29:AK35)</f>
        <v>11.397194593266873</v>
      </c>
      <c r="AL37" s="38">
        <f t="shared" si="1"/>
        <v>10.069471112374762</v>
      </c>
      <c r="AM37" s="38">
        <f t="shared" si="1"/>
        <v>9.5056174991471831</v>
      </c>
      <c r="AN37" s="38">
        <f t="shared" si="1"/>
        <v>9.6012321269626533</v>
      </c>
      <c r="AO37" s="38">
        <f t="shared" si="1"/>
        <v>8.8679481397047564</v>
      </c>
      <c r="AP37" s="38">
        <f t="shared" si="1"/>
        <v>9.949202103107865</v>
      </c>
      <c r="AQ37" s="38">
        <f t="shared" si="1"/>
        <v>9.1452151485859137</v>
      </c>
    </row>
    <row r="38" spans="4:47" s="163" customFormat="1" ht="15" customHeight="1">
      <c r="AR38" s="369"/>
      <c r="AS38" s="369"/>
      <c r="AT38" s="369"/>
      <c r="AU38" s="369"/>
    </row>
    <row r="39" spans="4:47" ht="15" customHeight="1">
      <c r="D39" s="198" t="s">
        <v>479</v>
      </c>
      <c r="E39" s="198"/>
      <c r="F39" s="198"/>
      <c r="G39" s="198"/>
      <c r="H39" s="198"/>
      <c r="I39" s="198"/>
      <c r="J39" s="198"/>
      <c r="K39" s="198"/>
      <c r="L39" s="198"/>
      <c r="M39" s="198"/>
      <c r="N39" s="198"/>
      <c r="O39" s="198"/>
      <c r="P39" s="198"/>
      <c r="Q39" s="198"/>
      <c r="R39" s="198"/>
      <c r="S39" s="198"/>
      <c r="T39" s="198"/>
      <c r="U39" s="198"/>
      <c r="V39" s="198"/>
      <c r="W39" s="198"/>
      <c r="X39" s="198"/>
      <c r="Y39" s="198"/>
      <c r="Z39" s="198"/>
      <c r="AA39" s="198"/>
      <c r="AB39" s="198"/>
      <c r="AC39" s="198"/>
      <c r="AD39" s="198"/>
      <c r="AE39" s="198"/>
      <c r="AF39" s="198"/>
      <c r="AG39" s="198"/>
      <c r="AH39" s="198"/>
      <c r="AI39" s="198"/>
      <c r="AJ39" s="198"/>
      <c r="AK39" s="198"/>
      <c r="AL39" s="198"/>
      <c r="AM39" s="198"/>
      <c r="AN39" s="198"/>
      <c r="AO39" s="198"/>
      <c r="AP39" s="198"/>
      <c r="AQ39" s="198"/>
    </row>
    <row r="40" spans="4:47" ht="15" customHeight="1">
      <c r="E40" s="45"/>
      <c r="F40" s="45"/>
      <c r="G40" s="45"/>
      <c r="H40" s="45"/>
      <c r="I40" s="147"/>
      <c r="J40" s="45"/>
      <c r="K40" s="45"/>
      <c r="L40" s="45"/>
      <c r="M40" s="45"/>
      <c r="N40" s="45"/>
      <c r="O40" s="45"/>
      <c r="P40" s="45"/>
      <c r="Q40" s="45"/>
      <c r="R40" s="45"/>
      <c r="S40" s="45"/>
      <c r="T40" s="45"/>
      <c r="U40" s="45"/>
      <c r="V40" s="45"/>
      <c r="W40" s="45"/>
      <c r="X40" s="45"/>
      <c r="Y40" s="45"/>
      <c r="Z40" s="45"/>
      <c r="AA40" s="45"/>
      <c r="AB40" s="45"/>
      <c r="AC40" s="45"/>
      <c r="AD40" s="45"/>
      <c r="AE40" s="45"/>
      <c r="AF40" s="45"/>
      <c r="AG40" s="45"/>
      <c r="AH40" s="45"/>
      <c r="AI40" s="45"/>
      <c r="AJ40" s="147"/>
      <c r="AK40" s="147"/>
      <c r="AL40" s="147"/>
      <c r="AM40" s="147"/>
      <c r="AN40" s="147"/>
      <c r="AO40" s="147"/>
      <c r="AP40" s="147"/>
      <c r="AQ40" s="147"/>
    </row>
    <row r="41" spans="4:47" ht="15" customHeight="1">
      <c r="E41" s="111" t="s">
        <v>144</v>
      </c>
      <c r="F41" s="45"/>
      <c r="G41" s="45" t="s">
        <v>49</v>
      </c>
      <c r="H41" s="45"/>
      <c r="I41" s="147"/>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340">
        <f>Input!AJ385</f>
        <v>0.94906250651583379</v>
      </c>
      <c r="AK41" s="340">
        <f>Input!AK385</f>
        <v>0.94906250651583379</v>
      </c>
      <c r="AL41" s="340">
        <f>Input!AL385</f>
        <v>0.94906250651583379</v>
      </c>
      <c r="AM41" s="340">
        <f>Input!AM385</f>
        <v>0.94906250651583379</v>
      </c>
      <c r="AN41" s="340">
        <f>Input!AN385</f>
        <v>0.94906250651583379</v>
      </c>
      <c r="AO41" s="340">
        <f>Input!AO385</f>
        <v>0.94906250651583379</v>
      </c>
      <c r="AP41" s="340">
        <f>Input!AP385</f>
        <v>0.94906250651583379</v>
      </c>
      <c r="AQ41" s="340">
        <f>Input!AQ385</f>
        <v>0.94906250651583379</v>
      </c>
    </row>
    <row r="42" spans="4:47" ht="15" customHeight="1">
      <c r="E42" s="149" t="s">
        <v>665</v>
      </c>
      <c r="F42" s="45"/>
      <c r="G42" s="45" t="s">
        <v>49</v>
      </c>
      <c r="H42" s="45"/>
      <c r="I42" s="147"/>
      <c r="J42" s="45"/>
      <c r="K42" s="45"/>
      <c r="L42" s="45"/>
      <c r="M42" s="45"/>
      <c r="N42" s="45"/>
      <c r="O42" s="45"/>
      <c r="P42" s="45"/>
      <c r="Q42" s="45"/>
      <c r="R42" s="45"/>
      <c r="S42" s="45"/>
      <c r="T42" s="45"/>
      <c r="U42" s="45"/>
      <c r="V42" s="45"/>
      <c r="W42" s="45"/>
      <c r="X42" s="45"/>
      <c r="Y42" s="45"/>
      <c r="Z42" s="45"/>
      <c r="AA42" s="45"/>
      <c r="AB42" s="45"/>
      <c r="AC42" s="45"/>
      <c r="AD42" s="45"/>
      <c r="AE42" s="45"/>
      <c r="AF42" s="45"/>
      <c r="AG42" s="45"/>
      <c r="AH42" s="45"/>
      <c r="AI42" s="45"/>
      <c r="AJ42" s="340">
        <f>Input!AJ386</f>
        <v>0.40014037742766301</v>
      </c>
      <c r="AK42" s="340">
        <f>Input!AK386</f>
        <v>0.40014037742766301</v>
      </c>
      <c r="AL42" s="340">
        <f>Input!AL386</f>
        <v>0.40014037742766301</v>
      </c>
      <c r="AM42" s="340">
        <f>Input!AM386</f>
        <v>0.40014037742766301</v>
      </c>
      <c r="AN42" s="340">
        <f>Input!AN386</f>
        <v>0.40014037742766301</v>
      </c>
      <c r="AO42" s="340">
        <f>Input!AO386</f>
        <v>0.40014037742766301</v>
      </c>
      <c r="AP42" s="340">
        <f>Input!AP386</f>
        <v>0.40014037742766301</v>
      </c>
      <c r="AQ42" s="340">
        <f>Input!AQ386</f>
        <v>0.40014037742766301</v>
      </c>
    </row>
    <row r="43" spans="4:47" ht="15" customHeight="1">
      <c r="E43" s="111" t="s">
        <v>145</v>
      </c>
      <c r="F43" s="45"/>
      <c r="G43" s="45" t="s">
        <v>49</v>
      </c>
      <c r="H43" s="45"/>
      <c r="I43" s="147"/>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340">
        <f>Input!AJ387</f>
        <v>0.18941004438415734</v>
      </c>
      <c r="AK43" s="340">
        <f>Input!AK387</f>
        <v>0.18941004438415734</v>
      </c>
      <c r="AL43" s="340">
        <f>Input!AL387</f>
        <v>0.18941004438415734</v>
      </c>
      <c r="AM43" s="340">
        <f>Input!AM387</f>
        <v>0.18941004438415734</v>
      </c>
      <c r="AN43" s="340">
        <f>Input!AN387</f>
        <v>0.18941004438415734</v>
      </c>
      <c r="AO43" s="340">
        <f>Input!AO387</f>
        <v>0.18941004438415734</v>
      </c>
      <c r="AP43" s="340">
        <f>Input!AP387</f>
        <v>0.18941004438415734</v>
      </c>
      <c r="AQ43" s="340">
        <f>Input!AQ387</f>
        <v>0.18941004438415734</v>
      </c>
    </row>
    <row r="44" spans="4:47" ht="15" customHeight="1">
      <c r="E44" s="149" t="s">
        <v>706</v>
      </c>
      <c r="F44" s="45"/>
      <c r="G44" s="45" t="s">
        <v>49</v>
      </c>
      <c r="H44" s="45"/>
      <c r="I44" s="147"/>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340">
        <f>Input!AJ388</f>
        <v>0</v>
      </c>
      <c r="AK44" s="340">
        <f>Input!AK388</f>
        <v>0</v>
      </c>
      <c r="AL44" s="340">
        <f>Input!AL388</f>
        <v>0</v>
      </c>
      <c r="AM44" s="340">
        <f>Input!AM388</f>
        <v>0</v>
      </c>
      <c r="AN44" s="340">
        <f>Input!AN388</f>
        <v>0</v>
      </c>
      <c r="AO44" s="340">
        <f>Input!AO388</f>
        <v>0</v>
      </c>
      <c r="AP44" s="340">
        <f>Input!AP388</f>
        <v>0</v>
      </c>
      <c r="AQ44" s="340">
        <f>Input!AQ388</f>
        <v>0</v>
      </c>
    </row>
    <row r="45" spans="4:47" s="498" customFormat="1" ht="15" customHeight="1">
      <c r="E45" s="412" t="s">
        <v>992</v>
      </c>
      <c r="G45" s="45" t="s">
        <v>49</v>
      </c>
      <c r="H45" s="45"/>
      <c r="I45" s="147"/>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340">
        <f>Input!AJ389</f>
        <v>0</v>
      </c>
      <c r="AK45" s="340">
        <f>Input!AK389</f>
        <v>0</v>
      </c>
      <c r="AL45" s="340">
        <f>Input!AL389</f>
        <v>0</v>
      </c>
      <c r="AM45" s="340">
        <f>Input!AM389</f>
        <v>0</v>
      </c>
      <c r="AN45" s="340">
        <f>Input!AN389</f>
        <v>0</v>
      </c>
      <c r="AO45" s="340">
        <f>Input!AO389</f>
        <v>0</v>
      </c>
      <c r="AP45" s="340">
        <f>Input!AP389</f>
        <v>0</v>
      </c>
      <c r="AQ45" s="340">
        <f>Input!AQ389</f>
        <v>0</v>
      </c>
    </row>
    <row r="46" spans="4:47" ht="15" customHeight="1">
      <c r="E46" s="498" t="s">
        <v>922</v>
      </c>
      <c r="F46" s="45"/>
      <c r="G46" s="45" t="s">
        <v>49</v>
      </c>
      <c r="H46" s="45"/>
      <c r="I46" s="147"/>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340">
        <f>Input!AJ390</f>
        <v>0</v>
      </c>
      <c r="AK46" s="340">
        <f>Input!AK390</f>
        <v>0</v>
      </c>
      <c r="AL46" s="340">
        <f>Input!AL390</f>
        <v>0</v>
      </c>
      <c r="AM46" s="340">
        <f>Input!AM390</f>
        <v>0</v>
      </c>
      <c r="AN46" s="340">
        <f>Input!AN390</f>
        <v>0</v>
      </c>
      <c r="AO46" s="340">
        <f>Input!AO390</f>
        <v>0</v>
      </c>
      <c r="AP46" s="340">
        <f>Input!AP390</f>
        <v>0</v>
      </c>
      <c r="AQ46" s="340">
        <f>Input!AQ390</f>
        <v>0</v>
      </c>
    </row>
    <row r="47" spans="4:47" ht="15" customHeight="1">
      <c r="E47" s="156" t="s">
        <v>796</v>
      </c>
      <c r="F47" s="45"/>
      <c r="G47" s="45" t="s">
        <v>49</v>
      </c>
      <c r="H47" s="45"/>
      <c r="I47" s="147"/>
      <c r="J47" s="45"/>
      <c r="K47" s="45"/>
      <c r="L47" s="45"/>
      <c r="M47" s="45"/>
      <c r="N47" s="45"/>
      <c r="O47" s="45"/>
      <c r="P47" s="45"/>
      <c r="Q47" s="45"/>
      <c r="R47" s="45"/>
      <c r="S47" s="45"/>
      <c r="T47" s="45"/>
      <c r="U47" s="45"/>
      <c r="V47" s="45"/>
      <c r="W47" s="45"/>
      <c r="X47" s="45"/>
      <c r="Y47" s="45"/>
      <c r="Z47" s="45"/>
      <c r="AA47" s="45"/>
      <c r="AB47" s="45"/>
      <c r="AC47" s="45"/>
      <c r="AD47" s="45"/>
      <c r="AE47" s="45"/>
      <c r="AF47" s="45"/>
      <c r="AG47" s="45"/>
      <c r="AH47" s="45"/>
      <c r="AI47" s="45"/>
      <c r="AJ47" s="340">
        <f>Input!AJ391</f>
        <v>0.27329192749934827</v>
      </c>
      <c r="AK47" s="340">
        <f>Input!AK391</f>
        <v>0.27329192749934827</v>
      </c>
      <c r="AL47" s="340">
        <f>Input!AL391</f>
        <v>0.27329192749934827</v>
      </c>
      <c r="AM47" s="340">
        <f>Input!AM391</f>
        <v>0.27329192749934827</v>
      </c>
      <c r="AN47" s="340">
        <f>Input!AN391</f>
        <v>0.27329192749934827</v>
      </c>
      <c r="AO47" s="340">
        <f>Input!AO391</f>
        <v>0.27329192749934827</v>
      </c>
      <c r="AP47" s="340">
        <f>Input!AP391</f>
        <v>0.27329192749934827</v>
      </c>
      <c r="AQ47" s="340">
        <f>Input!AQ391</f>
        <v>0.27329192749934827</v>
      </c>
    </row>
    <row r="48" spans="4:47" ht="15" customHeight="1">
      <c r="E48" s="147"/>
      <c r="F48" s="45"/>
      <c r="G48" s="45"/>
      <c r="H48" s="45"/>
      <c r="I48" s="147"/>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row>
    <row r="49" spans="4:47" ht="15" customHeight="1">
      <c r="E49" s="35" t="s">
        <v>480</v>
      </c>
      <c r="F49" s="45"/>
      <c r="G49" s="147" t="s">
        <v>844</v>
      </c>
      <c r="H49" s="45"/>
      <c r="I49" s="147"/>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38">
        <f>SUMPRODUCT(AJ$16:AJ$22,AJ41:AJ47)</f>
        <v>76.494721457237958</v>
      </c>
      <c r="AK49" s="38">
        <f t="shared" ref="AK49:AQ49" si="2">SUMPRODUCT(AK$16:AK$22,AK41:AK47)</f>
        <v>88.726838165146233</v>
      </c>
      <c r="AL49" s="38">
        <f t="shared" si="2"/>
        <v>87.746959196022516</v>
      </c>
      <c r="AM49" s="38">
        <f t="shared" si="2"/>
        <v>79.584825767901194</v>
      </c>
      <c r="AN49" s="38">
        <f t="shared" si="2"/>
        <v>74.184773821587939</v>
      </c>
      <c r="AO49" s="38">
        <f t="shared" si="2"/>
        <v>71.843711438054129</v>
      </c>
      <c r="AP49" s="38">
        <f t="shared" si="2"/>
        <v>75.899133365555571</v>
      </c>
      <c r="AQ49" s="38">
        <f t="shared" si="2"/>
        <v>73.009292821195004</v>
      </c>
    </row>
    <row r="50" spans="4:47" s="163" customFormat="1" ht="15" customHeight="1">
      <c r="AR50" s="369"/>
      <c r="AS50" s="369"/>
      <c r="AT50" s="369"/>
      <c r="AU50" s="369"/>
    </row>
    <row r="51" spans="4:47" ht="15" customHeight="1">
      <c r="D51" s="198" t="s">
        <v>140</v>
      </c>
      <c r="E51" s="198"/>
      <c r="F51" s="198"/>
      <c r="G51" s="198"/>
      <c r="H51" s="198"/>
      <c r="I51" s="198"/>
      <c r="J51" s="198"/>
      <c r="K51" s="198"/>
      <c r="L51" s="198"/>
      <c r="M51" s="198"/>
      <c r="N51" s="198"/>
      <c r="O51" s="198"/>
      <c r="P51" s="198"/>
      <c r="Q51" s="198"/>
      <c r="R51" s="198"/>
      <c r="S51" s="198"/>
      <c r="T51" s="198"/>
      <c r="U51" s="198"/>
      <c r="V51" s="198"/>
      <c r="W51" s="198"/>
      <c r="X51" s="198"/>
      <c r="Y51" s="198"/>
      <c r="Z51" s="198"/>
      <c r="AA51" s="198"/>
      <c r="AB51" s="198"/>
      <c r="AC51" s="198"/>
      <c r="AD51" s="198"/>
      <c r="AE51" s="198"/>
      <c r="AF51" s="198"/>
      <c r="AG51" s="198"/>
      <c r="AH51" s="198"/>
      <c r="AI51" s="198"/>
      <c r="AJ51" s="198"/>
      <c r="AK51" s="198"/>
      <c r="AL51" s="198"/>
      <c r="AM51" s="198"/>
      <c r="AN51" s="198"/>
      <c r="AO51" s="198"/>
      <c r="AP51" s="198"/>
      <c r="AQ51" s="198"/>
    </row>
    <row r="52" spans="4:47" ht="15" customHeight="1">
      <c r="E52" s="45"/>
      <c r="F52" s="45"/>
      <c r="G52" s="45"/>
      <c r="H52" s="45"/>
      <c r="I52" s="147"/>
      <c r="J52" s="45"/>
      <c r="K52" s="45"/>
      <c r="L52" s="45"/>
      <c r="M52" s="45"/>
      <c r="N52" s="45"/>
      <c r="O52" s="45"/>
      <c r="P52" s="45"/>
      <c r="Q52" s="45"/>
      <c r="R52" s="45"/>
      <c r="S52" s="45"/>
      <c r="T52" s="45"/>
      <c r="U52" s="45"/>
      <c r="V52" s="45"/>
      <c r="W52" s="45"/>
      <c r="X52" s="45"/>
      <c r="Y52" s="45"/>
      <c r="Z52" s="45"/>
      <c r="AA52" s="45"/>
      <c r="AB52" s="45"/>
      <c r="AC52" s="45"/>
      <c r="AD52" s="45"/>
      <c r="AE52" s="45"/>
      <c r="AF52" s="45"/>
      <c r="AG52" s="147"/>
      <c r="AH52" s="147"/>
      <c r="AI52" s="147"/>
      <c r="AJ52" s="147"/>
      <c r="AK52" s="147"/>
      <c r="AL52" s="147"/>
      <c r="AM52" s="147"/>
      <c r="AN52" s="147"/>
      <c r="AO52" s="147"/>
      <c r="AP52" s="147"/>
      <c r="AQ52" s="147"/>
    </row>
    <row r="53" spans="4:47" ht="15" customHeight="1">
      <c r="E53" s="111" t="s">
        <v>144</v>
      </c>
      <c r="F53" s="45"/>
      <c r="G53" s="45" t="s">
        <v>49</v>
      </c>
      <c r="H53" s="45"/>
      <c r="I53" s="147"/>
      <c r="J53" s="45"/>
      <c r="K53" s="45"/>
      <c r="L53" s="45"/>
      <c r="M53" s="45"/>
      <c r="N53" s="45"/>
      <c r="O53" s="45"/>
      <c r="P53" s="45"/>
      <c r="Q53" s="45"/>
      <c r="R53" s="45"/>
      <c r="S53" s="45"/>
      <c r="T53" s="45"/>
      <c r="U53" s="45"/>
      <c r="V53" s="45"/>
      <c r="W53" s="45"/>
      <c r="X53" s="45"/>
      <c r="Y53" s="45"/>
      <c r="Z53" s="45"/>
      <c r="AA53" s="45"/>
      <c r="AB53" s="45"/>
      <c r="AC53" s="45"/>
      <c r="AD53" s="45"/>
      <c r="AE53" s="45"/>
      <c r="AF53" s="45"/>
      <c r="AG53" s="147"/>
      <c r="AH53" s="147"/>
      <c r="AI53" s="147"/>
      <c r="AJ53" s="340">
        <f>Input!AJ395</f>
        <v>2.8897491975180743E-2</v>
      </c>
      <c r="AK53" s="340">
        <f>Input!AK395</f>
        <v>2.8897491975180743E-2</v>
      </c>
      <c r="AL53" s="340">
        <f>Input!AL395</f>
        <v>2.8897491975180743E-2</v>
      </c>
      <c r="AM53" s="340">
        <f>Input!AM395</f>
        <v>2.8897491975180743E-2</v>
      </c>
      <c r="AN53" s="340">
        <f>Input!AN395</f>
        <v>2.8897491975180743E-2</v>
      </c>
      <c r="AO53" s="340">
        <f>Input!AO395</f>
        <v>2.8897491975180743E-2</v>
      </c>
      <c r="AP53" s="340">
        <f>Input!AP395</f>
        <v>2.8897491975180743E-2</v>
      </c>
      <c r="AQ53" s="340">
        <f>Input!AQ395</f>
        <v>2.8897491975180743E-2</v>
      </c>
    </row>
    <row r="54" spans="4:47" ht="15" customHeight="1">
      <c r="E54" s="149" t="s">
        <v>665</v>
      </c>
      <c r="F54" s="45"/>
      <c r="G54" s="45" t="s">
        <v>49</v>
      </c>
      <c r="H54" s="45"/>
      <c r="I54" s="147"/>
      <c r="J54" s="45"/>
      <c r="K54" s="45"/>
      <c r="L54" s="45"/>
      <c r="M54" s="45"/>
      <c r="N54" s="45"/>
      <c r="O54" s="45"/>
      <c r="P54" s="45"/>
      <c r="Q54" s="45"/>
      <c r="R54" s="45"/>
      <c r="S54" s="45"/>
      <c r="T54" s="45"/>
      <c r="U54" s="45"/>
      <c r="V54" s="45"/>
      <c r="W54" s="45"/>
      <c r="X54" s="45"/>
      <c r="Y54" s="45"/>
      <c r="Z54" s="45"/>
      <c r="AA54" s="45"/>
      <c r="AB54" s="45"/>
      <c r="AC54" s="45"/>
      <c r="AD54" s="45"/>
      <c r="AE54" s="45"/>
      <c r="AF54" s="45"/>
      <c r="AG54" s="147"/>
      <c r="AH54" s="147"/>
      <c r="AI54" s="147"/>
      <c r="AJ54" s="340">
        <f>Input!AJ396</f>
        <v>0.53627590547130843</v>
      </c>
      <c r="AK54" s="340">
        <f>Input!AK396</f>
        <v>0.53627590547130843</v>
      </c>
      <c r="AL54" s="340">
        <f>Input!AL396</f>
        <v>0.53627590547130843</v>
      </c>
      <c r="AM54" s="340">
        <f>Input!AM396</f>
        <v>0.53627590547130843</v>
      </c>
      <c r="AN54" s="340">
        <f>Input!AN396</f>
        <v>0.53627590547130843</v>
      </c>
      <c r="AO54" s="340">
        <f>Input!AO396</f>
        <v>0.53627590547130843</v>
      </c>
      <c r="AP54" s="340">
        <f>Input!AP396</f>
        <v>0.53627590547130843</v>
      </c>
      <c r="AQ54" s="340">
        <f>Input!AQ396</f>
        <v>0.53627590547130843</v>
      </c>
    </row>
    <row r="55" spans="4:47" ht="15" customHeight="1">
      <c r="E55" s="111" t="s">
        <v>145</v>
      </c>
      <c r="F55" s="45"/>
      <c r="G55" s="45" t="s">
        <v>49</v>
      </c>
      <c r="H55" s="45"/>
      <c r="I55" s="147"/>
      <c r="J55" s="45"/>
      <c r="K55" s="45"/>
      <c r="L55" s="45"/>
      <c r="M55" s="45"/>
      <c r="N55" s="45"/>
      <c r="O55" s="45"/>
      <c r="P55" s="45"/>
      <c r="Q55" s="45"/>
      <c r="R55" s="45"/>
      <c r="S55" s="45"/>
      <c r="T55" s="45"/>
      <c r="U55" s="45"/>
      <c r="V55" s="45"/>
      <c r="W55" s="45"/>
      <c r="X55" s="45"/>
      <c r="Y55" s="45"/>
      <c r="Z55" s="45"/>
      <c r="AA55" s="45"/>
      <c r="AB55" s="45"/>
      <c r="AC55" s="45"/>
      <c r="AD55" s="45"/>
      <c r="AE55" s="45"/>
      <c r="AF55" s="45"/>
      <c r="AG55" s="147"/>
      <c r="AH55" s="147"/>
      <c r="AI55" s="147"/>
      <c r="AJ55" s="340">
        <f>Input!AJ397</f>
        <v>0.18448601841349963</v>
      </c>
      <c r="AK55" s="340">
        <f>Input!AK397</f>
        <v>0.18448601841349963</v>
      </c>
      <c r="AL55" s="340">
        <f>Input!AL397</f>
        <v>0.18448601841349963</v>
      </c>
      <c r="AM55" s="340">
        <f>Input!AM397</f>
        <v>0.18448601841349963</v>
      </c>
      <c r="AN55" s="340">
        <f>Input!AN397</f>
        <v>0.18448601841349963</v>
      </c>
      <c r="AO55" s="340">
        <f>Input!AO397</f>
        <v>0.18448601841349963</v>
      </c>
      <c r="AP55" s="340">
        <f>Input!AP397</f>
        <v>0.18448601841349963</v>
      </c>
      <c r="AQ55" s="340">
        <f>Input!AQ397</f>
        <v>0.18448601841349963</v>
      </c>
    </row>
    <row r="56" spans="4:47" ht="15" customHeight="1">
      <c r="E56" s="149" t="s">
        <v>706</v>
      </c>
      <c r="F56" s="45"/>
      <c r="G56" s="45" t="s">
        <v>49</v>
      </c>
      <c r="H56" s="45"/>
      <c r="I56" s="147"/>
      <c r="J56" s="45"/>
      <c r="K56" s="45"/>
      <c r="L56" s="45"/>
      <c r="M56" s="45"/>
      <c r="N56" s="45"/>
      <c r="O56" s="45"/>
      <c r="P56" s="45"/>
      <c r="Q56" s="45"/>
      <c r="R56" s="45"/>
      <c r="S56" s="45"/>
      <c r="T56" s="45"/>
      <c r="U56" s="45"/>
      <c r="V56" s="45"/>
      <c r="W56" s="45"/>
      <c r="X56" s="45"/>
      <c r="Y56" s="45"/>
      <c r="Z56" s="45"/>
      <c r="AA56" s="45"/>
      <c r="AB56" s="45"/>
      <c r="AC56" s="45"/>
      <c r="AD56" s="45"/>
      <c r="AE56" s="45"/>
      <c r="AF56" s="45"/>
      <c r="AG56" s="147"/>
      <c r="AH56" s="147"/>
      <c r="AI56" s="147"/>
      <c r="AJ56" s="340">
        <f>Input!AJ398</f>
        <v>0.62040596588144259</v>
      </c>
      <c r="AK56" s="340">
        <f>Input!AK398</f>
        <v>0.62040596588144259</v>
      </c>
      <c r="AL56" s="340">
        <f>Input!AL398</f>
        <v>0.62040596588144259</v>
      </c>
      <c r="AM56" s="340">
        <f>Input!AM398</f>
        <v>0.62040596588144259</v>
      </c>
      <c r="AN56" s="340">
        <f>Input!AN398</f>
        <v>0.62040596588144259</v>
      </c>
      <c r="AO56" s="340">
        <f>Input!AO398</f>
        <v>0.62040596588144259</v>
      </c>
      <c r="AP56" s="340">
        <f>Input!AP398</f>
        <v>0.62040596588144259</v>
      </c>
      <c r="AQ56" s="340">
        <f>Input!AQ398</f>
        <v>0.62040596588144259</v>
      </c>
    </row>
    <row r="57" spans="4:47" s="498" customFormat="1" ht="15" customHeight="1">
      <c r="E57" s="412" t="s">
        <v>992</v>
      </c>
      <c r="G57" s="45" t="s">
        <v>49</v>
      </c>
      <c r="H57" s="45"/>
      <c r="I57" s="147"/>
      <c r="J57" s="45"/>
      <c r="K57" s="45"/>
      <c r="L57" s="45"/>
      <c r="M57" s="45"/>
      <c r="N57" s="45"/>
      <c r="O57" s="45"/>
      <c r="P57" s="45"/>
      <c r="Q57" s="45"/>
      <c r="R57" s="45"/>
      <c r="S57" s="45"/>
      <c r="T57" s="45"/>
      <c r="U57" s="45"/>
      <c r="V57" s="45"/>
      <c r="W57" s="45"/>
      <c r="X57" s="45"/>
      <c r="Y57" s="45"/>
      <c r="Z57" s="45"/>
      <c r="AA57" s="45"/>
      <c r="AB57" s="45"/>
      <c r="AC57" s="45"/>
      <c r="AD57" s="45"/>
      <c r="AE57" s="45"/>
      <c r="AF57" s="45"/>
      <c r="AG57" s="147"/>
      <c r="AH57" s="147"/>
      <c r="AI57" s="147"/>
      <c r="AJ57" s="340">
        <f>Input!AJ399</f>
        <v>0</v>
      </c>
      <c r="AK57" s="340">
        <f>Input!AK399</f>
        <v>0</v>
      </c>
      <c r="AL57" s="340">
        <f>Input!AL399</f>
        <v>0</v>
      </c>
      <c r="AM57" s="340">
        <f>Input!AM399</f>
        <v>0</v>
      </c>
      <c r="AN57" s="340">
        <f>Input!AN399</f>
        <v>0</v>
      </c>
      <c r="AO57" s="340">
        <f>Input!AO399</f>
        <v>0</v>
      </c>
      <c r="AP57" s="340">
        <f>Input!AP399</f>
        <v>0</v>
      </c>
      <c r="AQ57" s="340">
        <f>Input!AQ399</f>
        <v>0</v>
      </c>
    </row>
    <row r="58" spans="4:47" ht="15" customHeight="1">
      <c r="E58" s="498" t="s">
        <v>922</v>
      </c>
      <c r="F58" s="45"/>
      <c r="G58" s="45" t="s">
        <v>49</v>
      </c>
      <c r="H58" s="45"/>
      <c r="I58" s="147"/>
      <c r="J58" s="45"/>
      <c r="K58" s="45"/>
      <c r="L58" s="45"/>
      <c r="M58" s="45"/>
      <c r="N58" s="45"/>
      <c r="O58" s="45"/>
      <c r="P58" s="45"/>
      <c r="Q58" s="45"/>
      <c r="R58" s="45"/>
      <c r="S58" s="45"/>
      <c r="T58" s="45"/>
      <c r="U58" s="45"/>
      <c r="V58" s="45"/>
      <c r="W58" s="45"/>
      <c r="X58" s="45"/>
      <c r="Y58" s="45"/>
      <c r="Z58" s="45"/>
      <c r="AA58" s="45"/>
      <c r="AB58" s="45"/>
      <c r="AC58" s="45"/>
      <c r="AD58" s="45"/>
      <c r="AE58" s="45"/>
      <c r="AF58" s="45"/>
      <c r="AG58" s="147"/>
      <c r="AH58" s="147"/>
      <c r="AI58" s="147"/>
      <c r="AJ58" s="340">
        <f>Input!AJ400</f>
        <v>0</v>
      </c>
      <c r="AK58" s="340">
        <f>Input!AK400</f>
        <v>0</v>
      </c>
      <c r="AL58" s="340">
        <f>Input!AL400</f>
        <v>0</v>
      </c>
      <c r="AM58" s="340">
        <f>Input!AM400</f>
        <v>0</v>
      </c>
      <c r="AN58" s="340">
        <f>Input!AN400</f>
        <v>0</v>
      </c>
      <c r="AO58" s="340">
        <f>Input!AO400</f>
        <v>0</v>
      </c>
      <c r="AP58" s="340">
        <f>Input!AP400</f>
        <v>0</v>
      </c>
      <c r="AQ58" s="340">
        <f>Input!AQ400</f>
        <v>0</v>
      </c>
    </row>
    <row r="59" spans="4:47" ht="15" customHeight="1">
      <c r="E59" s="156" t="s">
        <v>796</v>
      </c>
      <c r="F59" s="45"/>
      <c r="G59" s="45" t="s">
        <v>49</v>
      </c>
      <c r="H59" s="45"/>
      <c r="I59" s="147"/>
      <c r="J59" s="45"/>
      <c r="K59" s="45"/>
      <c r="L59" s="45"/>
      <c r="M59" s="45"/>
      <c r="N59" s="45"/>
      <c r="O59" s="45"/>
      <c r="P59" s="45"/>
      <c r="Q59" s="45"/>
      <c r="R59" s="45"/>
      <c r="S59" s="45"/>
      <c r="T59" s="45"/>
      <c r="U59" s="45"/>
      <c r="V59" s="45"/>
      <c r="W59" s="45"/>
      <c r="X59" s="45"/>
      <c r="Y59" s="45"/>
      <c r="Z59" s="45"/>
      <c r="AA59" s="45"/>
      <c r="AB59" s="45"/>
      <c r="AC59" s="45"/>
      <c r="AD59" s="45"/>
      <c r="AE59" s="45"/>
      <c r="AF59" s="45"/>
      <c r="AG59" s="147"/>
      <c r="AH59" s="147"/>
      <c r="AI59" s="147"/>
      <c r="AJ59" s="340">
        <f>Input!AJ401</f>
        <v>0.25820830749718165</v>
      </c>
      <c r="AK59" s="340">
        <f>Input!AK401</f>
        <v>0.25820830749718165</v>
      </c>
      <c r="AL59" s="340">
        <f>Input!AL401</f>
        <v>0.25820830749718165</v>
      </c>
      <c r="AM59" s="340">
        <f>Input!AM401</f>
        <v>0.25820830749718165</v>
      </c>
      <c r="AN59" s="340">
        <f>Input!AN401</f>
        <v>0.25820830749718165</v>
      </c>
      <c r="AO59" s="340">
        <f>Input!AO401</f>
        <v>0.25820830749718165</v>
      </c>
      <c r="AP59" s="340">
        <f>Input!AP401</f>
        <v>0.25820830749718165</v>
      </c>
      <c r="AQ59" s="340">
        <f>Input!AQ401</f>
        <v>0.25820830749718165</v>
      </c>
    </row>
    <row r="60" spans="4:47" ht="15" customHeight="1">
      <c r="E60" s="147"/>
      <c r="F60" s="45"/>
      <c r="G60" s="45"/>
      <c r="H60" s="45"/>
      <c r="I60" s="147"/>
      <c r="J60" s="45"/>
      <c r="K60" s="45"/>
      <c r="L60" s="45"/>
      <c r="M60" s="45"/>
      <c r="N60" s="45"/>
      <c r="O60" s="45"/>
      <c r="P60" s="45"/>
      <c r="Q60" s="45"/>
      <c r="R60" s="45"/>
      <c r="S60" s="45"/>
      <c r="T60" s="45"/>
      <c r="U60" s="45"/>
      <c r="V60" s="45"/>
      <c r="W60" s="45"/>
      <c r="X60" s="45"/>
      <c r="Y60" s="45"/>
      <c r="Z60" s="45"/>
      <c r="AA60" s="45"/>
      <c r="AB60" s="45"/>
      <c r="AC60" s="45"/>
      <c r="AD60" s="45"/>
      <c r="AE60" s="45"/>
      <c r="AF60" s="45"/>
      <c r="AG60" s="147"/>
      <c r="AH60" s="147"/>
      <c r="AI60" s="147"/>
      <c r="AJ60" s="147"/>
      <c r="AK60" s="147"/>
      <c r="AL60" s="147"/>
      <c r="AM60" s="147"/>
      <c r="AN60" s="147"/>
      <c r="AO60" s="147"/>
      <c r="AP60" s="147"/>
      <c r="AQ60" s="147"/>
    </row>
    <row r="61" spans="4:47" ht="15" customHeight="1">
      <c r="E61" s="35" t="s">
        <v>139</v>
      </c>
      <c r="F61" s="45"/>
      <c r="G61" s="147" t="s">
        <v>844</v>
      </c>
      <c r="H61" s="45"/>
      <c r="I61" s="147"/>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38">
        <f>SUMPRODUCT(AJ$16:AJ$22,AJ53:AJ59)</f>
        <v>73.850031026906038</v>
      </c>
      <c r="AK61" s="38">
        <f t="shared" ref="AK61:AQ61" si="3">SUMPRODUCT(AK$16:AK$22,AK53:AK59)</f>
        <v>79.253557956347677</v>
      </c>
      <c r="AL61" s="38">
        <f t="shared" si="3"/>
        <v>76.438804587918966</v>
      </c>
      <c r="AM61" s="38">
        <f t="shared" si="3"/>
        <v>77.421821949138476</v>
      </c>
      <c r="AN61" s="38">
        <f t="shared" si="3"/>
        <v>76.342126504169187</v>
      </c>
      <c r="AO61" s="38">
        <f t="shared" si="3"/>
        <v>73.648116671398668</v>
      </c>
      <c r="AP61" s="38">
        <f t="shared" si="3"/>
        <v>70.292083197659224</v>
      </c>
      <c r="AQ61" s="38">
        <f t="shared" si="3"/>
        <v>69.172278937193141</v>
      </c>
    </row>
    <row r="62" spans="4:47" s="163" customFormat="1" ht="15" customHeight="1">
      <c r="AR62" s="369"/>
      <c r="AS62" s="369"/>
      <c r="AT62" s="369"/>
      <c r="AU62" s="369"/>
    </row>
    <row r="63" spans="4:47" ht="15" customHeight="1">
      <c r="D63" s="198" t="s">
        <v>141</v>
      </c>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row>
    <row r="64" spans="4:47" ht="15" customHeight="1">
      <c r="E64" s="45"/>
      <c r="F64" s="45"/>
      <c r="G64" s="45"/>
      <c r="H64" s="45"/>
      <c r="I64" s="147"/>
      <c r="J64" s="45"/>
      <c r="K64" s="45"/>
      <c r="L64" s="45"/>
      <c r="M64" s="45"/>
      <c r="N64" s="45"/>
      <c r="O64" s="45"/>
      <c r="P64" s="45"/>
      <c r="Q64" s="45"/>
      <c r="R64" s="45"/>
      <c r="S64" s="45"/>
      <c r="T64" s="45"/>
      <c r="U64" s="45"/>
      <c r="V64" s="45"/>
      <c r="W64" s="45"/>
      <c r="X64" s="45"/>
      <c r="Y64" s="45"/>
      <c r="Z64" s="45"/>
      <c r="AA64" s="45"/>
      <c r="AB64" s="45"/>
      <c r="AC64" s="45"/>
      <c r="AD64" s="45"/>
      <c r="AE64" s="45"/>
      <c r="AF64" s="45"/>
      <c r="AG64" s="147"/>
      <c r="AH64" s="147"/>
      <c r="AI64" s="147"/>
      <c r="AJ64" s="147"/>
      <c r="AK64" s="147"/>
      <c r="AL64" s="147"/>
      <c r="AM64" s="147"/>
      <c r="AN64" s="147"/>
      <c r="AO64" s="147"/>
      <c r="AP64" s="147"/>
      <c r="AQ64" s="147"/>
    </row>
    <row r="65" spans="4:47" ht="15" customHeight="1">
      <c r="E65" s="19" t="s">
        <v>108</v>
      </c>
      <c r="F65" s="45"/>
      <c r="G65" s="147" t="s">
        <v>844</v>
      </c>
      <c r="H65" s="45"/>
      <c r="I65" s="147"/>
      <c r="J65" s="45"/>
      <c r="K65" s="45"/>
      <c r="L65" s="45"/>
      <c r="M65" s="45"/>
      <c r="N65" s="45"/>
      <c r="O65" s="45"/>
      <c r="P65" s="45"/>
      <c r="Q65" s="45"/>
      <c r="R65" s="45"/>
      <c r="S65" s="45"/>
      <c r="T65" s="45"/>
      <c r="U65" s="45"/>
      <c r="V65" s="45"/>
      <c r="W65" s="45"/>
      <c r="X65" s="45"/>
      <c r="Y65" s="45"/>
      <c r="Z65" s="45"/>
      <c r="AA65" s="45"/>
      <c r="AB65" s="45"/>
      <c r="AC65" s="45"/>
      <c r="AD65" s="45"/>
      <c r="AE65" s="45"/>
      <c r="AF65" s="45"/>
      <c r="AG65" s="147"/>
      <c r="AH65" s="147"/>
      <c r="AI65" s="147"/>
      <c r="AJ65" s="147">
        <f>Input!AJ235</f>
        <v>33.603943550905051</v>
      </c>
      <c r="AK65" s="147">
        <f>Input!AK235</f>
        <v>34.133943550905052</v>
      </c>
      <c r="AL65" s="147">
        <f>Input!AL235</f>
        <v>35.827276884238387</v>
      </c>
      <c r="AM65" s="147">
        <f>Input!AM235</f>
        <v>36.160610217571715</v>
      </c>
      <c r="AN65" s="147">
        <f>Input!AN235</f>
        <v>36.03394355090505</v>
      </c>
      <c r="AO65" s="147">
        <f>Input!AO235</f>
        <v>37.000610217571719</v>
      </c>
      <c r="AP65" s="147">
        <f>Input!AP235</f>
        <v>35.538164106782752</v>
      </c>
      <c r="AQ65" s="147">
        <f>Input!AQ235</f>
        <v>35.748164106782752</v>
      </c>
    </row>
    <row r="66" spans="4:47" ht="15" customHeight="1">
      <c r="E66" s="45"/>
      <c r="F66" s="45"/>
      <c r="G66" s="45"/>
      <c r="H66" s="45"/>
      <c r="I66" s="147"/>
      <c r="J66" s="45"/>
      <c r="K66" s="45"/>
      <c r="L66" s="45"/>
      <c r="M66" s="45"/>
      <c r="N66" s="45"/>
      <c r="O66" s="45"/>
      <c r="P66" s="45"/>
      <c r="Q66" s="45"/>
      <c r="R66" s="45"/>
      <c r="S66" s="45"/>
      <c r="T66" s="45"/>
      <c r="U66" s="45"/>
      <c r="V66" s="45"/>
      <c r="W66" s="45"/>
      <c r="X66" s="45"/>
      <c r="Y66" s="45"/>
      <c r="Z66" s="45"/>
      <c r="AA66" s="45"/>
      <c r="AB66" s="45"/>
      <c r="AC66" s="45"/>
      <c r="AD66" s="45"/>
      <c r="AE66" s="45"/>
      <c r="AF66" s="45"/>
      <c r="AG66" s="147"/>
      <c r="AH66" s="147"/>
      <c r="AI66" s="147"/>
      <c r="AJ66" s="147"/>
      <c r="AK66" s="147"/>
      <c r="AL66" s="147"/>
      <c r="AM66" s="147"/>
      <c r="AN66" s="147"/>
      <c r="AO66" s="147"/>
      <c r="AP66" s="147"/>
      <c r="AQ66" s="147"/>
    </row>
    <row r="67" spans="4:47" ht="15" customHeight="1">
      <c r="E67" s="111" t="s">
        <v>144</v>
      </c>
      <c r="F67" s="45"/>
      <c r="G67" s="45" t="s">
        <v>49</v>
      </c>
      <c r="H67" s="45"/>
      <c r="I67" s="147"/>
      <c r="J67" s="45"/>
      <c r="K67" s="45"/>
      <c r="L67" s="45"/>
      <c r="M67" s="45"/>
      <c r="N67" s="45"/>
      <c r="O67" s="45"/>
      <c r="P67" s="45"/>
      <c r="Q67" s="45"/>
      <c r="R67" s="45"/>
      <c r="S67" s="45"/>
      <c r="T67" s="45"/>
      <c r="U67" s="45"/>
      <c r="V67" s="45"/>
      <c r="W67" s="45"/>
      <c r="X67" s="45"/>
      <c r="Y67" s="45"/>
      <c r="Z67" s="45"/>
      <c r="AA67" s="45"/>
      <c r="AB67" s="45"/>
      <c r="AC67" s="45"/>
      <c r="AD67" s="45"/>
      <c r="AE67" s="45"/>
      <c r="AF67" s="45"/>
      <c r="AG67" s="147"/>
      <c r="AH67" s="147"/>
      <c r="AI67" s="147"/>
      <c r="AJ67" s="340">
        <f>Input!AJ405</f>
        <v>0</v>
      </c>
      <c r="AK67" s="340">
        <f>Input!AK405</f>
        <v>0</v>
      </c>
      <c r="AL67" s="340">
        <f>Input!AL405</f>
        <v>0</v>
      </c>
      <c r="AM67" s="340">
        <f>Input!AM405</f>
        <v>0</v>
      </c>
      <c r="AN67" s="340">
        <f>Input!AN405</f>
        <v>0</v>
      </c>
      <c r="AO67" s="340">
        <f>Input!AO405</f>
        <v>0</v>
      </c>
      <c r="AP67" s="340">
        <f>Input!AP405</f>
        <v>0</v>
      </c>
      <c r="AQ67" s="340">
        <f>Input!AQ405</f>
        <v>0</v>
      </c>
    </row>
    <row r="68" spans="4:47" ht="15" customHeight="1">
      <c r="E68" s="149" t="s">
        <v>665</v>
      </c>
      <c r="F68" s="45"/>
      <c r="G68" s="45" t="s">
        <v>49</v>
      </c>
      <c r="H68" s="45"/>
      <c r="I68" s="147"/>
      <c r="J68" s="45"/>
      <c r="K68" s="45"/>
      <c r="L68" s="45"/>
      <c r="M68" s="45"/>
      <c r="N68" s="45"/>
      <c r="O68" s="45"/>
      <c r="P68" s="45"/>
      <c r="Q68" s="45"/>
      <c r="R68" s="45"/>
      <c r="S68" s="45"/>
      <c r="T68" s="45"/>
      <c r="U68" s="45"/>
      <c r="V68" s="45"/>
      <c r="W68" s="45"/>
      <c r="X68" s="45"/>
      <c r="Y68" s="45"/>
      <c r="Z68" s="45"/>
      <c r="AA68" s="45"/>
      <c r="AB68" s="45"/>
      <c r="AC68" s="45"/>
      <c r="AD68" s="45"/>
      <c r="AE68" s="45"/>
      <c r="AF68" s="45"/>
      <c r="AG68" s="147"/>
      <c r="AH68" s="147"/>
      <c r="AI68" s="147"/>
      <c r="AJ68" s="340">
        <f>Input!AJ406</f>
        <v>0</v>
      </c>
      <c r="AK68" s="340">
        <f>Input!AK406</f>
        <v>0</v>
      </c>
      <c r="AL68" s="340">
        <f>Input!AL406</f>
        <v>0</v>
      </c>
      <c r="AM68" s="340">
        <f>Input!AM406</f>
        <v>0</v>
      </c>
      <c r="AN68" s="340">
        <f>Input!AN406</f>
        <v>0</v>
      </c>
      <c r="AO68" s="340">
        <f>Input!AO406</f>
        <v>0</v>
      </c>
      <c r="AP68" s="340">
        <f>Input!AP406</f>
        <v>0</v>
      </c>
      <c r="AQ68" s="340">
        <f>Input!AQ406</f>
        <v>0</v>
      </c>
    </row>
    <row r="69" spans="4:47" ht="15" customHeight="1">
      <c r="E69" s="111" t="s">
        <v>145</v>
      </c>
      <c r="F69" s="45"/>
      <c r="G69" s="45" t="s">
        <v>49</v>
      </c>
      <c r="H69" s="45"/>
      <c r="I69" s="147"/>
      <c r="J69" s="45"/>
      <c r="K69" s="45"/>
      <c r="L69" s="45"/>
      <c r="M69" s="45"/>
      <c r="N69" s="45"/>
      <c r="O69" s="45"/>
      <c r="P69" s="45"/>
      <c r="Q69" s="45"/>
      <c r="R69" s="45"/>
      <c r="S69" s="45"/>
      <c r="T69" s="45"/>
      <c r="U69" s="45"/>
      <c r="V69" s="45"/>
      <c r="W69" s="45"/>
      <c r="X69" s="45"/>
      <c r="Y69" s="45"/>
      <c r="Z69" s="45"/>
      <c r="AA69" s="45"/>
      <c r="AB69" s="45"/>
      <c r="AC69" s="45"/>
      <c r="AD69" s="45"/>
      <c r="AE69" s="45"/>
      <c r="AF69" s="45"/>
      <c r="AG69" s="147"/>
      <c r="AH69" s="147"/>
      <c r="AI69" s="147"/>
      <c r="AJ69" s="340">
        <f>Input!AJ407</f>
        <v>0</v>
      </c>
      <c r="AK69" s="340">
        <f>Input!AK407</f>
        <v>0</v>
      </c>
      <c r="AL69" s="340">
        <f>Input!AL407</f>
        <v>0</v>
      </c>
      <c r="AM69" s="340">
        <f>Input!AM407</f>
        <v>0</v>
      </c>
      <c r="AN69" s="340">
        <f>Input!AN407</f>
        <v>0</v>
      </c>
      <c r="AO69" s="340">
        <f>Input!AO407</f>
        <v>0</v>
      </c>
      <c r="AP69" s="340">
        <f>Input!AP407</f>
        <v>0</v>
      </c>
      <c r="AQ69" s="340">
        <f>Input!AQ407</f>
        <v>0</v>
      </c>
    </row>
    <row r="70" spans="4:47" ht="15" customHeight="1">
      <c r="E70" s="149" t="s">
        <v>706</v>
      </c>
      <c r="F70" s="45"/>
      <c r="G70" s="45" t="s">
        <v>49</v>
      </c>
      <c r="H70" s="45"/>
      <c r="I70" s="147"/>
      <c r="J70" s="45"/>
      <c r="K70" s="45"/>
      <c r="L70" s="45"/>
      <c r="M70" s="45"/>
      <c r="N70" s="45"/>
      <c r="O70" s="45"/>
      <c r="P70" s="45"/>
      <c r="Q70" s="45"/>
      <c r="R70" s="45"/>
      <c r="S70" s="45"/>
      <c r="T70" s="45"/>
      <c r="U70" s="45"/>
      <c r="V70" s="45"/>
      <c r="W70" s="45"/>
      <c r="X70" s="45"/>
      <c r="Y70" s="45"/>
      <c r="Z70" s="45"/>
      <c r="AA70" s="45"/>
      <c r="AB70" s="45"/>
      <c r="AC70" s="45"/>
      <c r="AD70" s="45"/>
      <c r="AE70" s="45"/>
      <c r="AF70" s="45"/>
      <c r="AG70" s="147"/>
      <c r="AH70" s="147"/>
      <c r="AI70" s="147"/>
      <c r="AJ70" s="340">
        <f>Input!AJ408</f>
        <v>0.37928767695567217</v>
      </c>
      <c r="AK70" s="340">
        <f>Input!AK408</f>
        <v>0.37928767695567217</v>
      </c>
      <c r="AL70" s="340">
        <f>Input!AL408</f>
        <v>0.37928767695567217</v>
      </c>
      <c r="AM70" s="340">
        <f>Input!AM408</f>
        <v>0.37928767695567217</v>
      </c>
      <c r="AN70" s="340">
        <f>Input!AN408</f>
        <v>0.37928767695567217</v>
      </c>
      <c r="AO70" s="340">
        <f>Input!AO408</f>
        <v>0.37928767695567217</v>
      </c>
      <c r="AP70" s="340">
        <f>Input!AP408</f>
        <v>0.37928767695567217</v>
      </c>
      <c r="AQ70" s="340">
        <f>Input!AQ408</f>
        <v>0.37928767695567217</v>
      </c>
    </row>
    <row r="71" spans="4:47" s="498" customFormat="1" ht="15" customHeight="1">
      <c r="E71" s="412" t="s">
        <v>992</v>
      </c>
      <c r="G71" s="45" t="s">
        <v>49</v>
      </c>
      <c r="H71" s="45"/>
      <c r="I71" s="147"/>
      <c r="J71" s="45"/>
      <c r="K71" s="45"/>
      <c r="L71" s="45"/>
      <c r="M71" s="45"/>
      <c r="N71" s="45"/>
      <c r="O71" s="45"/>
      <c r="P71" s="45"/>
      <c r="Q71" s="45"/>
      <c r="R71" s="45"/>
      <c r="S71" s="45"/>
      <c r="T71" s="45"/>
      <c r="U71" s="45"/>
      <c r="V71" s="45"/>
      <c r="W71" s="45"/>
      <c r="X71" s="45"/>
      <c r="Y71" s="45"/>
      <c r="Z71" s="45"/>
      <c r="AA71" s="45"/>
      <c r="AB71" s="45"/>
      <c r="AC71" s="45"/>
      <c r="AD71" s="45"/>
      <c r="AE71" s="45"/>
      <c r="AF71" s="45"/>
      <c r="AG71" s="147"/>
      <c r="AH71" s="147"/>
      <c r="AI71" s="147"/>
      <c r="AJ71" s="340">
        <f>Input!AJ409</f>
        <v>1</v>
      </c>
      <c r="AK71" s="340">
        <f>Input!AK409</f>
        <v>1</v>
      </c>
      <c r="AL71" s="340">
        <f>Input!AL409</f>
        <v>1</v>
      </c>
      <c r="AM71" s="340">
        <f>Input!AM409</f>
        <v>1</v>
      </c>
      <c r="AN71" s="340">
        <f>Input!AN409</f>
        <v>1</v>
      </c>
      <c r="AO71" s="340">
        <f>Input!AO409</f>
        <v>1</v>
      </c>
      <c r="AP71" s="340">
        <f>Input!AP409</f>
        <v>1</v>
      </c>
      <c r="AQ71" s="340">
        <f>Input!AQ409</f>
        <v>1</v>
      </c>
    </row>
    <row r="72" spans="4:47" ht="15" customHeight="1">
      <c r="E72" s="498" t="s">
        <v>922</v>
      </c>
      <c r="F72" s="45"/>
      <c r="G72" s="45" t="s">
        <v>49</v>
      </c>
      <c r="H72" s="45"/>
      <c r="I72" s="147"/>
      <c r="J72" s="45"/>
      <c r="K72" s="45"/>
      <c r="L72" s="45"/>
      <c r="M72" s="45"/>
      <c r="N72" s="45"/>
      <c r="O72" s="45"/>
      <c r="P72" s="45"/>
      <c r="Q72" s="45"/>
      <c r="R72" s="45"/>
      <c r="S72" s="45"/>
      <c r="T72" s="45"/>
      <c r="U72" s="45"/>
      <c r="V72" s="45"/>
      <c r="W72" s="45"/>
      <c r="X72" s="45"/>
      <c r="Y72" s="45"/>
      <c r="Z72" s="45"/>
      <c r="AA72" s="45"/>
      <c r="AB72" s="45"/>
      <c r="AC72" s="45"/>
      <c r="AD72" s="45"/>
      <c r="AE72" s="45"/>
      <c r="AF72" s="45"/>
      <c r="AG72" s="147"/>
      <c r="AH72" s="147"/>
      <c r="AI72" s="147"/>
      <c r="AJ72" s="340">
        <f>Input!AJ410</f>
        <v>1</v>
      </c>
      <c r="AK72" s="340">
        <f>Input!AK410</f>
        <v>1</v>
      </c>
      <c r="AL72" s="340">
        <f>Input!AL410</f>
        <v>1</v>
      </c>
      <c r="AM72" s="340">
        <f>Input!AM410</f>
        <v>1</v>
      </c>
      <c r="AN72" s="340">
        <f>Input!AN410</f>
        <v>1</v>
      </c>
      <c r="AO72" s="340">
        <f>Input!AO410</f>
        <v>1</v>
      </c>
      <c r="AP72" s="340">
        <f>Input!AP410</f>
        <v>1</v>
      </c>
      <c r="AQ72" s="340">
        <f>Input!AQ410</f>
        <v>1</v>
      </c>
    </row>
    <row r="73" spans="4:47" ht="15" customHeight="1">
      <c r="E73" s="156" t="s">
        <v>796</v>
      </c>
      <c r="F73" s="45"/>
      <c r="G73" s="45" t="s">
        <v>49</v>
      </c>
      <c r="H73" s="45"/>
      <c r="I73" s="147"/>
      <c r="J73" s="45"/>
      <c r="K73" s="45"/>
      <c r="L73" s="45"/>
      <c r="M73" s="45"/>
      <c r="N73" s="45"/>
      <c r="O73" s="45"/>
      <c r="P73" s="45"/>
      <c r="Q73" s="45"/>
      <c r="R73" s="45"/>
      <c r="S73" s="45"/>
      <c r="T73" s="45"/>
      <c r="U73" s="45"/>
      <c r="V73" s="45"/>
      <c r="W73" s="45"/>
      <c r="X73" s="45"/>
      <c r="Y73" s="45"/>
      <c r="Z73" s="45"/>
      <c r="AA73" s="45"/>
      <c r="AB73" s="45"/>
      <c r="AC73" s="45"/>
      <c r="AD73" s="45"/>
      <c r="AE73" s="45"/>
      <c r="AF73" s="45"/>
      <c r="AG73" s="147"/>
      <c r="AH73" s="147"/>
      <c r="AI73" s="147"/>
      <c r="AJ73" s="340">
        <f>Input!AJ411</f>
        <v>0.46849976500347001</v>
      </c>
      <c r="AK73" s="340">
        <f>Input!AK411</f>
        <v>0.46849976500347001</v>
      </c>
      <c r="AL73" s="340">
        <f>Input!AL411</f>
        <v>0.46849976500347001</v>
      </c>
      <c r="AM73" s="340">
        <f>Input!AM411</f>
        <v>0.46849976500347001</v>
      </c>
      <c r="AN73" s="340">
        <f>Input!AN411</f>
        <v>0.46849976500347001</v>
      </c>
      <c r="AO73" s="340">
        <f>Input!AO411</f>
        <v>0.46849976500347001</v>
      </c>
      <c r="AP73" s="340">
        <f>Input!AP411</f>
        <v>0.46849976500347001</v>
      </c>
      <c r="AQ73" s="340">
        <f>Input!AQ411</f>
        <v>0.46849976500347001</v>
      </c>
    </row>
    <row r="74" spans="4:47" ht="15" customHeight="1">
      <c r="E74" s="147"/>
      <c r="F74" s="45"/>
      <c r="G74" s="45"/>
      <c r="H74" s="45"/>
      <c r="I74" s="147"/>
      <c r="J74" s="45"/>
      <c r="K74" s="45"/>
      <c r="L74" s="45"/>
      <c r="M74" s="45"/>
      <c r="N74" s="45"/>
      <c r="O74" s="45"/>
      <c r="P74" s="45"/>
      <c r="Q74" s="45"/>
      <c r="R74" s="45"/>
      <c r="S74" s="45"/>
      <c r="T74" s="45"/>
      <c r="U74" s="45"/>
      <c r="V74" s="45"/>
      <c r="W74" s="45"/>
      <c r="X74" s="45"/>
      <c r="Y74" s="45"/>
      <c r="Z74" s="45"/>
      <c r="AA74" s="45"/>
      <c r="AB74" s="45"/>
      <c r="AC74" s="45"/>
      <c r="AD74" s="45"/>
      <c r="AE74" s="45"/>
      <c r="AF74" s="45"/>
      <c r="AG74" s="147"/>
      <c r="AH74" s="147"/>
      <c r="AI74" s="147"/>
      <c r="AJ74" s="147"/>
      <c r="AK74" s="147"/>
      <c r="AL74" s="147"/>
      <c r="AM74" s="147"/>
      <c r="AN74" s="147"/>
      <c r="AO74" s="147"/>
      <c r="AP74" s="147"/>
      <c r="AQ74" s="147"/>
    </row>
    <row r="75" spans="4:47" ht="15" customHeight="1">
      <c r="E75" s="35" t="s">
        <v>142</v>
      </c>
      <c r="F75" s="45"/>
      <c r="G75" s="147" t="s">
        <v>844</v>
      </c>
      <c r="H75" s="45"/>
      <c r="I75" s="147"/>
      <c r="J75" s="45"/>
      <c r="K75" s="45"/>
      <c r="L75" s="45"/>
      <c r="M75" s="45"/>
      <c r="N75" s="45"/>
      <c r="O75" s="45"/>
      <c r="P75" s="45"/>
      <c r="Q75" s="45"/>
      <c r="R75" s="45"/>
      <c r="S75" s="45"/>
      <c r="T75" s="45"/>
      <c r="U75" s="45"/>
      <c r="V75" s="45"/>
      <c r="W75" s="45"/>
      <c r="X75" s="45"/>
      <c r="Y75" s="45"/>
      <c r="Z75" s="45"/>
      <c r="AA75" s="45"/>
      <c r="AB75" s="45"/>
      <c r="AC75" s="45"/>
      <c r="AD75" s="45"/>
      <c r="AE75" s="45"/>
      <c r="AF75" s="45"/>
      <c r="AG75" s="45"/>
      <c r="AH75" s="45"/>
      <c r="AI75" s="45"/>
      <c r="AJ75" s="38">
        <f>SUMPRODUCT(AJ$16:AJ$22,AJ67:AJ73)+AJ65</f>
        <v>100.93294094666928</v>
      </c>
      <c r="AK75" s="38">
        <f t="shared" ref="AK75:AQ75" si="4">SUMPRODUCT(AK$16:AK$22,AK67:AK73)+AK65</f>
        <v>101.59312509652722</v>
      </c>
      <c r="AL75" s="38">
        <f t="shared" si="4"/>
        <v>102.57097066948191</v>
      </c>
      <c r="AM75" s="38">
        <f t="shared" si="4"/>
        <v>102.71009719928064</v>
      </c>
      <c r="AN75" s="38">
        <f t="shared" si="4"/>
        <v>101.82602006933702</v>
      </c>
      <c r="AO75" s="38">
        <f t="shared" si="4"/>
        <v>101.75800491732052</v>
      </c>
      <c r="AP75" s="38">
        <f t="shared" si="4"/>
        <v>99.173122404699939</v>
      </c>
      <c r="AQ75" s="38">
        <f t="shared" si="4"/>
        <v>98.682451813896975</v>
      </c>
    </row>
    <row r="76" spans="4:47" s="163" customFormat="1" ht="15" customHeight="1">
      <c r="AR76" s="369"/>
      <c r="AS76" s="369"/>
      <c r="AT76" s="369"/>
      <c r="AU76" s="369"/>
    </row>
    <row r="77" spans="4:47" ht="15" customHeight="1">
      <c r="D77" s="198" t="s">
        <v>143</v>
      </c>
      <c r="E77" s="198"/>
      <c r="F77" s="198"/>
      <c r="G77" s="198"/>
      <c r="H77" s="198"/>
      <c r="I77" s="198"/>
      <c r="J77" s="198"/>
      <c r="K77" s="198"/>
      <c r="L77" s="198"/>
      <c r="M77" s="198"/>
      <c r="N77" s="198"/>
      <c r="O77" s="198"/>
      <c r="P77" s="198"/>
      <c r="Q77" s="198"/>
      <c r="R77" s="198"/>
      <c r="S77" s="198"/>
      <c r="T77" s="198"/>
      <c r="U77" s="198"/>
      <c r="V77" s="198"/>
      <c r="W77" s="198"/>
      <c r="X77" s="198"/>
      <c r="Y77" s="198"/>
      <c r="Z77" s="198"/>
      <c r="AA77" s="198"/>
      <c r="AB77" s="198"/>
      <c r="AC77" s="198"/>
      <c r="AD77" s="198"/>
      <c r="AE77" s="198"/>
      <c r="AF77" s="198"/>
      <c r="AG77" s="198"/>
      <c r="AH77" s="198"/>
      <c r="AI77" s="198"/>
      <c r="AJ77" s="198"/>
      <c r="AK77" s="198"/>
      <c r="AL77" s="198"/>
      <c r="AM77" s="198"/>
      <c r="AN77" s="198"/>
      <c r="AO77" s="198"/>
      <c r="AP77" s="198"/>
      <c r="AQ77" s="198"/>
    </row>
    <row r="78" spans="4:47" ht="15" customHeight="1">
      <c r="E78" s="45"/>
      <c r="F78" s="45"/>
      <c r="G78" s="45"/>
      <c r="H78" s="45"/>
      <c r="I78" s="147"/>
      <c r="J78" s="45"/>
      <c r="K78" s="45"/>
      <c r="L78" s="45"/>
      <c r="M78" s="45"/>
      <c r="N78" s="45"/>
      <c r="O78" s="45"/>
      <c r="P78" s="45"/>
      <c r="Q78" s="45"/>
      <c r="R78" s="45"/>
      <c r="S78" s="45"/>
      <c r="T78" s="45"/>
      <c r="U78" s="45"/>
      <c r="V78" s="45"/>
      <c r="W78" s="45"/>
      <c r="X78" s="45"/>
      <c r="Y78" s="45"/>
      <c r="Z78" s="45"/>
      <c r="AA78" s="45"/>
      <c r="AB78" s="45"/>
      <c r="AC78" s="45"/>
      <c r="AD78" s="45"/>
      <c r="AE78" s="45"/>
      <c r="AF78" s="45"/>
      <c r="AI78" s="147"/>
      <c r="AJ78" s="147"/>
      <c r="AK78" s="147"/>
      <c r="AL78" s="147"/>
      <c r="AM78" s="147"/>
      <c r="AN78" s="147"/>
      <c r="AO78" s="147"/>
      <c r="AP78" s="147"/>
      <c r="AQ78" s="147"/>
    </row>
    <row r="79" spans="4:47" ht="15" customHeight="1">
      <c r="E79" s="111" t="s">
        <v>144</v>
      </c>
      <c r="F79" s="45"/>
      <c r="G79" s="45" t="s">
        <v>49</v>
      </c>
      <c r="H79" s="45"/>
      <c r="I79" s="147"/>
      <c r="J79" s="45"/>
      <c r="K79" s="45"/>
      <c r="L79" s="45"/>
      <c r="M79" s="45"/>
      <c r="N79" s="45"/>
      <c r="O79" s="45"/>
      <c r="P79" s="45"/>
      <c r="Q79" s="45"/>
      <c r="R79" s="45"/>
      <c r="S79" s="45"/>
      <c r="T79" s="45"/>
      <c r="U79" s="45"/>
      <c r="V79" s="45"/>
      <c r="W79" s="45"/>
      <c r="X79" s="45"/>
      <c r="Y79" s="45"/>
      <c r="Z79" s="45"/>
      <c r="AA79" s="45"/>
      <c r="AB79" s="45"/>
      <c r="AC79" s="45"/>
      <c r="AD79" s="45"/>
      <c r="AE79" s="45"/>
      <c r="AF79" s="45"/>
      <c r="AI79" s="147"/>
      <c r="AJ79" s="340">
        <f>Input!AJ415</f>
        <v>1.4153921195464277E-2</v>
      </c>
      <c r="AK79" s="340">
        <f>Input!AK415</f>
        <v>1.4153921195464277E-2</v>
      </c>
      <c r="AL79" s="340">
        <f>Input!AL415</f>
        <v>1.4153921195464277E-2</v>
      </c>
      <c r="AM79" s="340">
        <f>Input!AM415</f>
        <v>1.4153921195464277E-2</v>
      </c>
      <c r="AN79" s="340">
        <f>Input!AN415</f>
        <v>1.4153921195464277E-2</v>
      </c>
      <c r="AO79" s="340">
        <f>Input!AO415</f>
        <v>1.4153921195464277E-2</v>
      </c>
      <c r="AP79" s="340">
        <f>Input!AP415</f>
        <v>1.4153921195464277E-2</v>
      </c>
      <c r="AQ79" s="340">
        <f>Input!AQ415</f>
        <v>1.4153921195464277E-2</v>
      </c>
    </row>
    <row r="80" spans="4:47" ht="15" customHeight="1">
      <c r="E80" s="149" t="s">
        <v>665</v>
      </c>
      <c r="F80" s="45"/>
      <c r="G80" s="45" t="s">
        <v>49</v>
      </c>
      <c r="H80" s="45"/>
      <c r="I80" s="147"/>
      <c r="J80" s="45"/>
      <c r="K80" s="45"/>
      <c r="L80" s="45"/>
      <c r="M80" s="45"/>
      <c r="N80" s="45"/>
      <c r="O80" s="45"/>
      <c r="P80" s="45"/>
      <c r="Q80" s="45"/>
      <c r="R80" s="45"/>
      <c r="S80" s="45"/>
      <c r="T80" s="45"/>
      <c r="U80" s="45"/>
      <c r="V80" s="45"/>
      <c r="W80" s="45"/>
      <c r="X80" s="45"/>
      <c r="Y80" s="45"/>
      <c r="Z80" s="45"/>
      <c r="AA80" s="45"/>
      <c r="AB80" s="45"/>
      <c r="AC80" s="45"/>
      <c r="AD80" s="45"/>
      <c r="AE80" s="45"/>
      <c r="AF80" s="45"/>
      <c r="AI80" s="147"/>
      <c r="AJ80" s="340">
        <f>Input!AJ416</f>
        <v>4.6182494796825242E-2</v>
      </c>
      <c r="AK80" s="340">
        <f>Input!AK416</f>
        <v>4.6182494796825242E-2</v>
      </c>
      <c r="AL80" s="340">
        <f>Input!AL416</f>
        <v>4.6182494796825242E-2</v>
      </c>
      <c r="AM80" s="340">
        <f>Input!AM416</f>
        <v>4.6182494796825242E-2</v>
      </c>
      <c r="AN80" s="340">
        <f>Input!AN416</f>
        <v>4.6182494796825242E-2</v>
      </c>
      <c r="AO80" s="340">
        <f>Input!AO416</f>
        <v>4.6182494796825242E-2</v>
      </c>
      <c r="AP80" s="340">
        <f>Input!AP416</f>
        <v>4.6182494796825242E-2</v>
      </c>
      <c r="AQ80" s="340">
        <f>Input!AQ416</f>
        <v>4.6182494796825242E-2</v>
      </c>
    </row>
    <row r="81" spans="2:72" ht="15" customHeight="1">
      <c r="E81" s="111" t="s">
        <v>145</v>
      </c>
      <c r="F81" s="45"/>
      <c r="G81" s="45" t="s">
        <v>49</v>
      </c>
      <c r="H81" s="45"/>
      <c r="I81" s="147"/>
      <c r="J81" s="45"/>
      <c r="K81" s="45"/>
      <c r="L81" s="45"/>
      <c r="M81" s="45"/>
      <c r="N81" s="45"/>
      <c r="O81" s="45"/>
      <c r="P81" s="45"/>
      <c r="Q81" s="45"/>
      <c r="R81" s="45"/>
      <c r="S81" s="45"/>
      <c r="T81" s="45"/>
      <c r="U81" s="45"/>
      <c r="V81" s="45"/>
      <c r="W81" s="45"/>
      <c r="X81" s="45"/>
      <c r="Y81" s="45"/>
      <c r="Z81" s="45"/>
      <c r="AA81" s="45"/>
      <c r="AB81" s="45"/>
      <c r="AC81" s="45"/>
      <c r="AD81" s="45"/>
      <c r="AE81" s="45"/>
      <c r="AF81" s="45"/>
      <c r="AI81" s="147"/>
      <c r="AJ81" s="340">
        <f>Input!AJ417</f>
        <v>0.10662894601377962</v>
      </c>
      <c r="AK81" s="340">
        <f>Input!AK417</f>
        <v>0.10662894601377962</v>
      </c>
      <c r="AL81" s="340">
        <f>Input!AL417</f>
        <v>0.10662894601377962</v>
      </c>
      <c r="AM81" s="340">
        <f>Input!AM417</f>
        <v>0.10662894601377962</v>
      </c>
      <c r="AN81" s="340">
        <f>Input!AN417</f>
        <v>0.10662894601377962</v>
      </c>
      <c r="AO81" s="340">
        <f>Input!AO417</f>
        <v>0.10662894601377962</v>
      </c>
      <c r="AP81" s="340">
        <f>Input!AP417</f>
        <v>0.10662894601377962</v>
      </c>
      <c r="AQ81" s="340">
        <f>Input!AQ417</f>
        <v>0.10662894601377962</v>
      </c>
    </row>
    <row r="82" spans="2:72" ht="15" customHeight="1">
      <c r="E82" s="149" t="s">
        <v>706</v>
      </c>
      <c r="F82" s="45"/>
      <c r="G82" s="45" t="s">
        <v>49</v>
      </c>
      <c r="H82" s="45"/>
      <c r="I82" s="147"/>
      <c r="J82" s="45"/>
      <c r="K82" s="45"/>
      <c r="L82" s="45"/>
      <c r="M82" s="45"/>
      <c r="N82" s="45"/>
      <c r="O82" s="45"/>
      <c r="P82" s="45"/>
      <c r="Q82" s="45"/>
      <c r="R82" s="45"/>
      <c r="S82" s="45"/>
      <c r="T82" s="45"/>
      <c r="U82" s="45"/>
      <c r="V82" s="45"/>
      <c r="W82" s="45"/>
      <c r="X82" s="45"/>
      <c r="Y82" s="45"/>
      <c r="Z82" s="45"/>
      <c r="AA82" s="45"/>
      <c r="AB82" s="45"/>
      <c r="AC82" s="45"/>
      <c r="AD82" s="45"/>
      <c r="AE82" s="45"/>
      <c r="AF82" s="45"/>
      <c r="AI82" s="147"/>
      <c r="AJ82" s="340">
        <f>Input!AJ418</f>
        <v>3.0635716288533125E-4</v>
      </c>
      <c r="AK82" s="340">
        <f>Input!AK418</f>
        <v>3.0635716288533125E-4</v>
      </c>
      <c r="AL82" s="340">
        <f>Input!AL418</f>
        <v>3.0635716288533125E-4</v>
      </c>
      <c r="AM82" s="340">
        <f>Input!AM418</f>
        <v>3.0635716288533125E-4</v>
      </c>
      <c r="AN82" s="340">
        <f>Input!AN418</f>
        <v>3.0635716288533125E-4</v>
      </c>
      <c r="AO82" s="340">
        <f>Input!AO418</f>
        <v>3.0635716288533125E-4</v>
      </c>
      <c r="AP82" s="340">
        <f>Input!AP418</f>
        <v>3.0635716288533125E-4</v>
      </c>
      <c r="AQ82" s="340">
        <f>Input!AQ418</f>
        <v>3.0635716288533125E-4</v>
      </c>
    </row>
    <row r="83" spans="2:72" s="498" customFormat="1" ht="15" customHeight="1">
      <c r="E83" s="412" t="s">
        <v>992</v>
      </c>
      <c r="G83" s="45" t="s">
        <v>49</v>
      </c>
      <c r="H83" s="45"/>
      <c r="I83" s="147"/>
      <c r="J83" s="45"/>
      <c r="K83" s="45"/>
      <c r="L83" s="45"/>
      <c r="M83" s="45"/>
      <c r="N83" s="45"/>
      <c r="O83" s="45"/>
      <c r="P83" s="45"/>
      <c r="Q83" s="45"/>
      <c r="R83" s="45"/>
      <c r="S83" s="45"/>
      <c r="T83" s="45"/>
      <c r="U83" s="45"/>
      <c r="V83" s="45"/>
      <c r="W83" s="45"/>
      <c r="X83" s="45"/>
      <c r="Y83" s="45"/>
      <c r="Z83" s="45"/>
      <c r="AA83" s="45"/>
      <c r="AB83" s="45"/>
      <c r="AC83" s="45"/>
      <c r="AD83" s="45"/>
      <c r="AE83" s="45"/>
      <c r="AF83" s="45"/>
      <c r="AI83" s="147"/>
      <c r="AJ83" s="340">
        <f>Input!AJ419</f>
        <v>0</v>
      </c>
      <c r="AK83" s="340">
        <f>Input!AK419</f>
        <v>0</v>
      </c>
      <c r="AL83" s="340">
        <f>Input!AL419</f>
        <v>0</v>
      </c>
      <c r="AM83" s="340">
        <f>Input!AM419</f>
        <v>0</v>
      </c>
      <c r="AN83" s="340">
        <f>Input!AN419</f>
        <v>0</v>
      </c>
      <c r="AO83" s="340">
        <f>Input!AO419</f>
        <v>0</v>
      </c>
      <c r="AP83" s="340">
        <f>Input!AP419</f>
        <v>0</v>
      </c>
      <c r="AQ83" s="340">
        <f>Input!AQ419</f>
        <v>0</v>
      </c>
    </row>
    <row r="84" spans="2:72" ht="15" customHeight="1">
      <c r="E84" s="498" t="s">
        <v>922</v>
      </c>
      <c r="F84" s="45"/>
      <c r="G84" s="45" t="s">
        <v>49</v>
      </c>
      <c r="H84" s="45"/>
      <c r="I84" s="147"/>
      <c r="J84" s="45"/>
      <c r="K84" s="45"/>
      <c r="L84" s="45"/>
      <c r="M84" s="45"/>
      <c r="N84" s="45"/>
      <c r="O84" s="45"/>
      <c r="P84" s="45"/>
      <c r="Q84" s="45"/>
      <c r="R84" s="45"/>
      <c r="S84" s="45"/>
      <c r="T84" s="45"/>
      <c r="U84" s="45"/>
      <c r="V84" s="45"/>
      <c r="W84" s="45"/>
      <c r="X84" s="45"/>
      <c r="Y84" s="45"/>
      <c r="Z84" s="45"/>
      <c r="AA84" s="45"/>
      <c r="AB84" s="45"/>
      <c r="AC84" s="45"/>
      <c r="AD84" s="45"/>
      <c r="AE84" s="45"/>
      <c r="AF84" s="45"/>
      <c r="AI84" s="147"/>
      <c r="AJ84" s="340">
        <f>Input!AJ420</f>
        <v>0</v>
      </c>
      <c r="AK84" s="340">
        <f>Input!AK420</f>
        <v>0</v>
      </c>
      <c r="AL84" s="340">
        <f>Input!AL420</f>
        <v>0</v>
      </c>
      <c r="AM84" s="340">
        <f>Input!AM420</f>
        <v>0</v>
      </c>
      <c r="AN84" s="340">
        <f>Input!AN420</f>
        <v>0</v>
      </c>
      <c r="AO84" s="340">
        <f>Input!AO420</f>
        <v>0</v>
      </c>
      <c r="AP84" s="340">
        <f>Input!AP420</f>
        <v>0</v>
      </c>
      <c r="AQ84" s="340">
        <f>Input!AQ420</f>
        <v>0</v>
      </c>
    </row>
    <row r="85" spans="2:72" ht="15" customHeight="1">
      <c r="E85" s="156" t="s">
        <v>796</v>
      </c>
      <c r="F85" s="45"/>
      <c r="G85" s="45" t="s">
        <v>49</v>
      </c>
      <c r="H85" s="45"/>
      <c r="I85" s="147"/>
      <c r="J85" s="45"/>
      <c r="K85" s="45"/>
      <c r="L85" s="45"/>
      <c r="M85" s="45"/>
      <c r="N85" s="45"/>
      <c r="O85" s="45"/>
      <c r="P85" s="45"/>
      <c r="Q85" s="45"/>
      <c r="R85" s="45"/>
      <c r="S85" s="45"/>
      <c r="T85" s="45"/>
      <c r="U85" s="45"/>
      <c r="V85" s="45"/>
      <c r="W85" s="45"/>
      <c r="X85" s="45"/>
      <c r="Y85" s="45"/>
      <c r="Z85" s="45"/>
      <c r="AA85" s="45"/>
      <c r="AB85" s="45"/>
      <c r="AC85" s="45"/>
      <c r="AD85" s="45"/>
      <c r="AE85" s="45"/>
      <c r="AF85" s="45"/>
      <c r="AI85" s="147"/>
      <c r="AJ85" s="340">
        <f>Input!AJ421</f>
        <v>0</v>
      </c>
      <c r="AK85" s="340">
        <f>Input!AK421</f>
        <v>0</v>
      </c>
      <c r="AL85" s="340">
        <f>Input!AL421</f>
        <v>0</v>
      </c>
      <c r="AM85" s="340">
        <f>Input!AM421</f>
        <v>0</v>
      </c>
      <c r="AN85" s="340">
        <f>Input!AN421</f>
        <v>0</v>
      </c>
      <c r="AO85" s="340">
        <f>Input!AO421</f>
        <v>0</v>
      </c>
      <c r="AP85" s="340">
        <f>Input!AP421</f>
        <v>0</v>
      </c>
      <c r="AQ85" s="340">
        <f>Input!AQ421</f>
        <v>0</v>
      </c>
    </row>
    <row r="86" spans="2:72" ht="15" customHeight="1">
      <c r="E86" s="147"/>
      <c r="F86" s="45"/>
      <c r="G86" s="45"/>
      <c r="H86" s="45"/>
      <c r="I86" s="147"/>
      <c r="J86" s="45"/>
      <c r="K86" s="45"/>
      <c r="L86" s="45"/>
      <c r="M86" s="45"/>
      <c r="N86" s="45"/>
      <c r="O86" s="45"/>
      <c r="P86" s="45"/>
      <c r="Q86" s="45"/>
      <c r="R86" s="45"/>
      <c r="S86" s="45"/>
      <c r="T86" s="45"/>
      <c r="U86" s="45"/>
      <c r="V86" s="45"/>
      <c r="W86" s="45"/>
      <c r="X86" s="45"/>
      <c r="Y86" s="45"/>
      <c r="Z86" s="45"/>
      <c r="AA86" s="45"/>
      <c r="AB86" s="45"/>
      <c r="AC86" s="45"/>
      <c r="AD86" s="45"/>
      <c r="AE86" s="45"/>
      <c r="AF86" s="45"/>
      <c r="AI86" s="147"/>
      <c r="AJ86" s="147"/>
      <c r="AK86" s="147"/>
      <c r="AL86" s="147"/>
      <c r="AM86" s="147"/>
      <c r="AN86" s="147"/>
      <c r="AO86" s="147"/>
      <c r="AP86" s="147"/>
      <c r="AQ86" s="147"/>
    </row>
    <row r="87" spans="2:72" ht="15" customHeight="1">
      <c r="E87" s="35" t="s">
        <v>143</v>
      </c>
      <c r="F87" s="45"/>
      <c r="G87" s="147" t="s">
        <v>844</v>
      </c>
      <c r="H87" s="45"/>
      <c r="I87" s="45"/>
      <c r="J87" s="45"/>
      <c r="K87" s="45"/>
      <c r="L87" s="45"/>
      <c r="M87" s="45"/>
      <c r="N87" s="45"/>
      <c r="O87" s="45"/>
      <c r="P87" s="45"/>
      <c r="Q87" s="45"/>
      <c r="R87" s="45"/>
      <c r="S87" s="45"/>
      <c r="T87" s="45"/>
      <c r="U87" s="45"/>
      <c r="V87" s="45"/>
      <c r="W87" s="45"/>
      <c r="X87" s="45"/>
      <c r="Y87" s="45"/>
      <c r="Z87" s="45"/>
      <c r="AA87" s="45"/>
      <c r="AB87" s="45"/>
      <c r="AC87" s="45"/>
      <c r="AD87" s="45"/>
      <c r="AE87" s="45"/>
      <c r="AF87" s="45"/>
      <c r="AG87" s="45"/>
      <c r="AH87" s="45"/>
      <c r="AI87" s="45"/>
      <c r="AJ87" s="38">
        <f>SUMPRODUCT(AJ$16:AJ$22,AJ79:AJ85)</f>
        <v>4.9217911650381465</v>
      </c>
      <c r="AK87" s="38">
        <f t="shared" ref="AK87:AQ87" si="5">SUMPRODUCT(AK$16:AK$22,AK79:AK85)</f>
        <v>5.938269381489742</v>
      </c>
      <c r="AL87" s="38">
        <f t="shared" si="5"/>
        <v>5.51596442634568</v>
      </c>
      <c r="AM87" s="38">
        <f t="shared" si="5"/>
        <v>5.3873073758683718</v>
      </c>
      <c r="AN87" s="38">
        <f t="shared" si="5"/>
        <v>5.2800202123187692</v>
      </c>
      <c r="AO87" s="38">
        <f t="shared" si="5"/>
        <v>4.9442127490476766</v>
      </c>
      <c r="AP87" s="38">
        <f t="shared" si="5"/>
        <v>4.9289918530250683</v>
      </c>
      <c r="AQ87" s="38">
        <f t="shared" si="5"/>
        <v>4.6647456405747505</v>
      </c>
    </row>
    <row r="88" spans="2:72" s="163" customFormat="1" ht="15" customHeight="1">
      <c r="AR88" s="369"/>
      <c r="AS88" s="369"/>
      <c r="AT88" s="369"/>
      <c r="AU88" s="369"/>
    </row>
    <row r="89" spans="2:72" s="195" customFormat="1" ht="15" customHeight="1">
      <c r="B89" s="334" t="s">
        <v>3</v>
      </c>
      <c r="C89" s="334"/>
      <c r="D89" s="334"/>
      <c r="E89" s="334"/>
      <c r="F89" s="334"/>
      <c r="G89" s="334"/>
      <c r="H89" s="334"/>
      <c r="I89" s="334"/>
      <c r="J89" s="334"/>
      <c r="K89" s="334"/>
      <c r="L89" s="334"/>
      <c r="M89" s="334"/>
      <c r="N89" s="334"/>
      <c r="O89" s="334"/>
      <c r="P89" s="334"/>
      <c r="Q89" s="334"/>
      <c r="R89" s="334"/>
      <c r="S89" s="334"/>
      <c r="T89" s="334"/>
      <c r="U89" s="334"/>
      <c r="V89" s="334"/>
      <c r="W89" s="334"/>
      <c r="X89" s="334"/>
      <c r="Y89" s="334"/>
      <c r="Z89" s="334"/>
      <c r="AA89" s="334"/>
      <c r="AB89" s="334"/>
      <c r="AC89" s="334"/>
      <c r="AD89" s="334"/>
      <c r="AE89" s="334"/>
      <c r="AF89" s="334"/>
      <c r="AG89" s="334"/>
      <c r="AH89" s="334"/>
      <c r="AI89" s="334"/>
      <c r="AJ89" s="334"/>
      <c r="AK89" s="334"/>
      <c r="AL89" s="334"/>
      <c r="AM89" s="334"/>
      <c r="AN89" s="334"/>
      <c r="AO89" s="334"/>
      <c r="AP89" s="334"/>
      <c r="AQ89" s="334"/>
      <c r="AR89" s="157"/>
      <c r="AS89" s="157"/>
    </row>
    <row r="90" spans="2:72" s="195" customFormat="1" ht="15" customHeight="1">
      <c r="B90" s="197" t="s">
        <v>487</v>
      </c>
      <c r="C90" s="197"/>
      <c r="D90" s="197"/>
      <c r="E90" s="197"/>
      <c r="F90" s="197"/>
      <c r="G90" s="197"/>
      <c r="H90" s="197"/>
      <c r="I90" s="197"/>
      <c r="J90" s="197"/>
      <c r="K90" s="197"/>
      <c r="L90" s="197"/>
      <c r="M90" s="197"/>
      <c r="N90" s="197"/>
      <c r="O90" s="197"/>
      <c r="P90" s="197"/>
      <c r="Q90" s="197"/>
      <c r="R90" s="197"/>
      <c r="S90" s="197"/>
      <c r="T90" s="197"/>
      <c r="U90" s="197"/>
      <c r="V90" s="197"/>
      <c r="W90" s="197"/>
      <c r="X90" s="197"/>
      <c r="Y90" s="197"/>
      <c r="Z90" s="197"/>
      <c r="AA90" s="197"/>
      <c r="AB90" s="197"/>
      <c r="AC90" s="197"/>
      <c r="AD90" s="197"/>
      <c r="AE90" s="197"/>
      <c r="AF90" s="197"/>
      <c r="AG90" s="197"/>
      <c r="AH90" s="197"/>
      <c r="AI90" s="197"/>
      <c r="AJ90" s="197"/>
      <c r="AK90" s="197"/>
      <c r="AL90" s="197"/>
      <c r="AM90" s="197"/>
      <c r="AN90" s="197"/>
      <c r="AO90" s="197"/>
      <c r="AP90" s="197"/>
      <c r="AQ90" s="197"/>
      <c r="AR90" s="157"/>
      <c r="AS90" s="157"/>
    </row>
    <row r="91" spans="2:72" s="195" customFormat="1" ht="15" customHeight="1">
      <c r="J91" s="157"/>
      <c r="K91" s="157"/>
      <c r="L91" s="157"/>
      <c r="M91" s="157"/>
      <c r="N91" s="157"/>
      <c r="O91" s="157"/>
      <c r="P91" s="157"/>
      <c r="Q91" s="157"/>
      <c r="R91" s="157"/>
      <c r="S91" s="157"/>
      <c r="T91" s="157"/>
      <c r="U91" s="157"/>
      <c r="V91" s="157"/>
      <c r="W91" s="157"/>
      <c r="X91" s="157"/>
      <c r="Y91" s="157"/>
      <c r="Z91" s="157"/>
      <c r="AA91" s="157"/>
      <c r="AB91" s="157"/>
      <c r="AC91" s="157"/>
      <c r="AD91" s="157"/>
      <c r="AE91" s="157"/>
      <c r="AF91" s="157"/>
      <c r="AG91" s="157"/>
      <c r="AH91" s="157"/>
      <c r="AI91" s="157"/>
      <c r="AJ91" s="157"/>
      <c r="AK91" s="157"/>
      <c r="AL91" s="157"/>
      <c r="AM91" s="157"/>
      <c r="AN91" s="157"/>
      <c r="AO91" s="157"/>
      <c r="AP91" s="157"/>
      <c r="AQ91" s="157"/>
      <c r="AR91" s="157"/>
      <c r="AS91" s="157"/>
    </row>
    <row r="92" spans="2:72" s="195" customFormat="1" ht="15" customHeight="1">
      <c r="C92" s="332" t="s">
        <v>30</v>
      </c>
      <c r="D92" s="332"/>
      <c r="E92" s="332"/>
      <c r="F92" s="332"/>
      <c r="G92" s="332"/>
      <c r="H92" s="332"/>
      <c r="I92" s="332"/>
      <c r="J92" s="332"/>
      <c r="K92" s="332"/>
      <c r="L92" s="332"/>
      <c r="M92" s="332"/>
      <c r="N92" s="332"/>
      <c r="O92" s="332"/>
      <c r="P92" s="332"/>
      <c r="Q92" s="332"/>
      <c r="R92" s="332"/>
      <c r="S92" s="332"/>
      <c r="T92" s="332"/>
      <c r="U92" s="332"/>
      <c r="V92" s="332"/>
      <c r="W92" s="332"/>
      <c r="X92" s="332"/>
      <c r="Y92" s="332"/>
      <c r="Z92" s="332"/>
      <c r="AA92" s="332"/>
      <c r="AB92" s="332"/>
      <c r="AC92" s="332"/>
      <c r="AD92" s="332"/>
      <c r="AE92" s="332"/>
      <c r="AF92" s="332"/>
      <c r="AG92" s="332"/>
      <c r="AH92" s="332"/>
      <c r="AI92" s="332"/>
      <c r="AJ92" s="332"/>
      <c r="AK92" s="332"/>
      <c r="AL92" s="332"/>
      <c r="AM92" s="332"/>
      <c r="AN92" s="332"/>
      <c r="AO92" s="332"/>
      <c r="AP92" s="332"/>
      <c r="AQ92" s="332"/>
      <c r="AR92" s="157"/>
      <c r="AS92" s="157"/>
    </row>
    <row r="93" spans="2:72" s="195" customFormat="1" ht="15" customHeight="1">
      <c r="J93" s="157"/>
      <c r="K93" s="157"/>
      <c r="L93" s="157"/>
      <c r="M93" s="157"/>
      <c r="N93" s="157"/>
      <c r="O93" s="157"/>
      <c r="P93" s="157"/>
      <c r="Q93" s="157"/>
      <c r="R93" s="157"/>
      <c r="S93" s="157"/>
      <c r="T93" s="157"/>
      <c r="U93" s="157"/>
      <c r="V93" s="157"/>
      <c r="W93" s="157"/>
      <c r="X93" s="157"/>
      <c r="Y93" s="157"/>
      <c r="Z93" s="157"/>
      <c r="AA93" s="157"/>
      <c r="AB93" s="157"/>
      <c r="AC93" s="157"/>
      <c r="AD93" s="157"/>
      <c r="AE93" s="157"/>
      <c r="AF93" s="157"/>
      <c r="AG93" s="157"/>
      <c r="AH93" s="157"/>
      <c r="AI93" s="157"/>
      <c r="AJ93" s="157"/>
      <c r="AK93" s="157"/>
      <c r="AL93" s="157"/>
      <c r="AM93" s="157"/>
      <c r="AN93" s="157"/>
      <c r="AO93" s="157"/>
      <c r="AP93" s="157"/>
      <c r="AQ93" s="157"/>
      <c r="AR93" s="157"/>
      <c r="AS93" s="157"/>
    </row>
    <row r="94" spans="2:72" s="195" customFormat="1" ht="15" customHeight="1">
      <c r="E94" s="195" t="s">
        <v>26</v>
      </c>
      <c r="G94" s="195" t="s">
        <v>49</v>
      </c>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239">
        <f>TaxTrigger!AJ108</f>
        <v>0.18000000000000002</v>
      </c>
      <c r="AK94" s="239">
        <f>TaxTrigger!AK108</f>
        <v>0.18000000000000002</v>
      </c>
      <c r="AL94" s="239">
        <f>TaxTrigger!AL108</f>
        <v>0.18000000000000002</v>
      </c>
      <c r="AM94" s="239">
        <f>TaxTrigger!AM108</f>
        <v>0.18000000000000002</v>
      </c>
      <c r="AN94" s="239">
        <f>TaxTrigger!AN108</f>
        <v>0.18000000000000002</v>
      </c>
      <c r="AO94" s="239">
        <f>TaxTrigger!AO108</f>
        <v>0.18000000000000002</v>
      </c>
      <c r="AP94" s="239">
        <f>TaxTrigger!AP108</f>
        <v>0.18000000000000002</v>
      </c>
      <c r="AQ94" s="239">
        <f>TaxTrigger!AQ108</f>
        <v>0.18000000000000002</v>
      </c>
      <c r="AR94" s="157"/>
      <c r="AS94" s="157"/>
    </row>
    <row r="95" spans="2:72" s="195" customFormat="1" ht="15" customHeight="1">
      <c r="J95" s="157"/>
      <c r="K95" s="157"/>
      <c r="L95" s="157"/>
      <c r="M95" s="157"/>
      <c r="N95" s="157"/>
      <c r="O95" s="157"/>
      <c r="P95" s="157"/>
      <c r="Q95" s="157"/>
      <c r="R95" s="157"/>
      <c r="S95" s="157"/>
      <c r="T95" s="157"/>
      <c r="U95" s="157"/>
      <c r="V95" s="157"/>
      <c r="W95" s="157"/>
      <c r="X95" s="157"/>
      <c r="Y95" s="157"/>
      <c r="Z95" s="157"/>
      <c r="AA95" s="157"/>
      <c r="AB95" s="157"/>
      <c r="AC95" s="157"/>
      <c r="AD95" s="157"/>
      <c r="AE95" s="157"/>
      <c r="AF95" s="157"/>
      <c r="AG95" s="157"/>
      <c r="AH95" s="157"/>
      <c r="AI95" s="157"/>
      <c r="AJ95" s="157"/>
      <c r="AK95" s="157"/>
      <c r="AL95" s="157"/>
      <c r="AM95" s="157"/>
      <c r="AN95" s="157"/>
      <c r="AO95" s="157"/>
      <c r="AP95" s="157"/>
      <c r="AQ95" s="157"/>
      <c r="AR95" s="157"/>
      <c r="AS95" s="157"/>
    </row>
    <row r="96" spans="2:72" s="195" customFormat="1" ht="15" customHeight="1">
      <c r="E96" s="195" t="s">
        <v>72</v>
      </c>
      <c r="G96" s="195" t="s">
        <v>27</v>
      </c>
      <c r="J96" s="157"/>
      <c r="K96" s="157"/>
      <c r="L96" s="157"/>
      <c r="M96" s="157"/>
      <c r="N96" s="157"/>
      <c r="O96" s="157"/>
      <c r="P96" s="157"/>
      <c r="Q96" s="157"/>
      <c r="R96" s="157"/>
      <c r="S96" s="157"/>
      <c r="T96" s="157"/>
      <c r="U96" s="157"/>
      <c r="V96" s="157"/>
      <c r="W96" s="157"/>
      <c r="X96" s="157"/>
      <c r="Y96" s="157"/>
      <c r="Z96" s="157"/>
      <c r="AA96" s="157"/>
      <c r="AB96" s="157"/>
      <c r="AC96" s="157"/>
      <c r="AD96" s="157"/>
      <c r="AE96" s="157"/>
      <c r="AF96" s="157"/>
      <c r="AG96" s="157"/>
      <c r="AH96" s="157"/>
      <c r="AI96" s="157"/>
      <c r="AJ96" s="42">
        <f>SUM(Input!AH351:AH353,Input!AI352:AI353)</f>
        <v>47.776159738330861</v>
      </c>
      <c r="AK96" s="157">
        <f t="shared" ref="AK96:AQ96" si="6">AJ100</f>
        <v>46.928239471876054</v>
      </c>
      <c r="AL96" s="157">
        <f t="shared" si="6"/>
        <v>49.040698731100377</v>
      </c>
      <c r="AM96" s="157">
        <f t="shared" si="6"/>
        <v>49.831983631428223</v>
      </c>
      <c r="AN96" s="157">
        <f t="shared" si="6"/>
        <v>50.223718441694714</v>
      </c>
      <c r="AO96" s="157">
        <f t="shared" si="6"/>
        <v>50.932242190360988</v>
      </c>
      <c r="AP96" s="157">
        <f t="shared" si="6"/>
        <v>51.047807202565224</v>
      </c>
      <c r="AQ96" s="157">
        <f t="shared" si="6"/>
        <v>52.597342087414226</v>
      </c>
      <c r="AR96" s="157"/>
      <c r="AS96" s="157"/>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c r="BP96" s="112"/>
      <c r="BQ96" s="112"/>
      <c r="BR96" s="112"/>
      <c r="BS96" s="112"/>
      <c r="BT96" s="112"/>
    </row>
    <row r="97" spans="3:72" s="195" customFormat="1" ht="15" customHeight="1">
      <c r="E97" s="195" t="s">
        <v>74</v>
      </c>
      <c r="G97" s="195" t="s">
        <v>27</v>
      </c>
      <c r="J97" s="157"/>
      <c r="K97" s="157"/>
      <c r="L97" s="157"/>
      <c r="M97" s="157"/>
      <c r="N97" s="157"/>
      <c r="O97" s="157"/>
      <c r="P97" s="157"/>
      <c r="Q97" s="157"/>
      <c r="R97" s="157"/>
      <c r="S97" s="157"/>
      <c r="T97" s="157"/>
      <c r="U97" s="157"/>
      <c r="V97" s="157"/>
      <c r="W97" s="157"/>
      <c r="X97" s="157"/>
      <c r="Y97" s="157"/>
      <c r="Z97" s="157"/>
      <c r="AA97" s="157"/>
      <c r="AB97" s="157"/>
      <c r="AC97" s="157"/>
      <c r="AD97" s="157"/>
      <c r="AE97" s="157"/>
      <c r="AF97" s="157"/>
      <c r="AG97" s="157"/>
      <c r="AH97" s="157"/>
      <c r="AI97" s="157"/>
      <c r="AJ97" s="157">
        <f>AJ37*Input!AJ$57/Input!$AG$57</f>
        <v>9.4534005932253038</v>
      </c>
      <c r="AK97" s="157">
        <f>AK37*Input!AK$57/Input!$AG$57</f>
        <v>12.877490688002453</v>
      </c>
      <c r="AL97" s="157">
        <f>AL37*Input!AL$57/Input!$AG$57</f>
        <v>11.730013014543799</v>
      </c>
      <c r="AM97" s="157">
        <f>AM37*Input!AM$57/Input!$AG$57</f>
        <v>11.416453492589726</v>
      </c>
      <c r="AN97" s="157">
        <f>AN37*Input!AN$57/Input!$AG$57</f>
        <v>11.888772034355268</v>
      </c>
      <c r="AO97" s="157">
        <f>AO37*Input!AO$57/Input!$AG$57</f>
        <v>11.32118122740148</v>
      </c>
      <c r="AP97" s="157">
        <f>AP37*Input!AP$57/Input!$AG$57</f>
        <v>13.095292904037489</v>
      </c>
      <c r="AQ97" s="157">
        <f>AQ37*Input!AQ$57/Input!$AG$57</f>
        <v>12.410207399017814</v>
      </c>
      <c r="AR97" s="157"/>
      <c r="AS97" s="157"/>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c r="BP97" s="112"/>
      <c r="BQ97" s="112"/>
      <c r="BR97" s="112"/>
      <c r="BS97" s="112"/>
      <c r="BT97" s="112"/>
    </row>
    <row r="98" spans="3:72" s="195" customFormat="1" ht="15" customHeight="1">
      <c r="E98" s="195" t="s">
        <v>75</v>
      </c>
      <c r="G98" s="195" t="s">
        <v>27</v>
      </c>
      <c r="J98" s="157"/>
      <c r="K98" s="157"/>
      <c r="L98" s="157"/>
      <c r="M98" s="157"/>
      <c r="N98" s="157"/>
      <c r="O98" s="157"/>
      <c r="P98" s="157"/>
      <c r="Q98" s="157"/>
      <c r="R98" s="157"/>
      <c r="S98" s="157"/>
      <c r="T98" s="157"/>
      <c r="U98" s="157"/>
      <c r="V98" s="157"/>
      <c r="W98" s="157"/>
      <c r="X98" s="157"/>
      <c r="Y98" s="157"/>
      <c r="Z98" s="157"/>
      <c r="AA98" s="157"/>
      <c r="AB98" s="157"/>
      <c r="AC98" s="157"/>
      <c r="AD98" s="157"/>
      <c r="AE98" s="157"/>
      <c r="AF98" s="157"/>
      <c r="AG98" s="157"/>
      <c r="AH98" s="157"/>
      <c r="AI98" s="157"/>
      <c r="AJ98" s="34">
        <f t="shared" ref="AJ98:AQ98" si="7">SUM(AJ96:AJ97)</f>
        <v>57.229560331556165</v>
      </c>
      <c r="AK98" s="34">
        <f t="shared" si="7"/>
        <v>59.805730159878507</v>
      </c>
      <c r="AL98" s="34">
        <f t="shared" si="7"/>
        <v>60.770711745644178</v>
      </c>
      <c r="AM98" s="34">
        <f t="shared" si="7"/>
        <v>61.248437124017947</v>
      </c>
      <c r="AN98" s="34">
        <f t="shared" si="7"/>
        <v>62.112490476049985</v>
      </c>
      <c r="AO98" s="34">
        <f t="shared" si="7"/>
        <v>62.25342341776247</v>
      </c>
      <c r="AP98" s="34">
        <f t="shared" si="7"/>
        <v>64.143100106602716</v>
      </c>
      <c r="AQ98" s="34">
        <f t="shared" si="7"/>
        <v>65.00754948643204</v>
      </c>
      <c r="AR98" s="157"/>
      <c r="AS98" s="157"/>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c r="BP98" s="112"/>
      <c r="BQ98" s="112"/>
      <c r="BR98" s="112"/>
      <c r="BS98" s="112"/>
      <c r="BT98" s="112"/>
    </row>
    <row r="99" spans="3:72" s="195" customFormat="1" ht="15" customHeight="1">
      <c r="E99" s="195" t="s">
        <v>499</v>
      </c>
      <c r="G99" s="195" t="s">
        <v>27</v>
      </c>
      <c r="J99" s="157"/>
      <c r="K99" s="157"/>
      <c r="L99" s="157"/>
      <c r="M99" s="157"/>
      <c r="N99" s="157"/>
      <c r="O99" s="157"/>
      <c r="P99" s="157"/>
      <c r="Q99" s="157"/>
      <c r="R99" s="157"/>
      <c r="S99" s="157"/>
      <c r="T99" s="157"/>
      <c r="U99" s="157"/>
      <c r="V99" s="157"/>
      <c r="W99" s="157"/>
      <c r="X99" s="157"/>
      <c r="Y99" s="157"/>
      <c r="Z99" s="157"/>
      <c r="AA99" s="157"/>
      <c r="AB99" s="157"/>
      <c r="AC99" s="157"/>
      <c r="AD99" s="157"/>
      <c r="AE99" s="157"/>
      <c r="AF99" s="157"/>
      <c r="AG99" s="157"/>
      <c r="AH99" s="157"/>
      <c r="AI99" s="157"/>
      <c r="AJ99" s="157">
        <f t="shared" ref="AJ99:AQ99" si="8">-AJ98*AJ94</f>
        <v>-10.301320859680111</v>
      </c>
      <c r="AK99" s="157">
        <f t="shared" si="8"/>
        <v>-10.765031428778133</v>
      </c>
      <c r="AL99" s="157">
        <f t="shared" si="8"/>
        <v>-10.938728114215953</v>
      </c>
      <c r="AM99" s="157">
        <f t="shared" si="8"/>
        <v>-11.024718682323233</v>
      </c>
      <c r="AN99" s="157">
        <f t="shared" si="8"/>
        <v>-11.180248285688998</v>
      </c>
      <c r="AO99" s="157">
        <f t="shared" si="8"/>
        <v>-11.205616215197246</v>
      </c>
      <c r="AP99" s="157">
        <f t="shared" si="8"/>
        <v>-11.54575801918849</v>
      </c>
      <c r="AQ99" s="157">
        <f t="shared" si="8"/>
        <v>-11.701358907557768</v>
      </c>
      <c r="AR99" s="157"/>
      <c r="AS99" s="157"/>
      <c r="AT99" s="112"/>
      <c r="AU99" s="112"/>
      <c r="AV99" s="112"/>
      <c r="AW99" s="112"/>
      <c r="AX99" s="112"/>
      <c r="AY99" s="112"/>
      <c r="AZ99" s="112"/>
      <c r="BA99" s="112"/>
      <c r="BB99" s="112"/>
      <c r="BC99" s="112"/>
      <c r="BD99" s="112"/>
      <c r="BE99" s="112"/>
      <c r="BF99" s="112"/>
      <c r="BG99" s="112"/>
      <c r="BH99" s="112"/>
      <c r="BI99" s="112"/>
      <c r="BJ99" s="112"/>
      <c r="BK99" s="112"/>
      <c r="BL99" s="112"/>
      <c r="BM99" s="112"/>
      <c r="BN99" s="112"/>
      <c r="BO99" s="112"/>
      <c r="BP99" s="112"/>
      <c r="BQ99" s="112"/>
      <c r="BR99" s="112"/>
      <c r="BS99" s="112"/>
      <c r="BT99" s="112"/>
    </row>
    <row r="100" spans="3:72" s="195" customFormat="1" ht="15" customHeight="1">
      <c r="E100" s="195" t="s">
        <v>73</v>
      </c>
      <c r="G100" s="195" t="s">
        <v>27</v>
      </c>
      <c r="J100" s="157"/>
      <c r="K100" s="157"/>
      <c r="L100" s="157"/>
      <c r="M100" s="157"/>
      <c r="N100" s="157"/>
      <c r="O100" s="157"/>
      <c r="P100" s="157"/>
      <c r="Q100" s="157"/>
      <c r="R100" s="157"/>
      <c r="S100" s="157"/>
      <c r="T100" s="157"/>
      <c r="U100" s="157"/>
      <c r="V100" s="157"/>
      <c r="W100" s="157"/>
      <c r="X100" s="157"/>
      <c r="Y100" s="157"/>
      <c r="Z100" s="157"/>
      <c r="AA100" s="157"/>
      <c r="AB100" s="157"/>
      <c r="AC100" s="157"/>
      <c r="AD100" s="157"/>
      <c r="AE100" s="157"/>
      <c r="AF100" s="157"/>
      <c r="AG100" s="157"/>
      <c r="AH100" s="157"/>
      <c r="AI100" s="157"/>
      <c r="AJ100" s="26">
        <f t="shared" ref="AJ100:AQ100" si="9">AJ98+AJ99</f>
        <v>46.928239471876054</v>
      </c>
      <c r="AK100" s="26">
        <f t="shared" si="9"/>
        <v>49.040698731100377</v>
      </c>
      <c r="AL100" s="26">
        <f t="shared" si="9"/>
        <v>49.831983631428223</v>
      </c>
      <c r="AM100" s="26">
        <f t="shared" si="9"/>
        <v>50.223718441694714</v>
      </c>
      <c r="AN100" s="26">
        <f t="shared" si="9"/>
        <v>50.932242190360988</v>
      </c>
      <c r="AO100" s="26">
        <f t="shared" si="9"/>
        <v>51.047807202565224</v>
      </c>
      <c r="AP100" s="26">
        <f t="shared" si="9"/>
        <v>52.597342087414226</v>
      </c>
      <c r="AQ100" s="26">
        <f t="shared" si="9"/>
        <v>53.306190578874272</v>
      </c>
      <c r="AR100" s="157"/>
      <c r="AS100" s="157"/>
      <c r="AT100" s="112"/>
      <c r="AU100" s="112"/>
      <c r="AV100" s="112"/>
      <c r="AW100" s="112"/>
      <c r="AX100" s="112"/>
      <c r="AY100" s="112"/>
      <c r="AZ100" s="112"/>
      <c r="BA100" s="112"/>
      <c r="BB100" s="112"/>
      <c r="BC100" s="112"/>
      <c r="BD100" s="112"/>
      <c r="BE100" s="112"/>
      <c r="BF100" s="112"/>
      <c r="BG100" s="112"/>
      <c r="BH100" s="112"/>
      <c r="BI100" s="112"/>
      <c r="BJ100" s="112"/>
      <c r="BK100" s="112"/>
      <c r="BL100" s="112"/>
      <c r="BM100" s="112"/>
      <c r="BN100" s="112"/>
      <c r="BO100" s="112"/>
      <c r="BP100" s="112"/>
      <c r="BQ100" s="112"/>
      <c r="BR100" s="112"/>
      <c r="BS100" s="112"/>
      <c r="BT100" s="112"/>
    </row>
    <row r="101" spans="3:72" s="195" customFormat="1" ht="15" customHeight="1">
      <c r="J101" s="157"/>
      <c r="K101" s="157"/>
      <c r="L101" s="157"/>
      <c r="M101" s="157"/>
      <c r="N101" s="157"/>
      <c r="O101" s="157"/>
      <c r="P101" s="157"/>
      <c r="Q101" s="157"/>
      <c r="R101" s="157"/>
      <c r="S101" s="157"/>
      <c r="T101" s="157"/>
      <c r="U101" s="157"/>
      <c r="V101" s="157"/>
      <c r="W101" s="157"/>
      <c r="X101" s="157"/>
      <c r="Y101" s="157"/>
      <c r="Z101" s="157"/>
      <c r="AA101" s="157"/>
      <c r="AB101" s="157"/>
      <c r="AC101" s="157"/>
      <c r="AD101" s="157"/>
      <c r="AE101" s="157"/>
      <c r="AF101" s="157"/>
      <c r="AG101" s="157"/>
      <c r="AH101" s="157"/>
      <c r="AI101" s="157"/>
      <c r="AJ101" s="157"/>
      <c r="AK101" s="157"/>
      <c r="AL101" s="157"/>
      <c r="AM101" s="157"/>
      <c r="AN101" s="157"/>
      <c r="AO101" s="157"/>
      <c r="AP101" s="157"/>
      <c r="AQ101" s="157"/>
      <c r="AR101" s="157"/>
      <c r="AS101" s="157"/>
    </row>
    <row r="102" spans="3:72" s="195" customFormat="1" ht="15" customHeight="1">
      <c r="C102" s="332" t="s">
        <v>481</v>
      </c>
      <c r="D102" s="332"/>
      <c r="E102" s="332"/>
      <c r="F102" s="332"/>
      <c r="G102" s="332"/>
      <c r="H102" s="332"/>
      <c r="I102" s="332"/>
      <c r="J102" s="332"/>
      <c r="K102" s="332"/>
      <c r="L102" s="332"/>
      <c r="M102" s="332"/>
      <c r="N102" s="332"/>
      <c r="O102" s="332"/>
      <c r="P102" s="332"/>
      <c r="Q102" s="332"/>
      <c r="R102" s="332"/>
      <c r="S102" s="332"/>
      <c r="T102" s="332"/>
      <c r="U102" s="332"/>
      <c r="V102" s="332"/>
      <c r="W102" s="332"/>
      <c r="X102" s="332"/>
      <c r="Y102" s="332"/>
      <c r="Z102" s="332"/>
      <c r="AA102" s="332"/>
      <c r="AB102" s="332"/>
      <c r="AC102" s="332"/>
      <c r="AD102" s="332"/>
      <c r="AE102" s="332"/>
      <c r="AF102" s="332"/>
      <c r="AG102" s="332"/>
      <c r="AH102" s="332"/>
      <c r="AI102" s="332"/>
      <c r="AJ102" s="332"/>
      <c r="AK102" s="332"/>
      <c r="AL102" s="332"/>
      <c r="AM102" s="332"/>
      <c r="AN102" s="332"/>
      <c r="AO102" s="332"/>
      <c r="AP102" s="332"/>
      <c r="AQ102" s="332"/>
      <c r="AR102" s="157"/>
      <c r="AS102" s="157"/>
    </row>
    <row r="103" spans="3:72" s="195" customFormat="1" ht="15" customHeight="1">
      <c r="J103" s="157"/>
      <c r="K103" s="157"/>
      <c r="L103" s="157"/>
      <c r="M103" s="157"/>
      <c r="N103" s="157"/>
      <c r="O103" s="157"/>
      <c r="P103" s="157"/>
      <c r="Q103" s="157"/>
      <c r="R103" s="157"/>
      <c r="S103" s="157"/>
      <c r="T103" s="157"/>
      <c r="U103" s="157"/>
      <c r="V103" s="157"/>
      <c r="W103" s="157"/>
      <c r="X103" s="157"/>
      <c r="Y103" s="157"/>
      <c r="Z103" s="157"/>
      <c r="AA103" s="157"/>
      <c r="AB103" s="157"/>
      <c r="AC103" s="157"/>
      <c r="AD103" s="157"/>
      <c r="AE103" s="157"/>
      <c r="AF103" s="157"/>
      <c r="AG103" s="157"/>
      <c r="AH103" s="157"/>
      <c r="AI103" s="157"/>
      <c r="AJ103" s="157"/>
      <c r="AK103" s="157"/>
      <c r="AL103" s="157"/>
      <c r="AM103" s="157"/>
      <c r="AN103" s="157"/>
      <c r="AO103" s="157"/>
      <c r="AP103" s="157"/>
      <c r="AQ103" s="157"/>
      <c r="AR103" s="157"/>
      <c r="AS103" s="157"/>
    </row>
    <row r="104" spans="3:72" s="195" customFormat="1" ht="15" customHeight="1">
      <c r="E104" s="195" t="s">
        <v>26</v>
      </c>
      <c r="G104" s="195" t="s">
        <v>49</v>
      </c>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239">
        <f>TaxTrigger!AJ118</f>
        <v>0.08</v>
      </c>
      <c r="AK104" s="239">
        <f>TaxTrigger!AK118</f>
        <v>0.08</v>
      </c>
      <c r="AL104" s="239">
        <f>TaxTrigger!AL118</f>
        <v>0.08</v>
      </c>
      <c r="AM104" s="239">
        <f>TaxTrigger!AM118</f>
        <v>0.08</v>
      </c>
      <c r="AN104" s="239">
        <f>TaxTrigger!AN118</f>
        <v>0.08</v>
      </c>
      <c r="AO104" s="239">
        <f>TaxTrigger!AO118</f>
        <v>0.08</v>
      </c>
      <c r="AP104" s="239">
        <f>TaxTrigger!AP118</f>
        <v>0.08</v>
      </c>
      <c r="AQ104" s="239">
        <f>TaxTrigger!AQ118</f>
        <v>0.08</v>
      </c>
      <c r="AR104" s="157"/>
      <c r="AS104" s="157"/>
    </row>
    <row r="105" spans="3:72" s="195" customFormat="1" ht="15" customHeight="1">
      <c r="J105" s="157"/>
      <c r="K105" s="157"/>
      <c r="L105" s="157"/>
      <c r="M105" s="157"/>
      <c r="N105" s="157"/>
      <c r="O105" s="157"/>
      <c r="P105" s="157"/>
      <c r="Q105" s="157"/>
      <c r="R105" s="157"/>
      <c r="S105" s="157"/>
      <c r="T105" s="157"/>
      <c r="U105" s="157"/>
      <c r="V105" s="157"/>
      <c r="W105" s="157"/>
      <c r="X105" s="157"/>
      <c r="Y105" s="157"/>
      <c r="Z105" s="157"/>
      <c r="AA105" s="157"/>
      <c r="AB105" s="157"/>
      <c r="AC105" s="157"/>
      <c r="AD105" s="157"/>
      <c r="AE105" s="157"/>
      <c r="AF105" s="157"/>
      <c r="AG105" s="157"/>
      <c r="AH105" s="157"/>
      <c r="AI105" s="157"/>
      <c r="AJ105" s="157"/>
      <c r="AK105" s="157"/>
      <c r="AL105" s="157"/>
      <c r="AM105" s="157"/>
      <c r="AN105" s="157"/>
      <c r="AO105" s="157"/>
      <c r="AP105" s="157"/>
      <c r="AQ105" s="157"/>
      <c r="AR105" s="157"/>
      <c r="AS105" s="157"/>
    </row>
    <row r="106" spans="3:72" s="195" customFormat="1" ht="15" customHeight="1">
      <c r="E106" s="195" t="s">
        <v>72</v>
      </c>
      <c r="G106" s="195" t="s">
        <v>27</v>
      </c>
      <c r="J106" s="157"/>
      <c r="K106" s="157"/>
      <c r="L106" s="157"/>
      <c r="M106" s="157"/>
      <c r="N106" s="157"/>
      <c r="O106" s="157"/>
      <c r="P106" s="157"/>
      <c r="Q106" s="157"/>
      <c r="R106" s="157"/>
      <c r="S106" s="157"/>
      <c r="T106" s="157"/>
      <c r="U106" s="157"/>
      <c r="V106" s="157"/>
      <c r="W106" s="157"/>
      <c r="X106" s="157"/>
      <c r="Y106" s="157"/>
      <c r="Z106" s="157"/>
      <c r="AA106" s="157"/>
      <c r="AB106" s="157"/>
      <c r="AC106" s="157"/>
      <c r="AD106" s="157"/>
      <c r="AE106" s="157"/>
      <c r="AF106" s="157"/>
      <c r="AG106" s="157"/>
      <c r="AH106" s="157"/>
      <c r="AI106" s="157"/>
      <c r="AJ106" s="42">
        <f>SUM(Input!AH355:AH357,Input!AI356:AI357)</f>
        <v>505.61546405029031</v>
      </c>
      <c r="AK106" s="157">
        <f t="shared" ref="AK106:AQ106" si="10">AJ110</f>
        <v>542.29111419675962</v>
      </c>
      <c r="AL106" s="157">
        <f t="shared" si="10"/>
        <v>591.13865441693486</v>
      </c>
      <c r="AM106" s="157">
        <f t="shared" si="10"/>
        <v>637.88737060166591</v>
      </c>
      <c r="AN106" s="157">
        <f t="shared" si="10"/>
        <v>674.79284012648861</v>
      </c>
      <c r="AO106" s="157">
        <f t="shared" si="10"/>
        <v>705.32029490573655</v>
      </c>
      <c r="AP106" s="157">
        <f t="shared" si="10"/>
        <v>733.27577179692491</v>
      </c>
      <c r="AQ106" s="157">
        <f t="shared" si="10"/>
        <v>766.52134872624129</v>
      </c>
      <c r="AR106" s="157"/>
      <c r="AS106" s="157"/>
      <c r="AT106" s="112"/>
      <c r="AU106" s="112"/>
      <c r="AV106" s="112"/>
      <c r="AW106" s="112"/>
      <c r="AX106" s="112"/>
      <c r="AY106" s="112"/>
      <c r="AZ106" s="112"/>
      <c r="BA106" s="112"/>
      <c r="BB106" s="112"/>
      <c r="BC106" s="112"/>
      <c r="BD106" s="112"/>
      <c r="BE106" s="112"/>
      <c r="BF106" s="112"/>
      <c r="BG106" s="112"/>
      <c r="BH106" s="112"/>
      <c r="BI106" s="112"/>
      <c r="BJ106" s="112"/>
      <c r="BK106" s="112"/>
      <c r="BL106" s="112"/>
      <c r="BM106" s="112"/>
      <c r="BN106" s="112"/>
      <c r="BO106" s="112"/>
      <c r="BP106" s="112"/>
      <c r="BQ106" s="112"/>
      <c r="BR106" s="112"/>
      <c r="BS106" s="112"/>
      <c r="BT106" s="112"/>
    </row>
    <row r="107" spans="3:72" s="195" customFormat="1" ht="15" customHeight="1">
      <c r="E107" s="195" t="s">
        <v>74</v>
      </c>
      <c r="G107" s="195" t="s">
        <v>27</v>
      </c>
      <c r="J107" s="157"/>
      <c r="K107" s="157"/>
      <c r="L107" s="157"/>
      <c r="M107" s="157"/>
      <c r="N107" s="157"/>
      <c r="O107" s="157"/>
      <c r="P107" s="157"/>
      <c r="Q107" s="157"/>
      <c r="R107" s="157"/>
      <c r="S107" s="157"/>
      <c r="T107" s="157"/>
      <c r="U107" s="157"/>
      <c r="V107" s="157"/>
      <c r="W107" s="157"/>
      <c r="X107" s="157"/>
      <c r="Y107" s="157"/>
      <c r="Z107" s="157"/>
      <c r="AA107" s="157"/>
      <c r="AB107" s="157"/>
      <c r="AC107" s="157"/>
      <c r="AD107" s="157"/>
      <c r="AE107" s="157"/>
      <c r="AF107" s="157"/>
      <c r="AG107" s="157"/>
      <c r="AH107" s="157"/>
      <c r="AI107" s="157"/>
      <c r="AJ107" s="425">
        <f>AJ49 * Input!AJ$57 / Input!$AG$57</f>
        <v>83.831399207057103</v>
      </c>
      <c r="AK107" s="425">
        <f>AK49 * Input!AK$57 / Input!$AG$57</f>
        <v>100.25090147382174</v>
      </c>
      <c r="AL107" s="425">
        <f>AL49 * Input!AL$57 / Input!$AG$57</f>
        <v>102.21718319357156</v>
      </c>
      <c r="AM107" s="425">
        <f>AM49 * Input!AM$57 / Input!$AG$57</f>
        <v>95.583107796691294</v>
      </c>
      <c r="AN107" s="425">
        <f>AN49 * Input!AN$57 / Input!$AG$57</f>
        <v>91.859654336268505</v>
      </c>
      <c r="AO107" s="425">
        <f>AO49 * Input!AO$57 / Input!$AG$57</f>
        <v>91.71858748222526</v>
      </c>
      <c r="AP107" s="425">
        <f>AP49 * Input!AP$57 / Input!$AG$57</f>
        <v>99.899607253337464</v>
      </c>
      <c r="AQ107" s="425">
        <f>AQ49 * Input!AQ$57 / Input!$AG$57</f>
        <v>99.074811389948849</v>
      </c>
      <c r="AR107" s="157"/>
      <c r="AS107" s="157"/>
      <c r="AT107" s="112"/>
      <c r="AU107" s="112"/>
      <c r="AV107" s="112"/>
      <c r="AW107" s="112"/>
      <c r="AX107" s="112"/>
      <c r="AY107" s="112"/>
      <c r="AZ107" s="112"/>
      <c r="BA107" s="112"/>
      <c r="BB107" s="112"/>
      <c r="BC107" s="112"/>
      <c r="BD107" s="112"/>
      <c r="BE107" s="112"/>
      <c r="BF107" s="112"/>
      <c r="BG107" s="112"/>
      <c r="BH107" s="112"/>
      <c r="BI107" s="112"/>
      <c r="BJ107" s="112"/>
      <c r="BK107" s="112"/>
      <c r="BL107" s="112"/>
      <c r="BM107" s="112"/>
      <c r="BN107" s="112"/>
      <c r="BO107" s="112"/>
      <c r="BP107" s="112"/>
      <c r="BQ107" s="112"/>
      <c r="BR107" s="112"/>
      <c r="BS107" s="112"/>
      <c r="BT107" s="112"/>
    </row>
    <row r="108" spans="3:72" s="195" customFormat="1" ht="15" customHeight="1">
      <c r="E108" s="195" t="s">
        <v>75</v>
      </c>
      <c r="G108" s="195" t="s">
        <v>27</v>
      </c>
      <c r="J108" s="157"/>
      <c r="K108" s="157"/>
      <c r="L108" s="157"/>
      <c r="M108" s="157"/>
      <c r="N108" s="157"/>
      <c r="O108" s="157"/>
      <c r="P108" s="157"/>
      <c r="Q108" s="157"/>
      <c r="R108" s="157"/>
      <c r="S108" s="157"/>
      <c r="T108" s="157"/>
      <c r="U108" s="157"/>
      <c r="V108" s="157"/>
      <c r="W108" s="157"/>
      <c r="X108" s="157"/>
      <c r="Y108" s="157"/>
      <c r="Z108" s="157"/>
      <c r="AA108" s="157"/>
      <c r="AB108" s="157"/>
      <c r="AC108" s="157"/>
      <c r="AD108" s="157"/>
      <c r="AE108" s="157"/>
      <c r="AF108" s="157"/>
      <c r="AG108" s="157"/>
      <c r="AH108" s="157"/>
      <c r="AI108" s="157"/>
      <c r="AJ108" s="34">
        <f t="shared" ref="AJ108:AQ108" si="11">SUM(AJ106:AJ107)</f>
        <v>589.44686325734745</v>
      </c>
      <c r="AK108" s="34">
        <f t="shared" si="11"/>
        <v>642.54201567058135</v>
      </c>
      <c r="AL108" s="34">
        <f t="shared" si="11"/>
        <v>693.35583761050646</v>
      </c>
      <c r="AM108" s="34">
        <f t="shared" si="11"/>
        <v>733.47047839835716</v>
      </c>
      <c r="AN108" s="34">
        <f t="shared" si="11"/>
        <v>766.65249446275709</v>
      </c>
      <c r="AO108" s="34">
        <f t="shared" si="11"/>
        <v>797.03888238796185</v>
      </c>
      <c r="AP108" s="34">
        <f t="shared" si="11"/>
        <v>833.17537905026234</v>
      </c>
      <c r="AQ108" s="34">
        <f t="shared" si="11"/>
        <v>865.59616011619016</v>
      </c>
      <c r="AR108" s="157"/>
      <c r="AS108" s="157"/>
      <c r="AT108" s="112"/>
      <c r="AU108" s="112"/>
      <c r="AV108" s="112"/>
      <c r="AW108" s="112"/>
      <c r="AX108" s="112"/>
      <c r="AY108" s="112"/>
      <c r="AZ108" s="112"/>
      <c r="BA108" s="112"/>
      <c r="BB108" s="112"/>
      <c r="BC108" s="112"/>
      <c r="BD108" s="112"/>
      <c r="BE108" s="112"/>
      <c r="BF108" s="112"/>
      <c r="BG108" s="112"/>
      <c r="BH108" s="112"/>
      <c r="BI108" s="112"/>
      <c r="BJ108" s="112"/>
      <c r="BK108" s="112"/>
      <c r="BL108" s="112"/>
      <c r="BM108" s="112"/>
      <c r="BN108" s="112"/>
      <c r="BO108" s="112"/>
      <c r="BP108" s="112"/>
      <c r="BQ108" s="112"/>
      <c r="BR108" s="112"/>
      <c r="BS108" s="112"/>
      <c r="BT108" s="112"/>
    </row>
    <row r="109" spans="3:72" s="195" customFormat="1" ht="15" customHeight="1">
      <c r="E109" s="195" t="s">
        <v>498</v>
      </c>
      <c r="G109" s="195" t="s">
        <v>27</v>
      </c>
      <c r="J109" s="157"/>
      <c r="K109" s="157"/>
      <c r="L109" s="157"/>
      <c r="M109" s="157"/>
      <c r="N109" s="157"/>
      <c r="O109" s="157"/>
      <c r="P109" s="157"/>
      <c r="Q109" s="157"/>
      <c r="R109" s="157"/>
      <c r="S109" s="157"/>
      <c r="T109" s="157"/>
      <c r="U109" s="157"/>
      <c r="V109" s="157"/>
      <c r="W109" s="157"/>
      <c r="X109" s="157"/>
      <c r="Y109" s="157"/>
      <c r="Z109" s="157"/>
      <c r="AA109" s="157"/>
      <c r="AB109" s="157"/>
      <c r="AC109" s="157"/>
      <c r="AD109" s="157"/>
      <c r="AE109" s="157"/>
      <c r="AF109" s="157"/>
      <c r="AG109" s="157"/>
      <c r="AH109" s="157"/>
      <c r="AI109" s="157"/>
      <c r="AJ109" s="425">
        <f t="shared" ref="AJ109:AQ109" si="12">-AJ108*AJ104</f>
        <v>-47.155749060587794</v>
      </c>
      <c r="AK109" s="157">
        <f t="shared" si="12"/>
        <v>-51.403361253646509</v>
      </c>
      <c r="AL109" s="157">
        <f t="shared" si="12"/>
        <v>-55.46846700884052</v>
      </c>
      <c r="AM109" s="157">
        <f t="shared" si="12"/>
        <v>-58.677638271868574</v>
      </c>
      <c r="AN109" s="157">
        <f t="shared" si="12"/>
        <v>-61.332199557020566</v>
      </c>
      <c r="AO109" s="157">
        <f t="shared" si="12"/>
        <v>-63.763110591036948</v>
      </c>
      <c r="AP109" s="157">
        <f t="shared" si="12"/>
        <v>-66.654030324020994</v>
      </c>
      <c r="AQ109" s="157">
        <f t="shared" si="12"/>
        <v>-69.247692809295216</v>
      </c>
      <c r="AR109" s="157"/>
      <c r="AS109" s="157"/>
      <c r="AT109" s="112"/>
      <c r="AU109" s="112"/>
      <c r="AV109" s="112"/>
      <c r="AW109" s="112"/>
      <c r="AX109" s="112"/>
      <c r="AY109" s="112"/>
      <c r="AZ109" s="112"/>
      <c r="BA109" s="112"/>
      <c r="BB109" s="112"/>
      <c r="BC109" s="112"/>
      <c r="BD109" s="112"/>
      <c r="BE109" s="112"/>
      <c r="BF109" s="112"/>
      <c r="BG109" s="112"/>
      <c r="BH109" s="112"/>
      <c r="BI109" s="112"/>
      <c r="BJ109" s="112"/>
      <c r="BK109" s="112"/>
      <c r="BL109" s="112"/>
      <c r="BM109" s="112"/>
      <c r="BN109" s="112"/>
      <c r="BO109" s="112"/>
      <c r="BP109" s="112"/>
      <c r="BQ109" s="112"/>
      <c r="BR109" s="112"/>
      <c r="BS109" s="112"/>
      <c r="BT109" s="112"/>
    </row>
    <row r="110" spans="3:72" s="195" customFormat="1" ht="15" customHeight="1">
      <c r="E110" s="195" t="s">
        <v>73</v>
      </c>
      <c r="G110" s="195" t="s">
        <v>27</v>
      </c>
      <c r="J110" s="157"/>
      <c r="K110" s="157"/>
      <c r="L110" s="157"/>
      <c r="M110" s="157"/>
      <c r="N110" s="157"/>
      <c r="O110" s="157"/>
      <c r="P110" s="157"/>
      <c r="Q110" s="157"/>
      <c r="R110" s="157"/>
      <c r="S110" s="157"/>
      <c r="T110" s="157"/>
      <c r="U110" s="157"/>
      <c r="V110" s="157"/>
      <c r="W110" s="157"/>
      <c r="X110" s="157"/>
      <c r="Y110" s="157"/>
      <c r="Z110" s="157"/>
      <c r="AA110" s="157"/>
      <c r="AB110" s="157"/>
      <c r="AC110" s="157"/>
      <c r="AD110" s="157"/>
      <c r="AE110" s="157"/>
      <c r="AF110" s="157"/>
      <c r="AG110" s="157"/>
      <c r="AH110" s="157"/>
      <c r="AI110" s="157"/>
      <c r="AJ110" s="26">
        <f t="shared" ref="AJ110:AQ110" si="13">AJ108 + AJ109</f>
        <v>542.29111419675962</v>
      </c>
      <c r="AK110" s="26">
        <f t="shared" si="13"/>
        <v>591.13865441693486</v>
      </c>
      <c r="AL110" s="26">
        <f t="shared" si="13"/>
        <v>637.88737060166591</v>
      </c>
      <c r="AM110" s="26">
        <f t="shared" si="13"/>
        <v>674.79284012648861</v>
      </c>
      <c r="AN110" s="26">
        <f t="shared" si="13"/>
        <v>705.32029490573655</v>
      </c>
      <c r="AO110" s="26">
        <f t="shared" si="13"/>
        <v>733.27577179692491</v>
      </c>
      <c r="AP110" s="26">
        <f t="shared" si="13"/>
        <v>766.52134872624129</v>
      </c>
      <c r="AQ110" s="26">
        <f t="shared" si="13"/>
        <v>796.34846730689492</v>
      </c>
      <c r="AR110" s="157"/>
      <c r="AS110" s="157"/>
      <c r="AT110" s="112"/>
      <c r="AU110" s="112"/>
      <c r="AV110" s="112"/>
      <c r="AW110" s="112"/>
      <c r="AX110" s="112"/>
      <c r="AY110" s="112"/>
      <c r="AZ110" s="112"/>
      <c r="BA110" s="112"/>
      <c r="BB110" s="112"/>
      <c r="BC110" s="112"/>
      <c r="BD110" s="112"/>
      <c r="BE110" s="112"/>
      <c r="BF110" s="112"/>
      <c r="BG110" s="112"/>
      <c r="BH110" s="112"/>
      <c r="BI110" s="112"/>
      <c r="BJ110" s="112"/>
      <c r="BK110" s="112"/>
      <c r="BL110" s="112"/>
      <c r="BM110" s="112"/>
      <c r="BN110" s="112"/>
      <c r="BO110" s="112"/>
      <c r="BP110" s="112"/>
      <c r="BQ110" s="112"/>
      <c r="BR110" s="112"/>
      <c r="BS110" s="112"/>
      <c r="BT110" s="112"/>
    </row>
    <row r="111" spans="3:72" s="195" customFormat="1" ht="15" customHeight="1">
      <c r="J111" s="157"/>
      <c r="K111" s="157"/>
      <c r="L111" s="157"/>
      <c r="M111" s="157"/>
      <c r="N111" s="157"/>
      <c r="O111" s="157"/>
      <c r="P111" s="157"/>
      <c r="Q111" s="157"/>
      <c r="R111" s="157"/>
      <c r="S111" s="157"/>
      <c r="T111" s="157"/>
      <c r="U111" s="157"/>
      <c r="V111" s="157"/>
      <c r="W111" s="157"/>
      <c r="X111" s="157"/>
      <c r="Y111" s="157"/>
      <c r="Z111" s="157"/>
      <c r="AA111" s="157"/>
      <c r="AB111" s="157"/>
      <c r="AC111" s="157"/>
      <c r="AD111" s="157"/>
      <c r="AE111" s="157"/>
      <c r="AF111" s="157"/>
      <c r="AG111" s="157"/>
      <c r="AH111" s="157"/>
      <c r="AI111" s="157"/>
      <c r="AJ111" s="157"/>
      <c r="AK111" s="157"/>
      <c r="AL111" s="157"/>
      <c r="AM111" s="157"/>
      <c r="AN111" s="157"/>
      <c r="AO111" s="157"/>
      <c r="AP111" s="157"/>
      <c r="AQ111" s="157"/>
      <c r="AR111" s="157"/>
      <c r="AS111" s="157"/>
    </row>
    <row r="112" spans="3:72" s="195" customFormat="1" ht="15" customHeight="1">
      <c r="C112" s="332" t="s">
        <v>4</v>
      </c>
      <c r="D112" s="332"/>
      <c r="E112" s="332"/>
      <c r="F112" s="332"/>
      <c r="G112" s="332"/>
      <c r="H112" s="332"/>
      <c r="I112" s="332"/>
      <c r="J112" s="332"/>
      <c r="K112" s="332"/>
      <c r="L112" s="332"/>
      <c r="M112" s="332"/>
      <c r="N112" s="332"/>
      <c r="O112" s="332"/>
      <c r="P112" s="332"/>
      <c r="Q112" s="332"/>
      <c r="R112" s="332"/>
      <c r="S112" s="332"/>
      <c r="T112" s="332"/>
      <c r="U112" s="332"/>
      <c r="V112" s="332"/>
      <c r="W112" s="332"/>
      <c r="X112" s="332"/>
      <c r="Y112" s="332"/>
      <c r="Z112" s="332"/>
      <c r="AA112" s="332"/>
      <c r="AB112" s="332"/>
      <c r="AC112" s="332"/>
      <c r="AD112" s="332"/>
      <c r="AE112" s="332"/>
      <c r="AF112" s="332"/>
      <c r="AG112" s="332"/>
      <c r="AH112" s="332"/>
      <c r="AI112" s="332"/>
      <c r="AJ112" s="332"/>
      <c r="AK112" s="332"/>
      <c r="AL112" s="332"/>
      <c r="AM112" s="332"/>
      <c r="AN112" s="332"/>
      <c r="AO112" s="332"/>
      <c r="AP112" s="332"/>
      <c r="AQ112" s="332"/>
      <c r="AR112" s="157"/>
      <c r="AS112" s="157"/>
    </row>
    <row r="113" spans="3:72" s="195" customFormat="1" ht="15" customHeight="1">
      <c r="J113" s="157"/>
      <c r="K113" s="157"/>
      <c r="L113" s="157"/>
      <c r="M113" s="157"/>
      <c r="N113" s="157"/>
      <c r="O113" s="157"/>
      <c r="P113" s="157"/>
      <c r="Q113" s="157"/>
      <c r="R113" s="157"/>
      <c r="S113" s="157"/>
      <c r="T113" s="157"/>
      <c r="U113" s="157"/>
      <c r="V113" s="157"/>
      <c r="W113" s="157"/>
      <c r="X113" s="157"/>
      <c r="Y113" s="157"/>
      <c r="Z113" s="157"/>
      <c r="AA113" s="157"/>
      <c r="AB113" s="157"/>
      <c r="AC113" s="157"/>
      <c r="AD113" s="157"/>
      <c r="AE113" s="157"/>
      <c r="AF113" s="157"/>
      <c r="AG113" s="157"/>
      <c r="AH113" s="157"/>
      <c r="AI113" s="157"/>
      <c r="AJ113" s="157"/>
      <c r="AK113" s="157"/>
      <c r="AL113" s="157"/>
      <c r="AM113" s="157"/>
      <c r="AN113" s="157"/>
      <c r="AO113" s="157"/>
      <c r="AP113" s="157"/>
      <c r="AQ113" s="157"/>
      <c r="AR113" s="157"/>
      <c r="AS113" s="157"/>
    </row>
    <row r="114" spans="3:72" s="195" customFormat="1" ht="15" customHeight="1">
      <c r="E114" s="195" t="s">
        <v>26</v>
      </c>
      <c r="G114" s="195" t="s">
        <v>49</v>
      </c>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157"/>
      <c r="AI114" s="157"/>
      <c r="AJ114" s="239">
        <f>TaxTrigger!AJ128</f>
        <v>2.2200000000000001E-2</v>
      </c>
      <c r="AK114" s="239">
        <f>TaxTrigger!AK128</f>
        <v>2.2200000000000001E-2</v>
      </c>
      <c r="AL114" s="239">
        <f>TaxTrigger!AL128</f>
        <v>2.2200000000000001E-2</v>
      </c>
      <c r="AM114" s="239">
        <f>TaxTrigger!AM128</f>
        <v>2.2200000000000001E-2</v>
      </c>
      <c r="AN114" s="239">
        <f>TaxTrigger!AN128</f>
        <v>2.2200000000000001E-2</v>
      </c>
      <c r="AO114" s="239">
        <f>TaxTrigger!AO128</f>
        <v>2.2200000000000001E-2</v>
      </c>
      <c r="AP114" s="239">
        <f>TaxTrigger!AP128</f>
        <v>2.2200000000000001E-2</v>
      </c>
      <c r="AQ114" s="239">
        <f>TaxTrigger!AQ128</f>
        <v>2.2200000000000001E-2</v>
      </c>
      <c r="AR114" s="157"/>
      <c r="AS114" s="157"/>
    </row>
    <row r="115" spans="3:72" s="195" customFormat="1" ht="15" customHeight="1">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7"/>
      <c r="AI115" s="157"/>
      <c r="AJ115" s="157"/>
      <c r="AK115" s="157"/>
      <c r="AL115" s="157"/>
      <c r="AM115" s="157"/>
      <c r="AN115" s="157"/>
      <c r="AO115" s="157"/>
      <c r="AP115" s="157"/>
      <c r="AQ115" s="157"/>
      <c r="AR115" s="157"/>
      <c r="AS115" s="157"/>
    </row>
    <row r="116" spans="3:72" s="195" customFormat="1" ht="15" customHeight="1">
      <c r="E116" s="195" t="s">
        <v>72</v>
      </c>
      <c r="G116" s="195" t="s">
        <v>27</v>
      </c>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7"/>
      <c r="AI116" s="157"/>
      <c r="AJ116" s="42">
        <f>SUM(Input!AH359:AH361,Input!AI360:AI361)</f>
        <v>660.59588052342417</v>
      </c>
      <c r="AK116" s="157">
        <f t="shared" ref="AK116" si="14">AJ120</f>
        <v>736.03231590819223</v>
      </c>
      <c r="AL116" s="157">
        <f t="shared" ref="AL116:AQ116" si="15">AK120</f>
        <v>818.09495711937268</v>
      </c>
      <c r="AM116" s="157">
        <f t="shared" si="15"/>
        <v>897.67782591563548</v>
      </c>
      <c r="AN116" s="157">
        <f t="shared" si="15"/>
        <v>979.13749715853896</v>
      </c>
      <c r="AO116" s="157">
        <f t="shared" si="15"/>
        <v>1060.0442936275897</v>
      </c>
      <c r="AP116" s="157">
        <f t="shared" si="15"/>
        <v>1138.3549555169152</v>
      </c>
      <c r="AQ116" s="157">
        <f t="shared" si="15"/>
        <v>1213.1090413946231</v>
      </c>
      <c r="AR116" s="157"/>
      <c r="AS116" s="157"/>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row>
    <row r="117" spans="3:72" s="195" customFormat="1" ht="15" customHeight="1">
      <c r="E117" s="195" t="s">
        <v>74</v>
      </c>
      <c r="G117" s="195" t="s">
        <v>27</v>
      </c>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7"/>
      <c r="AI117" s="157"/>
      <c r="AJ117" s="157">
        <f>AJ61*Input!AJ$57/Input!$AG$57</f>
        <v>80.93305413146679</v>
      </c>
      <c r="AK117" s="157">
        <f>AK61*Input!AK$57/Input!$AG$57</f>
        <v>89.547207974922401</v>
      </c>
      <c r="AL117" s="157">
        <f>AL61*Input!AL$57/Input!$AG$57</f>
        <v>89.044217181432572</v>
      </c>
      <c r="AM117" s="157">
        <f>AM61*Input!AM$57/Input!$AG$57</f>
        <v>92.985293135685424</v>
      </c>
      <c r="AN117" s="157">
        <f>AN61*Input!AN$57/Input!$AG$57</f>
        <v>94.531006710812861</v>
      </c>
      <c r="AO117" s="157">
        <f>AO61*Input!AO$57/Input!$AG$57</f>
        <v>94.022164175790053</v>
      </c>
      <c r="AP117" s="157">
        <f>AP61*Input!AP$57/Input!$AG$57</f>
        <v>92.519521542414083</v>
      </c>
      <c r="AQ117" s="157">
        <f>AQ61*Input!AQ$57/Input!$AG$57</f>
        <v>93.867920428970535</v>
      </c>
      <c r="AR117" s="157"/>
      <c r="AS117" s="157"/>
      <c r="AT117" s="112"/>
      <c r="AU117" s="112"/>
      <c r="AV117" s="112"/>
      <c r="AW117" s="112"/>
      <c r="AX117" s="112"/>
      <c r="AY117" s="112"/>
      <c r="AZ117" s="112"/>
      <c r="BA117" s="112"/>
      <c r="BB117" s="112"/>
      <c r="BC117" s="112"/>
      <c r="BD117" s="112"/>
      <c r="BE117" s="112"/>
      <c r="BF117" s="112"/>
      <c r="BG117" s="112"/>
      <c r="BH117" s="112"/>
      <c r="BI117" s="112"/>
      <c r="BJ117" s="112"/>
      <c r="BK117" s="112"/>
      <c r="BL117" s="112"/>
      <c r="BM117" s="112"/>
      <c r="BN117" s="112"/>
      <c r="BO117" s="112"/>
      <c r="BP117" s="112"/>
      <c r="BQ117" s="112"/>
      <c r="BR117" s="112"/>
      <c r="BS117" s="112"/>
      <c r="BT117" s="112"/>
    </row>
    <row r="118" spans="3:72" s="195" customFormat="1" ht="15" customHeight="1">
      <c r="E118" s="195" t="s">
        <v>75</v>
      </c>
      <c r="G118" s="195" t="s">
        <v>27</v>
      </c>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7"/>
      <c r="AI118" s="157"/>
      <c r="AJ118" s="167">
        <f t="shared" ref="AJ118:AQ118" si="16">SUM(AJ116:AJ117)</f>
        <v>741.52893465489092</v>
      </c>
      <c r="AK118" s="167">
        <f t="shared" si="16"/>
        <v>825.57952388311469</v>
      </c>
      <c r="AL118" s="167">
        <f t="shared" si="16"/>
        <v>907.13917430080528</v>
      </c>
      <c r="AM118" s="167">
        <f t="shared" si="16"/>
        <v>990.6631190513209</v>
      </c>
      <c r="AN118" s="167">
        <f t="shared" si="16"/>
        <v>1073.6685038693518</v>
      </c>
      <c r="AO118" s="167">
        <f t="shared" si="16"/>
        <v>1154.0664578033798</v>
      </c>
      <c r="AP118" s="167">
        <f t="shared" si="16"/>
        <v>1230.8744770593294</v>
      </c>
      <c r="AQ118" s="167">
        <f t="shared" si="16"/>
        <v>1306.9769618235937</v>
      </c>
      <c r="AR118" s="157"/>
      <c r="AS118" s="157"/>
      <c r="AT118" s="112"/>
      <c r="AU118" s="112"/>
      <c r="AV118" s="112"/>
      <c r="AW118" s="112"/>
      <c r="AX118" s="112"/>
      <c r="AY118" s="112"/>
      <c r="AZ118" s="112"/>
      <c r="BA118" s="112"/>
      <c r="BB118" s="112"/>
      <c r="BC118" s="112"/>
      <c r="BD118" s="112"/>
      <c r="BE118" s="112"/>
      <c r="BF118" s="112"/>
      <c r="BG118" s="112"/>
      <c r="BH118" s="112"/>
      <c r="BI118" s="112"/>
      <c r="BJ118" s="112"/>
      <c r="BK118" s="112"/>
      <c r="BL118" s="112"/>
      <c r="BM118" s="112"/>
      <c r="BN118" s="112"/>
      <c r="BO118" s="112"/>
      <c r="BP118" s="112"/>
      <c r="BQ118" s="112"/>
      <c r="BR118" s="112"/>
      <c r="BS118" s="112"/>
      <c r="BT118" s="112"/>
    </row>
    <row r="119" spans="3:72" s="195" customFormat="1" ht="15" customHeight="1">
      <c r="E119" s="195" t="s">
        <v>497</v>
      </c>
      <c r="G119" s="195" t="s">
        <v>27</v>
      </c>
      <c r="J119" s="157"/>
      <c r="K119" s="157"/>
      <c r="L119" s="157"/>
      <c r="M119" s="157"/>
      <c r="N119" s="157"/>
      <c r="O119" s="157"/>
      <c r="P119" s="157"/>
      <c r="Q119" s="157"/>
      <c r="R119" s="157"/>
      <c r="S119" s="157"/>
      <c r="T119" s="157"/>
      <c r="U119" s="157"/>
      <c r="V119" s="157"/>
      <c r="W119" s="157"/>
      <c r="X119" s="157"/>
      <c r="Y119" s="157"/>
      <c r="Z119" s="157"/>
      <c r="AA119" s="157"/>
      <c r="AB119" s="157"/>
      <c r="AC119" s="157"/>
      <c r="AD119" s="157"/>
      <c r="AE119" s="157"/>
      <c r="AF119" s="157"/>
      <c r="AG119" s="157"/>
      <c r="AH119" s="157"/>
      <c r="AI119" s="157"/>
      <c r="AJ119" s="157">
        <f>-(SUM(Input!$AH$363,Input!$AH$364:$AI$365)+SUM($AI117:AJ117))*AJ114</f>
        <v>-5.4966187466986867</v>
      </c>
      <c r="AK119" s="157">
        <f>-(SUM(Input!$AH$363,Input!$AH$364:$AI$365)+SUM($AI117:AK117))*AK114</f>
        <v>-7.4845667637419639</v>
      </c>
      <c r="AL119" s="157">
        <f>-(SUM(Input!$AH$363,Input!$AH$364:$AI$365)+SUM($AI117:AL117))*AL114</f>
        <v>-9.4613483851697673</v>
      </c>
      <c r="AM119" s="157">
        <f>-(SUM(Input!$AH$363,Input!$AH$364:$AI$365)+SUM($AI117:AM117))*AM114</f>
        <v>-11.525621892781984</v>
      </c>
      <c r="AN119" s="157">
        <f>-(SUM(Input!$AH$363,Input!$AH$364:$AI$365)+SUM($AI117:AN117))*AN114</f>
        <v>-13.624210241762031</v>
      </c>
      <c r="AO119" s="157">
        <f>-(SUM(Input!$AH$363,Input!$AH$364:$AI$365)+SUM($AI117:AO117))*AO114</f>
        <v>-15.711502286464569</v>
      </c>
      <c r="AP119" s="157">
        <f>-(SUM(Input!$AH$363,Input!$AH$364:$AI$365)+SUM($AI117:AP117))*AP114</f>
        <v>-17.76543566470616</v>
      </c>
      <c r="AQ119" s="157">
        <f>-(SUM(Input!$AH$363,Input!$AH$364:$AI$365)+SUM($AI117:AQ117))*AQ114</f>
        <v>-19.849303498229304</v>
      </c>
      <c r="AR119" s="157"/>
      <c r="AS119" s="157"/>
      <c r="AT119" s="112"/>
      <c r="AU119" s="112"/>
      <c r="AV119" s="112"/>
      <c r="AW119" s="112"/>
      <c r="AX119" s="112"/>
      <c r="AY119" s="112"/>
      <c r="AZ119" s="112"/>
      <c r="BA119" s="112"/>
      <c r="BB119" s="112"/>
      <c r="BC119" s="112"/>
      <c r="BD119" s="112"/>
      <c r="BE119" s="112"/>
      <c r="BF119" s="112"/>
      <c r="BG119" s="112"/>
      <c r="BH119" s="112"/>
      <c r="BI119" s="112"/>
      <c r="BJ119" s="112"/>
      <c r="BK119" s="112"/>
      <c r="BL119" s="112"/>
      <c r="BM119" s="112"/>
      <c r="BN119" s="112"/>
      <c r="BO119" s="112"/>
      <c r="BP119" s="112"/>
      <c r="BQ119" s="112"/>
      <c r="BR119" s="112"/>
      <c r="BS119" s="112"/>
      <c r="BT119" s="112"/>
    </row>
    <row r="120" spans="3:72" s="195" customFormat="1" ht="15" customHeight="1">
      <c r="E120" s="195" t="s">
        <v>73</v>
      </c>
      <c r="G120" s="195" t="s">
        <v>27</v>
      </c>
      <c r="J120" s="157"/>
      <c r="K120" s="157"/>
      <c r="L120" s="157"/>
      <c r="M120" s="157"/>
      <c r="N120" s="157"/>
      <c r="O120" s="157"/>
      <c r="P120" s="157"/>
      <c r="Q120" s="157"/>
      <c r="R120" s="157"/>
      <c r="S120" s="157"/>
      <c r="T120" s="157"/>
      <c r="U120" s="157"/>
      <c r="V120" s="157"/>
      <c r="W120" s="157"/>
      <c r="X120" s="157"/>
      <c r="Y120" s="157"/>
      <c r="Z120" s="157"/>
      <c r="AA120" s="157"/>
      <c r="AB120" s="157"/>
      <c r="AC120" s="157"/>
      <c r="AD120" s="157"/>
      <c r="AE120" s="157"/>
      <c r="AF120" s="157"/>
      <c r="AG120" s="157"/>
      <c r="AH120" s="157"/>
      <c r="AI120" s="157"/>
      <c r="AJ120" s="38">
        <f t="shared" ref="AJ120:AQ120" si="17">AJ118+AJ119</f>
        <v>736.03231590819223</v>
      </c>
      <c r="AK120" s="38">
        <f t="shared" si="17"/>
        <v>818.09495711937268</v>
      </c>
      <c r="AL120" s="38">
        <f t="shared" si="17"/>
        <v>897.67782591563548</v>
      </c>
      <c r="AM120" s="38">
        <f t="shared" si="17"/>
        <v>979.13749715853896</v>
      </c>
      <c r="AN120" s="38">
        <f t="shared" si="17"/>
        <v>1060.0442936275897</v>
      </c>
      <c r="AO120" s="38">
        <f t="shared" si="17"/>
        <v>1138.3549555169152</v>
      </c>
      <c r="AP120" s="38">
        <f t="shared" si="17"/>
        <v>1213.1090413946231</v>
      </c>
      <c r="AQ120" s="38">
        <f t="shared" si="17"/>
        <v>1287.1276583253643</v>
      </c>
      <c r="AR120" s="157"/>
      <c r="AS120" s="157"/>
      <c r="AT120" s="112"/>
      <c r="AU120" s="112"/>
      <c r="AV120" s="112"/>
      <c r="AW120" s="112"/>
      <c r="AX120" s="112"/>
      <c r="AY120" s="112"/>
      <c r="AZ120" s="112"/>
      <c r="BA120" s="112"/>
      <c r="BB120" s="112"/>
      <c r="BC120" s="112"/>
      <c r="BD120" s="112"/>
      <c r="BE120" s="112"/>
      <c r="BF120" s="112"/>
      <c r="BG120" s="112"/>
      <c r="BH120" s="112"/>
      <c r="BI120" s="112"/>
      <c r="BJ120" s="112"/>
      <c r="BK120" s="112"/>
      <c r="BL120" s="112"/>
      <c r="BM120" s="112"/>
      <c r="BN120" s="112"/>
      <c r="BO120" s="112"/>
      <c r="BP120" s="112"/>
      <c r="BQ120" s="112"/>
      <c r="BR120" s="112"/>
      <c r="BS120" s="112"/>
      <c r="BT120" s="112"/>
    </row>
    <row r="121" spans="3:72" s="195" customFormat="1" ht="15" customHeight="1">
      <c r="J121" s="157"/>
      <c r="K121" s="157"/>
      <c r="L121" s="157"/>
      <c r="M121" s="157"/>
      <c r="N121" s="157"/>
      <c r="O121" s="157"/>
      <c r="P121" s="157"/>
      <c r="Q121" s="157"/>
      <c r="R121" s="157"/>
      <c r="S121" s="157"/>
      <c r="T121" s="157"/>
      <c r="U121" s="157"/>
      <c r="V121" s="157"/>
      <c r="W121" s="157"/>
      <c r="X121" s="157"/>
      <c r="Y121" s="157"/>
      <c r="Z121" s="157"/>
      <c r="AA121" s="157"/>
      <c r="AB121" s="157"/>
      <c r="AC121" s="157"/>
      <c r="AD121" s="157"/>
      <c r="AE121" s="157"/>
      <c r="AF121" s="157"/>
      <c r="AG121" s="157"/>
      <c r="AH121" s="157"/>
      <c r="AI121" s="157"/>
      <c r="AJ121" s="157"/>
      <c r="AK121" s="157"/>
      <c r="AL121" s="157"/>
      <c r="AM121" s="157"/>
      <c r="AN121" s="157"/>
      <c r="AO121" s="157"/>
      <c r="AP121" s="157"/>
      <c r="AQ121" s="157"/>
      <c r="AR121" s="157"/>
      <c r="AS121" s="157"/>
    </row>
    <row r="122" spans="3:72" s="195" customFormat="1" ht="15" customHeight="1">
      <c r="C122" s="332" t="s">
        <v>99</v>
      </c>
      <c r="D122" s="332"/>
      <c r="E122" s="332"/>
      <c r="F122" s="332"/>
      <c r="G122" s="332"/>
      <c r="H122" s="332"/>
      <c r="I122" s="332"/>
      <c r="J122" s="332"/>
      <c r="K122" s="332"/>
      <c r="L122" s="332"/>
      <c r="M122" s="332"/>
      <c r="N122" s="332"/>
      <c r="O122" s="332"/>
      <c r="P122" s="332"/>
      <c r="Q122" s="332"/>
      <c r="R122" s="332"/>
      <c r="S122" s="332"/>
      <c r="T122" s="332"/>
      <c r="U122" s="332"/>
      <c r="V122" s="332"/>
      <c r="W122" s="332"/>
      <c r="X122" s="332"/>
      <c r="Y122" s="332"/>
      <c r="Z122" s="332"/>
      <c r="AA122" s="332"/>
      <c r="AB122" s="332"/>
      <c r="AC122" s="332"/>
      <c r="AD122" s="332"/>
      <c r="AE122" s="332"/>
      <c r="AF122" s="332"/>
      <c r="AG122" s="332"/>
      <c r="AH122" s="332"/>
      <c r="AI122" s="332"/>
      <c r="AJ122" s="332"/>
      <c r="AK122" s="332"/>
      <c r="AL122" s="332"/>
      <c r="AM122" s="332"/>
      <c r="AN122" s="332"/>
      <c r="AO122" s="332"/>
      <c r="AP122" s="332"/>
      <c r="AQ122" s="332"/>
      <c r="AR122" s="157"/>
      <c r="AS122" s="157"/>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c r="BP122" s="112"/>
      <c r="BQ122" s="112"/>
      <c r="BR122" s="112"/>
      <c r="BS122" s="112"/>
      <c r="BT122" s="112"/>
    </row>
    <row r="123" spans="3:72" s="195" customFormat="1" ht="15" customHeight="1">
      <c r="J123" s="157"/>
      <c r="K123" s="157"/>
      <c r="L123" s="157"/>
      <c r="M123" s="157"/>
      <c r="N123" s="157"/>
      <c r="O123" s="157"/>
      <c r="P123" s="157"/>
      <c r="Q123" s="157"/>
      <c r="R123" s="157"/>
      <c r="S123" s="157"/>
      <c r="T123" s="157"/>
      <c r="U123" s="157"/>
      <c r="V123" s="157"/>
      <c r="W123" s="157"/>
      <c r="X123" s="157"/>
      <c r="Y123" s="157"/>
      <c r="Z123" s="157"/>
      <c r="AA123" s="157"/>
      <c r="AB123" s="157"/>
      <c r="AC123" s="157"/>
      <c r="AD123" s="157"/>
      <c r="AE123" s="157"/>
      <c r="AF123" s="157"/>
      <c r="AG123" s="157"/>
      <c r="AH123" s="157"/>
      <c r="AI123" s="157"/>
      <c r="AJ123" s="157"/>
      <c r="AK123" s="157"/>
      <c r="AL123" s="157"/>
      <c r="AM123" s="157"/>
      <c r="AN123" s="157"/>
      <c r="AO123" s="157"/>
      <c r="AP123" s="157"/>
      <c r="AQ123" s="157"/>
      <c r="AR123" s="157"/>
      <c r="AS123" s="157"/>
      <c r="AT123" s="112"/>
      <c r="AU123" s="112"/>
      <c r="AV123" s="112"/>
      <c r="AW123" s="112"/>
      <c r="AX123" s="112"/>
      <c r="AY123" s="112"/>
      <c r="AZ123" s="112"/>
      <c r="BA123" s="112"/>
      <c r="BB123" s="112"/>
      <c r="BC123" s="112"/>
      <c r="BD123" s="112"/>
      <c r="BE123" s="112"/>
      <c r="BF123" s="112"/>
      <c r="BG123" s="112"/>
      <c r="BH123" s="112"/>
      <c r="BI123" s="112"/>
      <c r="BJ123" s="112"/>
      <c r="BK123" s="112"/>
      <c r="BL123" s="112"/>
      <c r="BM123" s="112"/>
      <c r="BN123" s="112"/>
      <c r="BO123" s="112"/>
      <c r="BP123" s="112"/>
      <c r="BQ123" s="112"/>
      <c r="BR123" s="112"/>
      <c r="BS123" s="112"/>
      <c r="BT123" s="112"/>
    </row>
    <row r="124" spans="3:72" s="195" customFormat="1" ht="15" customHeight="1">
      <c r="E124" s="195" t="s">
        <v>481</v>
      </c>
      <c r="G124" s="195" t="s">
        <v>27</v>
      </c>
      <c r="J124" s="157"/>
      <c r="K124" s="157"/>
      <c r="L124" s="157"/>
      <c r="M124" s="157"/>
      <c r="N124" s="157"/>
      <c r="O124" s="157"/>
      <c r="P124" s="157"/>
      <c r="Q124" s="157"/>
      <c r="R124" s="157"/>
      <c r="S124" s="157"/>
      <c r="T124" s="157"/>
      <c r="U124" s="157"/>
      <c r="V124" s="157"/>
      <c r="W124" s="157"/>
      <c r="X124" s="157"/>
      <c r="Y124" s="157"/>
      <c r="Z124" s="157"/>
      <c r="AA124" s="157"/>
      <c r="AB124" s="157"/>
      <c r="AC124" s="157"/>
      <c r="AD124" s="157"/>
      <c r="AE124" s="157"/>
      <c r="AF124" s="157"/>
      <c r="AG124" s="157"/>
      <c r="AH124" s="157"/>
      <c r="AI124" s="157"/>
      <c r="AJ124" s="157">
        <f t="shared" ref="AJ124:AQ124" si="18">-AJ109</f>
        <v>47.155749060587794</v>
      </c>
      <c r="AK124" s="157">
        <f t="shared" si="18"/>
        <v>51.403361253646509</v>
      </c>
      <c r="AL124" s="157">
        <f t="shared" si="18"/>
        <v>55.46846700884052</v>
      </c>
      <c r="AM124" s="157">
        <f t="shared" si="18"/>
        <v>58.677638271868574</v>
      </c>
      <c r="AN124" s="157">
        <f t="shared" si="18"/>
        <v>61.332199557020566</v>
      </c>
      <c r="AO124" s="157">
        <f t="shared" si="18"/>
        <v>63.763110591036948</v>
      </c>
      <c r="AP124" s="157">
        <f t="shared" si="18"/>
        <v>66.654030324020994</v>
      </c>
      <c r="AQ124" s="157">
        <f t="shared" si="18"/>
        <v>69.247692809295216</v>
      </c>
      <c r="AR124" s="157"/>
      <c r="AS124" s="157"/>
      <c r="AT124" s="112"/>
      <c r="AU124" s="112"/>
      <c r="AV124" s="112"/>
      <c r="AW124" s="112"/>
      <c r="AX124" s="112"/>
      <c r="AY124" s="112"/>
      <c r="AZ124" s="112"/>
      <c r="BA124" s="112"/>
      <c r="BB124" s="112"/>
      <c r="BC124" s="112"/>
      <c r="BD124" s="112"/>
      <c r="BE124" s="112"/>
      <c r="BF124" s="112"/>
      <c r="BG124" s="112"/>
      <c r="BH124" s="112"/>
      <c r="BI124" s="112"/>
      <c r="BJ124" s="112"/>
      <c r="BK124" s="112"/>
      <c r="BL124" s="112"/>
      <c r="BM124" s="112"/>
      <c r="BN124" s="112"/>
      <c r="BO124" s="112"/>
      <c r="BP124" s="112"/>
      <c r="BQ124" s="112"/>
      <c r="BR124" s="112"/>
      <c r="BS124" s="112"/>
      <c r="BT124" s="112"/>
    </row>
    <row r="125" spans="3:72" s="195" customFormat="1" ht="15" customHeight="1">
      <c r="E125" s="195" t="s">
        <v>30</v>
      </c>
      <c r="G125" s="195" t="s">
        <v>27</v>
      </c>
      <c r="J125" s="157"/>
      <c r="K125" s="157"/>
      <c r="L125" s="157"/>
      <c r="M125" s="157"/>
      <c r="N125" s="157"/>
      <c r="O125" s="157"/>
      <c r="P125" s="157"/>
      <c r="Q125" s="157"/>
      <c r="R125" s="157"/>
      <c r="S125" s="157"/>
      <c r="T125" s="157"/>
      <c r="U125" s="157"/>
      <c r="V125" s="157"/>
      <c r="W125" s="157"/>
      <c r="X125" s="157"/>
      <c r="Y125" s="157"/>
      <c r="Z125" s="157"/>
      <c r="AA125" s="157"/>
      <c r="AB125" s="157"/>
      <c r="AC125" s="157"/>
      <c r="AD125" s="157"/>
      <c r="AE125" s="157"/>
      <c r="AF125" s="157"/>
      <c r="AG125" s="157"/>
      <c r="AH125" s="157"/>
      <c r="AI125" s="157"/>
      <c r="AJ125" s="157">
        <f t="shared" ref="AJ125:AQ125" si="19">-AJ99</f>
        <v>10.301320859680111</v>
      </c>
      <c r="AK125" s="157">
        <f t="shared" si="19"/>
        <v>10.765031428778133</v>
      </c>
      <c r="AL125" s="157">
        <f t="shared" si="19"/>
        <v>10.938728114215953</v>
      </c>
      <c r="AM125" s="157">
        <f t="shared" si="19"/>
        <v>11.024718682323233</v>
      </c>
      <c r="AN125" s="157">
        <f t="shared" si="19"/>
        <v>11.180248285688998</v>
      </c>
      <c r="AO125" s="157">
        <f t="shared" si="19"/>
        <v>11.205616215197246</v>
      </c>
      <c r="AP125" s="157">
        <f t="shared" si="19"/>
        <v>11.54575801918849</v>
      </c>
      <c r="AQ125" s="157">
        <f t="shared" si="19"/>
        <v>11.701358907557768</v>
      </c>
      <c r="AR125" s="157"/>
      <c r="AS125" s="157"/>
      <c r="AT125" s="112"/>
      <c r="AU125" s="112"/>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c r="BP125" s="112"/>
      <c r="BQ125" s="112"/>
      <c r="BR125" s="112"/>
      <c r="BS125" s="112"/>
      <c r="BT125" s="112"/>
    </row>
    <row r="126" spans="3:72" s="195" customFormat="1" ht="15" customHeight="1">
      <c r="E126" s="195" t="s">
        <v>4</v>
      </c>
      <c r="G126" s="195" t="s">
        <v>27</v>
      </c>
      <c r="J126" s="157"/>
      <c r="K126" s="157"/>
      <c r="L126" s="157"/>
      <c r="M126" s="157"/>
      <c r="N126" s="157"/>
      <c r="O126" s="157"/>
      <c r="P126" s="157"/>
      <c r="Q126" s="157"/>
      <c r="R126" s="157"/>
      <c r="S126" s="157"/>
      <c r="T126" s="157"/>
      <c r="U126" s="157"/>
      <c r="V126" s="157"/>
      <c r="W126" s="157"/>
      <c r="X126" s="157"/>
      <c r="Y126" s="157"/>
      <c r="Z126" s="157"/>
      <c r="AA126" s="157"/>
      <c r="AB126" s="157"/>
      <c r="AC126" s="157"/>
      <c r="AD126" s="157"/>
      <c r="AE126" s="157"/>
      <c r="AF126" s="157"/>
      <c r="AG126" s="157"/>
      <c r="AH126" s="157"/>
      <c r="AI126" s="157"/>
      <c r="AJ126" s="157">
        <f t="shared" ref="AJ126:AQ126" si="20">-AJ119</f>
        <v>5.4966187466986867</v>
      </c>
      <c r="AK126" s="157">
        <f t="shared" si="20"/>
        <v>7.4845667637419639</v>
      </c>
      <c r="AL126" s="157">
        <f t="shared" si="20"/>
        <v>9.4613483851697673</v>
      </c>
      <c r="AM126" s="157">
        <f t="shared" si="20"/>
        <v>11.525621892781984</v>
      </c>
      <c r="AN126" s="157">
        <f t="shared" si="20"/>
        <v>13.624210241762031</v>
      </c>
      <c r="AO126" s="157">
        <f t="shared" si="20"/>
        <v>15.711502286464569</v>
      </c>
      <c r="AP126" s="157">
        <f t="shared" si="20"/>
        <v>17.76543566470616</v>
      </c>
      <c r="AQ126" s="157">
        <f t="shared" si="20"/>
        <v>19.849303498229304</v>
      </c>
      <c r="AR126" s="157"/>
      <c r="AS126" s="157"/>
      <c r="AT126" s="112"/>
      <c r="AU126" s="112"/>
      <c r="AV126" s="112"/>
      <c r="AW126" s="112"/>
      <c r="AX126" s="112"/>
      <c r="AY126" s="112"/>
      <c r="AZ126" s="112"/>
      <c r="BA126" s="112"/>
      <c r="BB126" s="112"/>
      <c r="BC126" s="112"/>
      <c r="BD126" s="112"/>
      <c r="BE126" s="112"/>
      <c r="BF126" s="112"/>
      <c r="BG126" s="112"/>
      <c r="BH126" s="112"/>
      <c r="BI126" s="112"/>
      <c r="BJ126" s="112"/>
      <c r="BK126" s="112"/>
      <c r="BL126" s="112"/>
      <c r="BM126" s="112"/>
      <c r="BN126" s="112"/>
      <c r="BO126" s="112"/>
      <c r="BP126" s="112"/>
      <c r="BQ126" s="112"/>
      <c r="BR126" s="112"/>
      <c r="BS126" s="112"/>
      <c r="BT126" s="112"/>
    </row>
    <row r="127" spans="3:72" s="195" customFormat="1" ht="15" customHeight="1">
      <c r="E127" s="195" t="s">
        <v>3</v>
      </c>
      <c r="G127" s="195" t="s">
        <v>27</v>
      </c>
      <c r="J127" s="157"/>
      <c r="K127" s="157"/>
      <c r="L127" s="157"/>
      <c r="M127" s="157"/>
      <c r="N127" s="157"/>
      <c r="O127" s="157"/>
      <c r="P127" s="157"/>
      <c r="Q127" s="157"/>
      <c r="R127" s="157"/>
      <c r="S127" s="157"/>
      <c r="T127" s="157"/>
      <c r="U127" s="157"/>
      <c r="V127" s="157"/>
      <c r="W127" s="157"/>
      <c r="X127" s="157"/>
      <c r="Y127" s="157"/>
      <c r="Z127" s="157"/>
      <c r="AA127" s="157"/>
      <c r="AB127" s="157"/>
      <c r="AC127" s="157"/>
      <c r="AD127" s="157"/>
      <c r="AE127" s="157"/>
      <c r="AF127" s="157"/>
      <c r="AG127" s="157"/>
      <c r="AH127" s="157"/>
      <c r="AI127" s="157"/>
      <c r="AJ127" s="34">
        <f t="shared" ref="AJ127:AQ127" si="21">SUM(AJ124:AJ126)</f>
        <v>62.953688666966592</v>
      </c>
      <c r="AK127" s="34">
        <f t="shared" si="21"/>
        <v>69.652959446166605</v>
      </c>
      <c r="AL127" s="34">
        <f t="shared" si="21"/>
        <v>75.868543508226239</v>
      </c>
      <c r="AM127" s="34">
        <f t="shared" si="21"/>
        <v>81.227978846973784</v>
      </c>
      <c r="AN127" s="34">
        <f t="shared" si="21"/>
        <v>86.136658084471591</v>
      </c>
      <c r="AO127" s="34">
        <f t="shared" si="21"/>
        <v>90.680229092698767</v>
      </c>
      <c r="AP127" s="34">
        <f t="shared" si="21"/>
        <v>95.965224007915651</v>
      </c>
      <c r="AQ127" s="34">
        <f t="shared" si="21"/>
        <v>100.79835521508228</v>
      </c>
      <c r="AR127" s="157"/>
      <c r="AS127" s="157"/>
      <c r="AT127" s="112"/>
      <c r="AU127" s="112"/>
      <c r="AV127" s="112"/>
      <c r="AW127" s="112"/>
      <c r="AX127" s="112"/>
      <c r="AY127" s="112"/>
      <c r="AZ127" s="112"/>
      <c r="BA127" s="112"/>
      <c r="BB127" s="112"/>
      <c r="BC127" s="112"/>
      <c r="BD127" s="112"/>
      <c r="BE127" s="112"/>
      <c r="BF127" s="112"/>
      <c r="BG127" s="112"/>
      <c r="BH127" s="112"/>
      <c r="BI127" s="112"/>
      <c r="BJ127" s="112"/>
      <c r="BK127" s="112"/>
      <c r="BL127" s="112"/>
      <c r="BM127" s="112"/>
      <c r="BN127" s="112"/>
      <c r="BO127" s="112"/>
      <c r="BP127" s="112"/>
      <c r="BQ127" s="112"/>
      <c r="BR127" s="112"/>
      <c r="BS127" s="112"/>
      <c r="BT127" s="112"/>
    </row>
    <row r="128" spans="3:72" s="195" customFormat="1" ht="15" customHeight="1">
      <c r="J128" s="157"/>
      <c r="K128" s="157"/>
      <c r="L128" s="157"/>
      <c r="M128" s="157"/>
      <c r="N128" s="157"/>
      <c r="O128" s="157"/>
      <c r="P128" s="157"/>
      <c r="Q128" s="157"/>
      <c r="R128" s="157"/>
      <c r="S128" s="157"/>
      <c r="T128" s="157"/>
      <c r="U128" s="157"/>
      <c r="V128" s="157"/>
      <c r="W128" s="157"/>
      <c r="X128" s="157"/>
      <c r="Y128" s="157"/>
      <c r="Z128" s="157"/>
      <c r="AA128" s="157"/>
      <c r="AB128" s="157"/>
      <c r="AC128" s="157"/>
      <c r="AD128" s="157"/>
      <c r="AE128" s="157"/>
      <c r="AF128" s="157"/>
      <c r="AG128" s="157"/>
      <c r="AH128" s="157"/>
      <c r="AI128" s="157"/>
      <c r="AJ128" s="157"/>
      <c r="AK128" s="157"/>
      <c r="AL128" s="157"/>
      <c r="AM128" s="157"/>
      <c r="AN128" s="157"/>
      <c r="AO128" s="157"/>
      <c r="AP128" s="157"/>
      <c r="AQ128" s="157"/>
      <c r="AR128" s="157"/>
      <c r="AS128" s="157"/>
      <c r="AT128" s="112"/>
      <c r="AU128" s="112"/>
      <c r="AV128" s="112"/>
      <c r="AW128" s="112"/>
      <c r="AX128" s="112"/>
      <c r="AY128" s="112"/>
      <c r="AZ128" s="112"/>
      <c r="BA128" s="112"/>
      <c r="BB128" s="112"/>
      <c r="BC128" s="112"/>
      <c r="BD128" s="112"/>
      <c r="BE128" s="112"/>
      <c r="BF128" s="112"/>
      <c r="BG128" s="112"/>
      <c r="BH128" s="112"/>
      <c r="BI128" s="112"/>
      <c r="BJ128" s="112"/>
      <c r="BK128" s="112"/>
      <c r="BL128" s="112"/>
      <c r="BM128" s="112"/>
      <c r="BN128" s="112"/>
      <c r="BO128" s="112"/>
      <c r="BP128" s="112"/>
      <c r="BQ128" s="112"/>
      <c r="BR128" s="112"/>
      <c r="BS128" s="112"/>
      <c r="BT128" s="112"/>
    </row>
    <row r="129" spans="2:43" ht="15" customHeight="1">
      <c r="B129" s="334" t="s">
        <v>53</v>
      </c>
      <c r="C129" s="334"/>
      <c r="D129" s="334"/>
      <c r="E129" s="334"/>
      <c r="F129" s="334"/>
      <c r="G129" s="334"/>
      <c r="H129" s="334"/>
      <c r="I129" s="334"/>
      <c r="J129" s="334"/>
      <c r="K129" s="334"/>
      <c r="L129" s="334"/>
      <c r="M129" s="334"/>
      <c r="N129" s="334"/>
      <c r="O129" s="334"/>
      <c r="P129" s="334"/>
      <c r="Q129" s="334"/>
      <c r="R129" s="334"/>
      <c r="S129" s="334"/>
      <c r="T129" s="334"/>
      <c r="U129" s="334"/>
      <c r="V129" s="334"/>
      <c r="W129" s="334"/>
      <c r="X129" s="334"/>
      <c r="Y129" s="334"/>
      <c r="Z129" s="334"/>
      <c r="AA129" s="334"/>
      <c r="AB129" s="334"/>
      <c r="AC129" s="334"/>
      <c r="AD129" s="334"/>
      <c r="AE129" s="334"/>
      <c r="AF129" s="334"/>
      <c r="AG129" s="334"/>
      <c r="AH129" s="334"/>
      <c r="AI129" s="334"/>
      <c r="AJ129" s="334"/>
      <c r="AK129" s="334"/>
      <c r="AL129" s="334"/>
      <c r="AM129" s="334"/>
      <c r="AN129" s="334"/>
      <c r="AO129" s="334"/>
      <c r="AP129" s="334"/>
      <c r="AQ129" s="334"/>
    </row>
    <row r="130" spans="2:43" ht="15" customHeight="1"/>
    <row r="131" spans="2:43" ht="15" customHeight="1"/>
    <row r="132" spans="2:43" ht="15" customHeight="1"/>
    <row r="133" spans="2:43" ht="15" hidden="1" customHeight="1"/>
    <row r="134" spans="2:43" ht="15" hidden="1" customHeight="1"/>
    <row r="135" spans="2:43" ht="15" hidden="1" customHeight="1"/>
    <row r="136" spans="2:43" ht="15" hidden="1" customHeight="1"/>
    <row r="137" spans="2:43" ht="15" hidden="1" customHeight="1"/>
    <row r="138" spans="2:43" ht="15" hidden="1" customHeight="1"/>
    <row r="139" spans="2:43" ht="15" hidden="1" customHeight="1"/>
    <row r="140" spans="2:43" ht="15" hidden="1" customHeight="1"/>
    <row r="141" spans="2:43" ht="15" hidden="1" customHeight="1"/>
    <row r="142" spans="2:43" ht="15" hidden="1" customHeight="1"/>
    <row r="143" spans="2:43" ht="15" hidden="1" customHeight="1"/>
    <row r="144" spans="2:43" ht="15" hidden="1" customHeight="1"/>
    <row r="145" ht="15" hidden="1" customHeight="1"/>
    <row r="146" ht="15" hidden="1" customHeight="1"/>
    <row r="147" ht="15" hidden="1" customHeight="1"/>
    <row r="148" ht="15" hidden="1" customHeight="1"/>
    <row r="149" ht="15" hidden="1" customHeight="1"/>
    <row r="150" ht="15" hidden="1" customHeight="1"/>
    <row r="151" ht="15" hidden="1" customHeight="1"/>
    <row r="152" ht="15" hidden="1" customHeight="1"/>
    <row r="153" ht="15" hidden="1" customHeight="1"/>
    <row r="154" ht="15" hidden="1" customHeight="1"/>
    <row r="155" ht="15" hidden="1" customHeight="1"/>
    <row r="156" ht="15" hidden="1" customHeight="1"/>
    <row r="157" ht="15" hidden="1" customHeight="1"/>
    <row r="158" ht="15" hidden="1" customHeight="1"/>
    <row r="159" ht="15" hidden="1" customHeight="1"/>
    <row r="160" ht="15" hidden="1" customHeight="1"/>
    <row r="161" ht="15" hidden="1" customHeight="1"/>
    <row r="162" ht="15" hidden="1" customHeight="1"/>
    <row r="163" ht="15" hidden="1" customHeight="1"/>
    <row r="164" ht="15" hidden="1" customHeight="1"/>
    <row r="165" ht="15" hidden="1"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sheetData>
  <pageMargins left="0.23622047244094491" right="0.23622047244094491" top="0.74803149606299213" bottom="0.74803149606299213" header="0.31496062992125984" footer="0.31496062992125984"/>
  <pageSetup paperSize="8" scale="74" fitToHeight="0" orientation="portrait" r:id="rId1"/>
  <headerFooter>
    <oddFooter>&amp;LDraft at &amp;D&amp;C&amp;P of &amp;N&amp;R"&amp;A" sheet</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5">
    <tabColor theme="7" tint="0.59999389629810485"/>
  </sheetPr>
  <dimension ref="A1:AU382"/>
  <sheetViews>
    <sheetView zoomScale="75" zoomScaleNormal="75" zoomScaleSheetLayoutView="70" workbookViewId="0">
      <pane xSplit="35" ySplit="7" topLeftCell="AJ8" activePane="bottomRight" state="frozen"/>
      <selection activeCell="F444" sqref="F444"/>
      <selection pane="topRight" activeCell="F444" sqref="F444"/>
      <selection pane="bottomLeft" activeCell="F444" sqref="F444"/>
      <selection pane="bottomRight" activeCell="AJ167" sqref="AJ167"/>
    </sheetView>
  </sheetViews>
  <sheetFormatPr defaultColWidth="9" defaultRowHeight="15" customHeight="1" zeroHeight="1" outlineLevelCol="1"/>
  <cols>
    <col min="1" max="3" width="1.625" style="149" customWidth="1"/>
    <col min="4" max="4" width="4.25" style="149" customWidth="1"/>
    <col min="5" max="5" width="61.25" style="149" customWidth="1"/>
    <col min="6" max="6" width="5" style="149" customWidth="1"/>
    <col min="7" max="7" width="12.625" style="149" customWidth="1"/>
    <col min="8" max="8" width="1.625" style="149" customWidth="1"/>
    <col min="9" max="9" width="10.625" style="149" customWidth="1"/>
    <col min="10" max="10" width="1.625" style="149" customWidth="1"/>
    <col min="11" max="35" width="10.625" style="149" hidden="1" customWidth="1" outlineLevel="1"/>
    <col min="36" max="36" width="10.625" style="149" customWidth="1" collapsed="1"/>
    <col min="37" max="42" width="10.625" style="149" customWidth="1"/>
    <col min="43" max="43" width="11.125" style="149" customWidth="1"/>
    <col min="44" max="44" width="1.625" style="149" customWidth="1"/>
    <col min="45" max="47" width="9" style="149" customWidth="1"/>
    <col min="48" max="16384" width="9" style="149"/>
  </cols>
  <sheetData>
    <row r="1" spans="1:44" s="10" customFormat="1">
      <c r="A1" s="349" t="s">
        <v>347</v>
      </c>
      <c r="J1" s="350"/>
      <c r="K1" s="350"/>
      <c r="L1" s="350"/>
      <c r="M1" s="350"/>
      <c r="N1" s="350"/>
      <c r="O1" s="350"/>
      <c r="P1" s="350"/>
      <c r="Q1" s="350"/>
      <c r="R1" s="350"/>
      <c r="S1" s="350"/>
      <c r="T1" s="350"/>
      <c r="U1" s="350"/>
      <c r="V1" s="350"/>
      <c r="W1" s="350"/>
      <c r="X1" s="350"/>
      <c r="AJ1" s="355" t="s">
        <v>639</v>
      </c>
      <c r="AR1" s="351"/>
    </row>
    <row r="2" spans="1:44" s="10" customFormat="1" ht="15" customHeight="1">
      <c r="B2" s="10" t="str">
        <f>UserInterface!G24</f>
        <v>SPN</v>
      </c>
    </row>
    <row r="3" spans="1:44" s="10" customFormat="1" ht="15" customHeight="1"/>
    <row r="4" spans="1:44" s="10" customFormat="1" ht="15" customHeight="1">
      <c r="G4" s="10" t="e">
        <f>#REF!</f>
        <v>#REF!</v>
      </c>
    </row>
    <row r="5" spans="1:44" s="10" customFormat="1" ht="15" customHeight="1"/>
    <row r="6" spans="1:44" s="10" customFormat="1" ht="15" customHeight="1">
      <c r="E6" s="9" t="s">
        <v>44</v>
      </c>
      <c r="F6" s="9"/>
      <c r="G6" s="9" t="s">
        <v>40</v>
      </c>
      <c r="H6" s="9"/>
      <c r="I6" s="9" t="s">
        <v>43</v>
      </c>
      <c r="AJ6" s="9" t="s">
        <v>41</v>
      </c>
    </row>
    <row r="7" spans="1:44" s="10" customFormat="1" ht="15" customHeight="1">
      <c r="E7" s="10" t="s">
        <v>236</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row>
    <row r="8" spans="1:44" ht="15" customHeight="1"/>
    <row r="9" spans="1:44" ht="15" customHeight="1">
      <c r="B9" s="334" t="s">
        <v>103</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0" spans="1:44" ht="15" customHeight="1">
      <c r="B10" s="196" t="s">
        <v>360</v>
      </c>
      <c r="C10" s="197"/>
      <c r="D10" s="197"/>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row>
    <row r="11" spans="1:44" ht="15" customHeight="1"/>
    <row r="12" spans="1:44" ht="15" customHeight="1"/>
    <row r="13" spans="1:44" s="157" customFormat="1" ht="15" customHeight="1">
      <c r="C13" s="332" t="s">
        <v>103</v>
      </c>
      <c r="D13" s="332"/>
      <c r="E13" s="332"/>
      <c r="F13" s="332"/>
      <c r="G13" s="332"/>
      <c r="H13" s="332"/>
      <c r="I13" s="332"/>
      <c r="J13" s="332"/>
      <c r="K13" s="332"/>
      <c r="L13" s="332"/>
      <c r="M13" s="332"/>
      <c r="N13" s="332"/>
      <c r="O13" s="332"/>
      <c r="P13" s="332"/>
      <c r="Q13" s="332"/>
      <c r="R13" s="332"/>
      <c r="S13" s="332"/>
      <c r="T13" s="33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row>
    <row r="14" spans="1:44" s="157" customFormat="1" ht="15" customHeight="1">
      <c r="C14" s="197" t="s">
        <v>416</v>
      </c>
      <c r="D14" s="197"/>
      <c r="E14" s="197"/>
      <c r="F14" s="197"/>
      <c r="G14" s="197"/>
      <c r="H14" s="197"/>
      <c r="I14" s="197"/>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9"/>
      <c r="AH14" s="199"/>
      <c r="AI14" s="199"/>
      <c r="AJ14" s="199"/>
      <c r="AK14" s="199"/>
      <c r="AL14" s="199"/>
      <c r="AM14" s="199"/>
      <c r="AN14" s="199"/>
      <c r="AO14" s="199"/>
      <c r="AP14" s="199"/>
      <c r="AQ14" s="199"/>
    </row>
    <row r="15" spans="1:44" s="157" customFormat="1" ht="15" customHeight="1">
      <c r="C15" s="197" t="s">
        <v>722</v>
      </c>
      <c r="D15" s="197"/>
      <c r="E15" s="197"/>
      <c r="F15" s="197"/>
      <c r="G15" s="197"/>
      <c r="H15" s="197"/>
      <c r="I15" s="197"/>
      <c r="J15" s="197"/>
      <c r="K15" s="197"/>
      <c r="L15" s="197"/>
      <c r="M15" s="197"/>
      <c r="N15" s="197"/>
      <c r="O15" s="197"/>
      <c r="P15" s="197"/>
      <c r="Q15" s="197"/>
      <c r="R15" s="197"/>
      <c r="S15" s="197"/>
      <c r="T15" s="197"/>
      <c r="U15" s="197"/>
      <c r="V15" s="197"/>
      <c r="W15" s="197"/>
      <c r="X15" s="197"/>
      <c r="Y15" s="197"/>
      <c r="Z15" s="197"/>
      <c r="AA15" s="197"/>
      <c r="AB15" s="197"/>
      <c r="AC15" s="197"/>
      <c r="AD15" s="197"/>
      <c r="AE15" s="197"/>
      <c r="AF15" s="197"/>
      <c r="AG15" s="199"/>
      <c r="AH15" s="199"/>
      <c r="AI15" s="199"/>
      <c r="AJ15" s="199"/>
      <c r="AK15" s="199"/>
      <c r="AL15" s="199"/>
      <c r="AM15" s="199"/>
      <c r="AN15" s="199"/>
      <c r="AO15" s="199"/>
      <c r="AP15" s="199"/>
      <c r="AQ15" s="199"/>
    </row>
    <row r="16" spans="1:44" s="157" customFormat="1" ht="15" customHeight="1">
      <c r="C16" s="197" t="s">
        <v>721</v>
      </c>
      <c r="D16" s="197"/>
      <c r="E16" s="197"/>
      <c r="F16" s="197"/>
      <c r="G16" s="197"/>
      <c r="H16" s="197"/>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9"/>
      <c r="AH16" s="199"/>
      <c r="AI16" s="199"/>
      <c r="AJ16" s="199"/>
      <c r="AK16" s="199"/>
      <c r="AL16" s="199"/>
      <c r="AM16" s="199"/>
      <c r="AN16" s="199"/>
      <c r="AO16" s="199"/>
      <c r="AP16" s="199"/>
      <c r="AQ16" s="199"/>
    </row>
    <row r="17" spans="3:46" s="157" customFormat="1" ht="15" customHeight="1">
      <c r="C17" s="197" t="s">
        <v>588</v>
      </c>
      <c r="D17" s="197"/>
      <c r="E17" s="197"/>
      <c r="F17" s="197"/>
      <c r="G17" s="197"/>
      <c r="H17" s="197"/>
      <c r="I17" s="197"/>
      <c r="J17" s="197"/>
      <c r="K17" s="197"/>
      <c r="L17" s="197"/>
      <c r="M17" s="197"/>
      <c r="N17" s="197"/>
      <c r="O17" s="197"/>
      <c r="P17" s="197"/>
      <c r="Q17" s="197"/>
      <c r="R17" s="197"/>
      <c r="S17" s="197"/>
      <c r="T17" s="197"/>
      <c r="U17" s="197"/>
      <c r="V17" s="197"/>
      <c r="W17" s="197"/>
      <c r="X17" s="197"/>
      <c r="Y17" s="197"/>
      <c r="Z17" s="197"/>
      <c r="AA17" s="197"/>
      <c r="AB17" s="197"/>
      <c r="AC17" s="197"/>
      <c r="AD17" s="197"/>
      <c r="AE17" s="197"/>
      <c r="AF17" s="197"/>
      <c r="AG17" s="199"/>
      <c r="AH17" s="199"/>
      <c r="AI17" s="199"/>
      <c r="AJ17" s="199"/>
      <c r="AK17" s="199"/>
      <c r="AL17" s="199"/>
      <c r="AM17" s="199"/>
      <c r="AN17" s="199"/>
      <c r="AO17" s="199"/>
      <c r="AP17" s="199"/>
      <c r="AQ17" s="199"/>
    </row>
    <row r="18" spans="3:46" s="157" customFormat="1" ht="15" customHeight="1">
      <c r="E18" s="35"/>
      <c r="J18" s="33"/>
      <c r="K18" s="33"/>
      <c r="L18" s="33"/>
      <c r="M18" s="33"/>
      <c r="N18" s="33"/>
      <c r="O18" s="33"/>
      <c r="P18" s="33"/>
      <c r="Q18" s="33"/>
      <c r="R18" s="33"/>
      <c r="S18" s="33"/>
      <c r="T18" s="33"/>
      <c r="U18" s="33"/>
      <c r="V18" s="33"/>
      <c r="W18" s="33"/>
      <c r="X18" s="33"/>
    </row>
    <row r="19" spans="3:46" s="157" customFormat="1" ht="15" customHeight="1">
      <c r="E19" s="157" t="s">
        <v>259</v>
      </c>
      <c r="G19" s="157" t="s">
        <v>27</v>
      </c>
      <c r="J19" s="33"/>
      <c r="K19" s="33"/>
      <c r="L19" s="33"/>
      <c r="M19" s="33"/>
      <c r="N19" s="33"/>
      <c r="O19" s="33"/>
      <c r="P19" s="33"/>
      <c r="Q19" s="33"/>
      <c r="R19" s="33"/>
      <c r="S19" s="33"/>
      <c r="T19" s="33"/>
      <c r="U19" s="33"/>
      <c r="V19" s="33"/>
      <c r="W19" s="33"/>
      <c r="X19" s="33"/>
      <c r="AJ19" s="42"/>
      <c r="AK19" s="157">
        <f>AJ36</f>
        <v>-1102.4204078091404</v>
      </c>
      <c r="AL19" s="157">
        <f t="shared" ref="AL19:AQ19" si="0">AK36</f>
        <v>-1196.1619753696239</v>
      </c>
      <c r="AM19" s="157">
        <f t="shared" si="0"/>
        <v>-1282.2878380001716</v>
      </c>
      <c r="AN19" s="157">
        <f t="shared" si="0"/>
        <v>-1355.6683211513048</v>
      </c>
      <c r="AO19" s="157">
        <f t="shared" si="0"/>
        <v>-1415.1717189817018</v>
      </c>
      <c r="AP19" s="157">
        <f t="shared" si="0"/>
        <v>-1459.8593520856016</v>
      </c>
      <c r="AQ19" s="157">
        <f t="shared" si="0"/>
        <v>-1495.0050655433495</v>
      </c>
    </row>
    <row r="20" spans="3:46" s="157" customFormat="1" ht="15" customHeight="1">
      <c r="E20" s="157" t="s">
        <v>168</v>
      </c>
      <c r="G20" s="157" t="s">
        <v>27</v>
      </c>
      <c r="J20" s="33"/>
      <c r="K20" s="33"/>
      <c r="L20" s="33"/>
      <c r="M20" s="33"/>
      <c r="N20" s="33"/>
      <c r="O20" s="33"/>
      <c r="P20" s="33"/>
      <c r="Q20" s="33"/>
      <c r="R20" s="33"/>
      <c r="S20" s="33"/>
      <c r="T20" s="33"/>
      <c r="U20" s="33"/>
      <c r="V20" s="33"/>
      <c r="W20" s="33"/>
      <c r="X20" s="33"/>
      <c r="AJ20" s="42"/>
      <c r="AK20" s="157">
        <f>AK80</f>
        <v>0</v>
      </c>
      <c r="AL20" s="157">
        <f t="shared" ref="AL20:AQ20" si="1">AL80</f>
        <v>0</v>
      </c>
      <c r="AM20" s="157">
        <f t="shared" si="1"/>
        <v>0</v>
      </c>
      <c r="AN20" s="157">
        <f t="shared" si="1"/>
        <v>0</v>
      </c>
      <c r="AO20" s="157">
        <f t="shared" si="1"/>
        <v>0</v>
      </c>
      <c r="AP20" s="157">
        <f t="shared" si="1"/>
        <v>0</v>
      </c>
      <c r="AQ20" s="157">
        <f t="shared" si="1"/>
        <v>0</v>
      </c>
    </row>
    <row r="21" spans="3:46" s="157" customFormat="1" ht="15" customHeight="1">
      <c r="E21" s="157" t="s">
        <v>260</v>
      </c>
      <c r="G21" s="157" t="s">
        <v>27</v>
      </c>
      <c r="J21" s="33"/>
      <c r="K21" s="33"/>
      <c r="L21" s="33"/>
      <c r="M21" s="33"/>
      <c r="N21" s="33"/>
      <c r="O21" s="33"/>
      <c r="P21" s="33"/>
      <c r="Q21" s="33"/>
      <c r="R21" s="33"/>
      <c r="S21" s="33"/>
      <c r="T21" s="33"/>
      <c r="U21" s="33"/>
      <c r="V21" s="33"/>
      <c r="W21" s="33"/>
      <c r="X21" s="33"/>
      <c r="AJ21" s="42"/>
      <c r="AK21" s="159">
        <f>SUM(AK19:AK20)</f>
        <v>-1102.4204078091404</v>
      </c>
      <c r="AL21" s="167">
        <f t="shared" ref="AL21:AQ21" si="2">SUM(AL19:AL20)</f>
        <v>-1196.1619753696239</v>
      </c>
      <c r="AM21" s="167">
        <f t="shared" si="2"/>
        <v>-1282.2878380001716</v>
      </c>
      <c r="AN21" s="167">
        <f t="shared" si="2"/>
        <v>-1355.6683211513048</v>
      </c>
      <c r="AO21" s="167">
        <f t="shared" si="2"/>
        <v>-1415.1717189817018</v>
      </c>
      <c r="AP21" s="167">
        <f t="shared" si="2"/>
        <v>-1459.8593520856016</v>
      </c>
      <c r="AQ21" s="167">
        <f t="shared" si="2"/>
        <v>-1495.0050655433495</v>
      </c>
    </row>
    <row r="22" spans="3:46" s="157" customFormat="1" ht="15" customHeight="1">
      <c r="E22" s="157" t="s">
        <v>261</v>
      </c>
      <c r="G22" s="157" t="s">
        <v>27</v>
      </c>
      <c r="J22" s="33"/>
      <c r="K22" s="33"/>
      <c r="L22" s="33"/>
      <c r="M22" s="33"/>
      <c r="N22" s="33"/>
      <c r="O22" s="33"/>
      <c r="P22" s="33"/>
      <c r="Q22" s="33"/>
      <c r="R22" s="33"/>
      <c r="S22" s="33"/>
      <c r="T22" s="33"/>
      <c r="U22" s="33"/>
      <c r="V22" s="33"/>
      <c r="W22" s="33"/>
      <c r="X22" s="33"/>
      <c r="AJ22" s="110">
        <f>-AJ61 * (AJ50)</f>
        <v>-1030.750970109631</v>
      </c>
      <c r="AK22" s="167">
        <f t="shared" ref="AK22:AQ22" si="3">SUM(AK21:AK21)</f>
        <v>-1102.4204078091404</v>
      </c>
      <c r="AL22" s="167">
        <f t="shared" si="3"/>
        <v>-1196.1619753696239</v>
      </c>
      <c r="AM22" s="167">
        <f t="shared" si="3"/>
        <v>-1282.2878380001716</v>
      </c>
      <c r="AN22" s="167">
        <f t="shared" si="3"/>
        <v>-1355.6683211513048</v>
      </c>
      <c r="AO22" s="167">
        <f t="shared" si="3"/>
        <v>-1415.1717189817018</v>
      </c>
      <c r="AP22" s="167">
        <f t="shared" si="3"/>
        <v>-1459.8593520856016</v>
      </c>
      <c r="AQ22" s="167">
        <f t="shared" si="3"/>
        <v>-1495.0050655433495</v>
      </c>
    </row>
    <row r="23" spans="3:46" s="157" customFormat="1" ht="15" customHeight="1">
      <c r="E23" s="157" t="s">
        <v>228</v>
      </c>
      <c r="G23" s="157" t="s">
        <v>27</v>
      </c>
      <c r="J23" s="33"/>
      <c r="K23" s="33"/>
      <c r="L23" s="33"/>
      <c r="M23" s="33"/>
      <c r="N23" s="33"/>
      <c r="O23" s="33"/>
      <c r="P23" s="33"/>
      <c r="Q23" s="33"/>
      <c r="R23" s="33"/>
      <c r="S23" s="33"/>
      <c r="T23" s="33"/>
      <c r="U23" s="33"/>
      <c r="V23" s="33"/>
      <c r="W23" s="33"/>
      <c r="X23" s="33"/>
      <c r="AJ23" s="157">
        <f>Revenue!AJ20*Input!AJ$57/Input!$AG$57</f>
        <v>338.03704233920985</v>
      </c>
      <c r="AK23" s="157">
        <f>Revenue!AK20*Input!AK$57/Input!$AG$57</f>
        <v>358.04908680764697</v>
      </c>
      <c r="AL23" s="157">
        <f>Revenue!AL20*Input!AL$57/Input!$AG$57</f>
        <v>379.13573527897171</v>
      </c>
      <c r="AM23" s="157">
        <f>Revenue!AM20*Input!AM$57/Input!$AG$57</f>
        <v>400.8109729601523</v>
      </c>
      <c r="AN23" s="157">
        <f>Revenue!AN20*Input!AN$57/Input!$AG$57</f>
        <v>423.08066695398969</v>
      </c>
      <c r="AO23" s="157">
        <f>Revenue!AO20*Input!AO$57/Input!$AG$57</f>
        <v>446.55091670007033</v>
      </c>
      <c r="AP23" s="157">
        <f>Revenue!AP20*Input!AP$57/Input!$AG$57</f>
        <v>470.63351121747388</v>
      </c>
      <c r="AQ23" s="157">
        <f>Revenue!AQ20*Input!AQ$57/Input!$AG$57</f>
        <v>496.33101072747661</v>
      </c>
    </row>
    <row r="24" spans="3:46" s="157" customFormat="1" ht="15" customHeight="1">
      <c r="E24" s="157" t="s">
        <v>720</v>
      </c>
      <c r="G24" s="157" t="s">
        <v>27</v>
      </c>
      <c r="J24" s="33"/>
      <c r="K24" s="33"/>
      <c r="L24" s="33"/>
      <c r="M24" s="33"/>
      <c r="N24" s="33"/>
      <c r="O24" s="33"/>
      <c r="P24" s="33"/>
      <c r="Q24" s="33"/>
      <c r="R24" s="33"/>
      <c r="S24" s="33"/>
      <c r="T24" s="33"/>
      <c r="U24" s="33"/>
      <c r="V24" s="33"/>
      <c r="W24" s="33"/>
      <c r="X24" s="33"/>
      <c r="AJ24" s="157">
        <f>DARTs!AJ69 * Input!AJ$57 / Input!$AG$57</f>
        <v>-27.307671467067404</v>
      </c>
      <c r="AK24" s="157">
        <f>DARTs!AK69 * Input!AK$57 / Input!$AG$57</f>
        <v>-29.033024117494872</v>
      </c>
      <c r="AL24" s="157">
        <f>DARTs!AL69 * Input!AL$57 / Input!$AG$57</f>
        <v>-31.07596179732483</v>
      </c>
      <c r="AM24" s="157">
        <f>DARTs!AM69 * Input!AM$57 / Input!$AG$57</f>
        <v>-33.077771086373311</v>
      </c>
      <c r="AN24" s="157">
        <f>DARTs!AN69 * Input!AN$57 / Input!$AG$57</f>
        <v>-35.016195674353582</v>
      </c>
      <c r="AO24" s="157">
        <f>DARTs!AO69 * Input!AO$57 / Input!$AG$57</f>
        <v>-36.781277993520753</v>
      </c>
      <c r="AP24" s="157">
        <f>DARTs!AP69 * Input!AP$57 / Input!$AG$57</f>
        <v>-38.084202688367846</v>
      </c>
      <c r="AQ24" s="157">
        <f>DARTs!AQ69 * Input!AQ$57 / Input!$AG$57</f>
        <v>-39.25659617516547</v>
      </c>
    </row>
    <row r="25" spans="3:46" ht="15" customHeight="1">
      <c r="D25" s="157"/>
      <c r="E25" s="195" t="s">
        <v>183</v>
      </c>
      <c r="G25" s="195" t="s">
        <v>27</v>
      </c>
      <c r="AI25" s="157"/>
      <c r="AJ25" s="149">
        <f>-Totex!AJ90 * Input!AJ57 / Input!$AG57</f>
        <v>-253.39828080932423</v>
      </c>
      <c r="AK25" s="149">
        <f>-Totex!AK90 * Input!AK57 / Input!$AG57</f>
        <v>-285.60609527766331</v>
      </c>
      <c r="AL25" s="149">
        <f>-Totex!AL90 * Input!AL57 / Input!$AG57</f>
        <v>-287.16730721646115</v>
      </c>
      <c r="AM25" s="149">
        <f>-Totex!AM90 * Input!AM57 / Input!$AG57</f>
        <v>-286.38251004943834</v>
      </c>
      <c r="AN25" s="149">
        <f>-Totex!AN90 * Input!AN57 / Input!$AG57</f>
        <v>-286.28479998249134</v>
      </c>
      <c r="AO25" s="149">
        <f>-Totex!AO90 * Input!AO57 / Input!$AG57</f>
        <v>-286.04582378526749</v>
      </c>
      <c r="AP25" s="149">
        <f>-Totex!AP90 * Input!AP57 / Input!$AG57</f>
        <v>-295.75934793401899</v>
      </c>
      <c r="AQ25" s="149">
        <f>-Totex!AQ90 * Input!AQ57 / Input!$AG57</f>
        <v>-297.08593950144177</v>
      </c>
      <c r="AR25" s="157"/>
      <c r="AT25" s="157"/>
    </row>
    <row r="26" spans="3:46" ht="15" customHeight="1">
      <c r="D26" s="157"/>
      <c r="E26" s="195" t="s">
        <v>184</v>
      </c>
      <c r="G26" s="195" t="s">
        <v>27</v>
      </c>
      <c r="AI26" s="157"/>
      <c r="AJ26" s="152">
        <f>-(Input!AJ235) * Input!AJ57 / Input!$AG57</f>
        <v>-36.826928094929116</v>
      </c>
      <c r="AK26" s="152">
        <f>-(Input!AK235) * Input!AK57 / Input!$AG57</f>
        <v>-38.567345378244219</v>
      </c>
      <c r="AL26" s="152">
        <f>-(Input!AL235) * Input!AL57 / Input!$AG57</f>
        <v>-41.735501243090475</v>
      </c>
      <c r="AM26" s="152">
        <f>-(Input!AM235) * Input!AM57 / Input!$AG57</f>
        <v>-43.429679855055177</v>
      </c>
      <c r="AN26" s="152">
        <f>-(Input!AN235) * Input!AN57 / Input!$AG57</f>
        <v>-44.619204567764186</v>
      </c>
      <c r="AO26" s="152">
        <f>-(Input!AO235) * Input!AO57 / Input!$AG57</f>
        <v>-47.236475360298918</v>
      </c>
      <c r="AP26" s="152">
        <f>-(Input!AP235) * Input!AP57 / Input!$AG57</f>
        <v>-46.775878450061718</v>
      </c>
      <c r="AQ26" s="152">
        <f>-(Input!AQ235) * Input!AQ57 / Input!$AG57</f>
        <v>-48.510846764266333</v>
      </c>
      <c r="AR26" s="157"/>
      <c r="AT26" s="157"/>
    </row>
    <row r="27" spans="3:46" ht="15" customHeight="1">
      <c r="D27" s="157"/>
      <c r="E27" s="157" t="s">
        <v>177</v>
      </c>
      <c r="F27" s="152"/>
      <c r="G27" s="195" t="s">
        <v>27</v>
      </c>
      <c r="H27" s="152"/>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f t="shared" ref="AJ27:AQ27" si="4">-AJ155</f>
        <v>-29.2438153991741</v>
      </c>
      <c r="AK27" s="152">
        <f t="shared" si="4"/>
        <v>-31.006487313887746</v>
      </c>
      <c r="AL27" s="152">
        <f t="shared" si="4"/>
        <v>-32.694182242346834</v>
      </c>
      <c r="AM27" s="152">
        <f t="shared" si="4"/>
        <v>-34.268167923256776</v>
      </c>
      <c r="AN27" s="152">
        <f t="shared" si="4"/>
        <v>-35.92809643273916</v>
      </c>
      <c r="AO27" s="152">
        <f t="shared" si="4"/>
        <v>-37.517783346008159</v>
      </c>
      <c r="AP27" s="152">
        <f t="shared" si="4"/>
        <v>-39.17783753141525</v>
      </c>
      <c r="AQ27" s="152">
        <f t="shared" si="4"/>
        <v>-40.848006472333836</v>
      </c>
      <c r="AR27" s="157"/>
      <c r="AT27" s="157"/>
    </row>
    <row r="28" spans="3:46" ht="15" customHeight="1">
      <c r="D28" s="157"/>
      <c r="E28" s="157" t="s">
        <v>709</v>
      </c>
      <c r="F28" s="152"/>
      <c r="G28" s="195" t="s">
        <v>27</v>
      </c>
      <c r="H28" s="152"/>
      <c r="I28" s="152"/>
      <c r="J28" s="152"/>
      <c r="K28" s="152"/>
      <c r="L28" s="152"/>
      <c r="M28" s="152"/>
      <c r="N28" s="152"/>
      <c r="O28" s="152"/>
      <c r="P28" s="152"/>
      <c r="Q28" s="152"/>
      <c r="R28" s="152"/>
      <c r="S28" s="152"/>
      <c r="T28" s="152"/>
      <c r="U28" s="152"/>
      <c r="V28" s="152"/>
      <c r="W28" s="152"/>
      <c r="X28" s="152"/>
      <c r="Y28" s="152"/>
      <c r="Z28" s="152"/>
      <c r="AA28" s="152"/>
      <c r="AB28" s="152"/>
      <c r="AC28" s="152"/>
      <c r="AD28" s="152"/>
      <c r="AE28" s="152"/>
      <c r="AF28" s="152"/>
      <c r="AG28" s="152"/>
      <c r="AH28" s="152"/>
      <c r="AI28" s="152"/>
      <c r="AJ28" s="152">
        <f xml:space="preserve"> - ((Input!AJ332) * $AJ$61) * Input!AJ57 / Input!$AG57</f>
        <v>0</v>
      </c>
      <c r="AK28" s="152">
        <f xml:space="preserve"> - ((Input!AK332) * $AJ$61) * Input!AK57 / Input!$AG57</f>
        <v>0</v>
      </c>
      <c r="AL28" s="152">
        <f xml:space="preserve"> - ((Input!AL332) * $AJ$61) * Input!AL57 / Input!$AG57</f>
        <v>0</v>
      </c>
      <c r="AM28" s="152">
        <f xml:space="preserve"> - ((Input!AM332) * $AJ$61) * Input!AM57 / Input!$AG57</f>
        <v>0</v>
      </c>
      <c r="AN28" s="152">
        <f xml:space="preserve"> - ((Input!AN332) * $AJ$61) * Input!AN57 / Input!$AG57</f>
        <v>0</v>
      </c>
      <c r="AO28" s="152">
        <f xml:space="preserve"> - ((Input!AO332) * $AJ$61) * Input!AO57 / Input!$AG57</f>
        <v>0</v>
      </c>
      <c r="AP28" s="152">
        <f xml:space="preserve"> - ((Input!AP332) * $AJ$61) * Input!AP57 / Input!$AG57</f>
        <v>0</v>
      </c>
      <c r="AQ28" s="152">
        <f xml:space="preserve"> - ((Input!AQ332) * $AJ$61) * Input!AQ57 / Input!$AG57</f>
        <v>0</v>
      </c>
      <c r="AR28" s="157"/>
      <c r="AT28" s="157"/>
    </row>
    <row r="29" spans="3:46" ht="15" customHeight="1">
      <c r="D29" s="157"/>
      <c r="E29" s="157" t="s">
        <v>659</v>
      </c>
      <c r="F29" s="152"/>
      <c r="G29" s="195" t="s">
        <v>27</v>
      </c>
      <c r="H29" s="152"/>
      <c r="I29" s="152"/>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2"/>
      <c r="AH29" s="152"/>
      <c r="AI29" s="152"/>
      <c r="AJ29" s="152">
        <f>-(Input!AJ333) * Input!AJ57 / Input!$AG57</f>
        <v>0</v>
      </c>
      <c r="AK29" s="152">
        <f>-(Input!AK333) * Input!AK57 / Input!$AG57</f>
        <v>0</v>
      </c>
      <c r="AL29" s="152">
        <f>-(Input!AL333) * Input!AL57 / Input!$AG57</f>
        <v>0</v>
      </c>
      <c r="AM29" s="152">
        <f>-(Input!AM333) * Input!AM57 / Input!$AG57</f>
        <v>0</v>
      </c>
      <c r="AN29" s="152">
        <f>-(Input!AN333) * Input!AN57 / Input!$AG57</f>
        <v>0</v>
      </c>
      <c r="AO29" s="152">
        <f>-(Input!AO333) * Input!AO57 / Input!$AG57</f>
        <v>0</v>
      </c>
      <c r="AP29" s="152">
        <f>-(Input!AP333) * Input!AP57 / Input!$AG57</f>
        <v>0</v>
      </c>
      <c r="AQ29" s="152">
        <f>-(Input!AQ333) * Input!AQ57 / Input!$AG57</f>
        <v>0</v>
      </c>
      <c r="AR29" s="157"/>
      <c r="AT29" s="157"/>
    </row>
    <row r="30" spans="3:46" s="157" customFormat="1" ht="15" customHeight="1">
      <c r="E30" s="35" t="s">
        <v>421</v>
      </c>
      <c r="G30" s="157" t="s">
        <v>27</v>
      </c>
      <c r="J30" s="33"/>
      <c r="K30" s="33"/>
      <c r="L30" s="33"/>
      <c r="M30" s="33"/>
      <c r="N30" s="33"/>
      <c r="O30" s="33"/>
      <c r="P30" s="33"/>
      <c r="Q30" s="33"/>
      <c r="R30" s="33"/>
      <c r="S30" s="33"/>
      <c r="T30" s="33"/>
      <c r="U30" s="33"/>
      <c r="V30" s="33"/>
      <c r="W30" s="33"/>
      <c r="X30" s="33"/>
      <c r="AJ30" s="157">
        <f>-AJ145</f>
        <v>0</v>
      </c>
      <c r="AK30" s="157">
        <f t="shared" ref="AK30:AQ30" si="5">-AK145</f>
        <v>0</v>
      </c>
      <c r="AL30" s="157">
        <f t="shared" si="5"/>
        <v>0</v>
      </c>
      <c r="AM30" s="157">
        <f t="shared" si="5"/>
        <v>0</v>
      </c>
      <c r="AN30" s="157">
        <f t="shared" si="5"/>
        <v>0</v>
      </c>
      <c r="AO30" s="157">
        <f t="shared" si="5"/>
        <v>0</v>
      </c>
      <c r="AP30" s="157">
        <f t="shared" si="5"/>
        <v>0</v>
      </c>
      <c r="AQ30" s="157">
        <f t="shared" si="5"/>
        <v>0</v>
      </c>
    </row>
    <row r="31" spans="3:46" ht="15" customHeight="1">
      <c r="E31" s="195" t="s">
        <v>349</v>
      </c>
      <c r="F31" s="152"/>
      <c r="G31" s="157" t="s">
        <v>27</v>
      </c>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67">
        <f>SUM(AJ22:AJ30)</f>
        <v>-1039.490623540916</v>
      </c>
      <c r="AK31" s="167">
        <f t="shared" ref="AK31:AQ31" si="6">SUM(AK22:AK30)</f>
        <v>-1128.5842730887834</v>
      </c>
      <c r="AL31" s="167">
        <f t="shared" si="6"/>
        <v>-1209.6991925898756</v>
      </c>
      <c r="AM31" s="167">
        <f t="shared" si="6"/>
        <v>-1278.6349939541428</v>
      </c>
      <c r="AN31" s="167">
        <f t="shared" si="6"/>
        <v>-1334.4359508546636</v>
      </c>
      <c r="AO31" s="167">
        <f t="shared" si="6"/>
        <v>-1376.202162766727</v>
      </c>
      <c r="AP31" s="167">
        <f t="shared" si="6"/>
        <v>-1409.0231074719916</v>
      </c>
      <c r="AQ31" s="167">
        <f t="shared" si="6"/>
        <v>-1424.3754437290802</v>
      </c>
      <c r="AR31" s="157"/>
      <c r="AT31" s="157"/>
    </row>
    <row r="32" spans="3:46" ht="15" customHeight="1">
      <c r="E32" s="157" t="s">
        <v>355</v>
      </c>
      <c r="F32" s="152"/>
      <c r="G32" s="157" t="s">
        <v>27</v>
      </c>
      <c r="H32" s="152"/>
      <c r="I32" s="152"/>
      <c r="J32" s="152"/>
      <c r="K32" s="152"/>
      <c r="L32" s="152"/>
      <c r="M32" s="152"/>
      <c r="N32" s="152"/>
      <c r="O32" s="152"/>
      <c r="P32" s="152"/>
      <c r="Q32" s="152"/>
      <c r="R32" s="152"/>
      <c r="S32" s="152"/>
      <c r="T32" s="152"/>
      <c r="U32" s="152"/>
      <c r="V32" s="152"/>
      <c r="W32" s="152"/>
      <c r="X32" s="152"/>
      <c r="Y32" s="152"/>
      <c r="Z32" s="152"/>
      <c r="AA32" s="152"/>
      <c r="AB32" s="152"/>
      <c r="AC32" s="152"/>
      <c r="AD32" s="152"/>
      <c r="AE32" s="152"/>
      <c r="AF32" s="152"/>
      <c r="AG32" s="152"/>
      <c r="AH32" s="152"/>
      <c r="AI32" s="152"/>
      <c r="AJ32" s="157">
        <f>AJ131</f>
        <v>-52.874982816179497</v>
      </c>
      <c r="AK32" s="157">
        <f t="shared" ref="AK32:AQ32" si="7">AK131</f>
        <v>-56.981248363900704</v>
      </c>
      <c r="AL32" s="157">
        <f t="shared" si="7"/>
        <v>-61.448333197978826</v>
      </c>
      <c r="AM32" s="157">
        <f t="shared" si="7"/>
        <v>-65.409928250982404</v>
      </c>
      <c r="AN32" s="157">
        <f t="shared" si="7"/>
        <v>-68.709690162181062</v>
      </c>
      <c r="AO32" s="157">
        <f t="shared" si="7"/>
        <v>-71.294790159277653</v>
      </c>
      <c r="AP32" s="157">
        <f t="shared" si="7"/>
        <v>-73.273915270778446</v>
      </c>
      <c r="AQ32" s="157">
        <f t="shared" si="7"/>
        <v>-74.563102167299434</v>
      </c>
      <c r="AR32" s="157"/>
      <c r="AT32" s="157"/>
    </row>
    <row r="33" spans="2:46" ht="15" customHeight="1">
      <c r="E33" s="157" t="s">
        <v>354</v>
      </c>
      <c r="F33" s="152"/>
      <c r="G33" s="157" t="s">
        <v>27</v>
      </c>
      <c r="H33" s="152"/>
      <c r="I33" s="152"/>
      <c r="J33" s="152"/>
      <c r="K33" s="152"/>
      <c r="L33" s="152"/>
      <c r="M33" s="152"/>
      <c r="N33" s="152"/>
      <c r="O33" s="152"/>
      <c r="P33" s="152"/>
      <c r="Q33" s="152"/>
      <c r="R33" s="152"/>
      <c r="S33" s="152"/>
      <c r="T33" s="152"/>
      <c r="U33" s="152"/>
      <c r="V33" s="152"/>
      <c r="W33" s="152"/>
      <c r="X33" s="152"/>
      <c r="Y33" s="152"/>
      <c r="Z33" s="152"/>
      <c r="AA33" s="152"/>
      <c r="AB33" s="152"/>
      <c r="AC33" s="152"/>
      <c r="AD33" s="152"/>
      <c r="AE33" s="152"/>
      <c r="AF33" s="152"/>
      <c r="AG33" s="152"/>
      <c r="AH33" s="152"/>
      <c r="AI33" s="152"/>
      <c r="AJ33" s="157">
        <f>AJ133</f>
        <v>-8.2398990475106899</v>
      </c>
      <c r="AK33" s="157">
        <f t="shared" ref="AK33:AQ33" si="8">AK133</f>
        <v>-8.8798615678963131</v>
      </c>
      <c r="AL33" s="157">
        <f t="shared" si="8"/>
        <v>-9.5762071045765431</v>
      </c>
      <c r="AM33" s="157">
        <f t="shared" si="8"/>
        <v>-10.19379257880124</v>
      </c>
      <c r="AN33" s="157">
        <f t="shared" si="8"/>
        <v>-10.708090687633302</v>
      </c>
      <c r="AO33" s="157">
        <f t="shared" si="8"/>
        <v>-11.110701789166335</v>
      </c>
      <c r="AP33" s="157">
        <f t="shared" si="8"/>
        <v>-11.419037940265053</v>
      </c>
      <c r="AQ33" s="157">
        <f t="shared" si="8"/>
        <v>-11.619842413731464</v>
      </c>
      <c r="AR33" s="157"/>
      <c r="AT33" s="157"/>
    </row>
    <row r="34" spans="2:46" s="157" customFormat="1" ht="15" customHeight="1">
      <c r="E34" s="157" t="s">
        <v>181</v>
      </c>
      <c r="G34" s="157" t="s">
        <v>27</v>
      </c>
      <c r="J34" s="33"/>
      <c r="K34" s="33"/>
      <c r="L34" s="33"/>
      <c r="M34" s="33"/>
      <c r="N34" s="33"/>
      <c r="O34" s="33"/>
      <c r="P34" s="33"/>
      <c r="Q34" s="33"/>
      <c r="R34" s="33"/>
      <c r="S34" s="33"/>
      <c r="T34" s="33"/>
      <c r="U34" s="33"/>
      <c r="V34" s="33"/>
      <c r="W34" s="33"/>
      <c r="X34" s="33"/>
      <c r="AJ34" s="19">
        <f>AJ197</f>
        <v>16.743194485628024</v>
      </c>
      <c r="AK34" s="157">
        <f t="shared" ref="AK34:AQ34" si="9">AK197</f>
        <v>17.532684421388993</v>
      </c>
      <c r="AL34" s="157">
        <f>AL197</f>
        <v>18.465090798956002</v>
      </c>
      <c r="AM34" s="157">
        <f t="shared" si="9"/>
        <v>20.099102071507261</v>
      </c>
      <c r="AN34" s="157">
        <f t="shared" si="9"/>
        <v>22.458383752342638</v>
      </c>
      <c r="AO34" s="157">
        <f t="shared" si="9"/>
        <v>25.129261624858437</v>
      </c>
      <c r="AP34" s="157">
        <f t="shared" si="9"/>
        <v>28.728229311843805</v>
      </c>
      <c r="AQ34" s="157">
        <f t="shared" si="9"/>
        <v>32.33971243412897</v>
      </c>
    </row>
    <row r="35" spans="2:46" ht="15" customHeight="1">
      <c r="E35" s="157" t="s">
        <v>178</v>
      </c>
      <c r="F35" s="152"/>
      <c r="G35" s="195" t="s">
        <v>27</v>
      </c>
      <c r="H35" s="152"/>
      <c r="I35" s="157"/>
      <c r="J35" s="152"/>
      <c r="K35" s="152"/>
      <c r="L35" s="152"/>
      <c r="M35" s="152"/>
      <c r="N35" s="152"/>
      <c r="O35" s="152"/>
      <c r="P35" s="152"/>
      <c r="Q35" s="152"/>
      <c r="R35" s="152"/>
      <c r="S35" s="152"/>
      <c r="T35" s="152"/>
      <c r="U35" s="152"/>
      <c r="V35" s="152"/>
      <c r="W35" s="152"/>
      <c r="X35" s="152"/>
      <c r="Y35" s="152"/>
      <c r="Z35" s="152"/>
      <c r="AA35" s="152"/>
      <c r="AB35" s="152"/>
      <c r="AC35" s="152"/>
      <c r="AD35" s="152"/>
      <c r="AE35" s="152"/>
      <c r="AF35" s="152"/>
      <c r="AG35" s="152"/>
      <c r="AH35" s="152"/>
      <c r="AI35" s="152"/>
      <c r="AJ35" s="152">
        <f>-AJ229</f>
        <v>-18.558096890162258</v>
      </c>
      <c r="AK35" s="152">
        <f t="shared" ref="AK35:AQ35" si="10">-AK229</f>
        <v>-19.249276770432385</v>
      </c>
      <c r="AL35" s="152">
        <f t="shared" si="10"/>
        <v>-20.029195906696717</v>
      </c>
      <c r="AM35" s="152">
        <f t="shared" si="10"/>
        <v>-21.528708438885619</v>
      </c>
      <c r="AN35" s="152">
        <f t="shared" si="10"/>
        <v>-23.776371029566519</v>
      </c>
      <c r="AO35" s="152">
        <f t="shared" si="10"/>
        <v>-26.380958995288921</v>
      </c>
      <c r="AP35" s="152">
        <f t="shared" si="10"/>
        <v>-30.017234172158147</v>
      </c>
      <c r="AQ35" s="152">
        <f t="shared" si="10"/>
        <v>-33.703823342743355</v>
      </c>
      <c r="AR35" s="157"/>
      <c r="AT35" s="157"/>
    </row>
    <row r="36" spans="2:46" s="157" customFormat="1" ht="15" customHeight="1">
      <c r="E36" s="35" t="s">
        <v>255</v>
      </c>
      <c r="G36" s="157" t="s">
        <v>27</v>
      </c>
      <c r="J36" s="33"/>
      <c r="K36" s="33"/>
      <c r="L36" s="33"/>
      <c r="M36" s="33"/>
      <c r="N36" s="33"/>
      <c r="O36" s="33"/>
      <c r="P36" s="33"/>
      <c r="Q36" s="33"/>
      <c r="R36" s="33"/>
      <c r="S36" s="33"/>
      <c r="T36" s="33"/>
      <c r="U36" s="33"/>
      <c r="V36" s="33"/>
      <c r="W36" s="33"/>
      <c r="X36" s="33"/>
      <c r="AH36" s="34">
        <f t="shared" ref="AH36:AQ36" si="11">SUM(AH31:AH35)</f>
        <v>0</v>
      </c>
      <c r="AI36" s="34">
        <f t="shared" si="11"/>
        <v>0</v>
      </c>
      <c r="AJ36" s="34">
        <f t="shared" si="11"/>
        <v>-1102.4204078091404</v>
      </c>
      <c r="AK36" s="34">
        <f t="shared" si="11"/>
        <v>-1196.1619753696239</v>
      </c>
      <c r="AL36" s="34">
        <f t="shared" si="11"/>
        <v>-1282.2878380001716</v>
      </c>
      <c r="AM36" s="34">
        <f t="shared" si="11"/>
        <v>-1355.6683211513048</v>
      </c>
      <c r="AN36" s="34">
        <f t="shared" si="11"/>
        <v>-1415.1717189817018</v>
      </c>
      <c r="AO36" s="34">
        <f t="shared" si="11"/>
        <v>-1459.8593520856016</v>
      </c>
      <c r="AP36" s="34">
        <f t="shared" si="11"/>
        <v>-1495.0050655433495</v>
      </c>
      <c r="AQ36" s="34">
        <f t="shared" si="11"/>
        <v>-1511.9224992187253</v>
      </c>
    </row>
    <row r="37" spans="2:46" s="157" customFormat="1" ht="15" customHeight="1">
      <c r="E37" s="35"/>
      <c r="J37" s="33"/>
      <c r="K37" s="33"/>
      <c r="L37" s="33"/>
      <c r="M37" s="33"/>
      <c r="N37" s="33"/>
      <c r="O37" s="33"/>
      <c r="P37" s="33"/>
      <c r="Q37" s="33"/>
      <c r="R37" s="33"/>
      <c r="S37" s="33"/>
      <c r="T37" s="33"/>
      <c r="U37" s="33"/>
      <c r="V37" s="33"/>
      <c r="W37" s="33"/>
      <c r="X37" s="33"/>
    </row>
    <row r="38" spans="2:46" s="157" customFormat="1" ht="15" customHeight="1">
      <c r="C38" s="332" t="s">
        <v>251</v>
      </c>
      <c r="D38" s="332"/>
      <c r="E38" s="332"/>
      <c r="F38" s="332"/>
      <c r="G38" s="332"/>
      <c r="H38" s="332"/>
      <c r="I38" s="332"/>
      <c r="J38" s="332"/>
      <c r="K38" s="332"/>
      <c r="L38" s="332"/>
      <c r="M38" s="332"/>
      <c r="N38" s="332"/>
      <c r="O38" s="332"/>
      <c r="P38" s="332"/>
      <c r="Q38" s="332"/>
      <c r="R38" s="332"/>
      <c r="S38" s="332"/>
      <c r="T38" s="332"/>
      <c r="U38" s="332"/>
      <c r="V38" s="332"/>
      <c r="W38" s="332"/>
      <c r="X38" s="332"/>
      <c r="Y38" s="332"/>
      <c r="Z38" s="332"/>
      <c r="AA38" s="332"/>
      <c r="AB38" s="332"/>
      <c r="AC38" s="332"/>
      <c r="AD38" s="332"/>
      <c r="AE38" s="332"/>
      <c r="AF38" s="332"/>
      <c r="AG38" s="332"/>
      <c r="AH38" s="332"/>
      <c r="AI38" s="332"/>
      <c r="AJ38" s="332"/>
      <c r="AK38" s="332"/>
      <c r="AL38" s="332"/>
      <c r="AM38" s="332"/>
      <c r="AN38" s="332"/>
      <c r="AO38" s="332"/>
      <c r="AP38" s="332"/>
      <c r="AQ38" s="332"/>
    </row>
    <row r="39" spans="2:46" s="157" customFormat="1" ht="15" customHeight="1">
      <c r="J39" s="33"/>
      <c r="K39" s="33"/>
      <c r="L39" s="33"/>
      <c r="M39" s="33"/>
      <c r="N39" s="33"/>
      <c r="O39" s="33"/>
      <c r="P39" s="33"/>
      <c r="Q39" s="33"/>
      <c r="R39" s="33"/>
      <c r="S39" s="33"/>
      <c r="T39" s="33"/>
      <c r="U39" s="33"/>
      <c r="V39" s="33"/>
      <c r="W39" s="33"/>
      <c r="X39" s="33"/>
    </row>
    <row r="40" spans="2:46" s="157" customFormat="1" ht="15" customHeight="1">
      <c r="E40" s="157" t="s">
        <v>252</v>
      </c>
      <c r="G40" s="157" t="s">
        <v>27</v>
      </c>
      <c r="J40" s="33"/>
      <c r="K40" s="33"/>
      <c r="L40" s="33"/>
      <c r="M40" s="33"/>
      <c r="N40" s="33"/>
      <c r="O40" s="33"/>
      <c r="P40" s="33"/>
      <c r="Q40" s="33"/>
      <c r="R40" s="33"/>
      <c r="S40" s="33"/>
      <c r="T40" s="33"/>
      <c r="U40" s="33"/>
      <c r="V40" s="33"/>
      <c r="W40" s="33"/>
      <c r="X40" s="33"/>
      <c r="AJ40" s="42"/>
      <c r="AK40" s="157">
        <f>AK19</f>
        <v>-1102.4204078091404</v>
      </c>
      <c r="AL40" s="157">
        <f t="shared" ref="AL40:AQ40" si="12">AL19</f>
        <v>-1196.1619753696239</v>
      </c>
      <c r="AM40" s="157">
        <f t="shared" si="12"/>
        <v>-1282.2878380001716</v>
      </c>
      <c r="AN40" s="157">
        <f t="shared" si="12"/>
        <v>-1355.6683211513048</v>
      </c>
      <c r="AO40" s="157">
        <f t="shared" si="12"/>
        <v>-1415.1717189817018</v>
      </c>
      <c r="AP40" s="157">
        <f t="shared" si="12"/>
        <v>-1459.8593520856016</v>
      </c>
      <c r="AQ40" s="157">
        <f t="shared" si="12"/>
        <v>-1495.0050655433495</v>
      </c>
    </row>
    <row r="41" spans="2:46" s="157" customFormat="1" ht="15" customHeight="1">
      <c r="E41" s="157" t="s">
        <v>253</v>
      </c>
      <c r="G41" s="157" t="s">
        <v>27</v>
      </c>
      <c r="J41" s="33"/>
      <c r="K41" s="33"/>
      <c r="L41" s="33"/>
      <c r="M41" s="33"/>
      <c r="N41" s="33"/>
      <c r="O41" s="33"/>
      <c r="P41" s="33"/>
      <c r="Q41" s="33"/>
      <c r="R41" s="33"/>
      <c r="S41" s="33"/>
      <c r="T41" s="33"/>
      <c r="U41" s="33"/>
      <c r="V41" s="33"/>
      <c r="W41" s="33"/>
      <c r="X41" s="33"/>
      <c r="AJ41" s="157">
        <f>AJ22</f>
        <v>-1030.750970109631</v>
      </c>
      <c r="AK41" s="157">
        <f>AK21</f>
        <v>-1102.4204078091404</v>
      </c>
      <c r="AL41" s="157">
        <f t="shared" ref="AL41:AQ41" si="13">AL21</f>
        <v>-1196.1619753696239</v>
      </c>
      <c r="AM41" s="157">
        <f t="shared" si="13"/>
        <v>-1282.2878380001716</v>
      </c>
      <c r="AN41" s="157">
        <f t="shared" si="13"/>
        <v>-1355.6683211513048</v>
      </c>
      <c r="AO41" s="157">
        <f t="shared" si="13"/>
        <v>-1415.1717189817018</v>
      </c>
      <c r="AP41" s="157">
        <f t="shared" si="13"/>
        <v>-1459.8593520856016</v>
      </c>
      <c r="AQ41" s="157">
        <f t="shared" si="13"/>
        <v>-1495.0050655433495</v>
      </c>
    </row>
    <row r="42" spans="2:46" s="157" customFormat="1" ht="15" customHeight="1">
      <c r="J42" s="33"/>
      <c r="K42" s="33"/>
      <c r="L42" s="33"/>
      <c r="M42" s="33"/>
      <c r="N42" s="33"/>
      <c r="O42" s="33"/>
      <c r="P42" s="33"/>
      <c r="Q42" s="33"/>
      <c r="R42" s="33"/>
      <c r="S42" s="33"/>
      <c r="T42" s="33"/>
      <c r="U42" s="33"/>
      <c r="V42" s="33"/>
      <c r="W42" s="33"/>
      <c r="X42" s="33"/>
    </row>
    <row r="43" spans="2:46" s="157" customFormat="1" ht="15" customHeight="1">
      <c r="B43" s="334" t="s">
        <v>270</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4" spans="2:46" s="157" customFormat="1" ht="15" customHeight="1">
      <c r="E44" s="35"/>
      <c r="J44" s="33"/>
      <c r="K44" s="33"/>
      <c r="L44" s="33"/>
      <c r="M44" s="33"/>
      <c r="N44" s="33"/>
      <c r="O44" s="33"/>
      <c r="P44" s="33"/>
      <c r="Q44" s="33"/>
      <c r="R44" s="33"/>
      <c r="S44" s="33"/>
      <c r="T44" s="33"/>
      <c r="U44" s="33"/>
      <c r="V44" s="33"/>
      <c r="W44" s="33"/>
      <c r="X44" s="33"/>
    </row>
    <row r="45" spans="2:46" s="157" customFormat="1" ht="15" customHeight="1">
      <c r="C45" s="354" t="s">
        <v>274</v>
      </c>
      <c r="D45" s="354"/>
      <c r="E45" s="354"/>
      <c r="F45" s="354"/>
      <c r="G45" s="354"/>
      <c r="H45" s="354"/>
      <c r="I45" s="354"/>
      <c r="J45" s="354"/>
      <c r="K45" s="354"/>
      <c r="L45" s="354"/>
      <c r="M45" s="354"/>
      <c r="N45" s="354"/>
      <c r="O45" s="354"/>
      <c r="P45" s="354"/>
      <c r="Q45" s="354"/>
      <c r="R45" s="354"/>
      <c r="S45" s="354"/>
      <c r="T45" s="354"/>
      <c r="U45" s="354"/>
      <c r="V45" s="354"/>
      <c r="W45" s="354"/>
      <c r="X45" s="354"/>
      <c r="Y45" s="354"/>
      <c r="Z45" s="354"/>
      <c r="AA45" s="354"/>
      <c r="AB45" s="354"/>
      <c r="AC45" s="354"/>
      <c r="AD45" s="354"/>
      <c r="AE45" s="354"/>
      <c r="AF45" s="354"/>
      <c r="AG45" s="354"/>
      <c r="AH45" s="354"/>
      <c r="AI45" s="354"/>
      <c r="AJ45" s="354"/>
      <c r="AK45" s="354"/>
      <c r="AL45" s="354"/>
      <c r="AM45" s="354"/>
      <c r="AN45" s="354"/>
      <c r="AO45" s="354"/>
      <c r="AP45" s="354"/>
      <c r="AQ45" s="354"/>
    </row>
    <row r="46" spans="2:46" s="157" customFormat="1" ht="15" customHeight="1">
      <c r="C46" s="197" t="s">
        <v>515</v>
      </c>
      <c r="D46" s="197"/>
      <c r="E46" s="197"/>
      <c r="F46" s="197"/>
      <c r="G46" s="197"/>
      <c r="H46" s="197"/>
      <c r="I46" s="197"/>
      <c r="J46" s="197"/>
      <c r="K46" s="197"/>
      <c r="L46" s="197"/>
      <c r="M46" s="197"/>
      <c r="N46" s="197"/>
      <c r="O46" s="197"/>
      <c r="P46" s="197"/>
      <c r="Q46" s="197"/>
      <c r="R46" s="197"/>
      <c r="S46" s="197"/>
      <c r="T46" s="197"/>
      <c r="U46" s="197"/>
      <c r="V46" s="197"/>
      <c r="W46" s="197"/>
      <c r="X46" s="197"/>
      <c r="Y46" s="197"/>
      <c r="Z46" s="197"/>
      <c r="AA46" s="197"/>
      <c r="AB46" s="197"/>
      <c r="AC46" s="197"/>
      <c r="AD46" s="197"/>
      <c r="AE46" s="197"/>
      <c r="AF46" s="199"/>
      <c r="AG46" s="199"/>
      <c r="AH46" s="199"/>
      <c r="AI46" s="199"/>
      <c r="AJ46" s="197"/>
      <c r="AK46" s="197"/>
      <c r="AL46" s="197"/>
      <c r="AM46" s="197"/>
      <c r="AN46" s="197"/>
      <c r="AO46" s="197"/>
      <c r="AP46" s="197"/>
      <c r="AQ46" s="197"/>
    </row>
    <row r="47" spans="2:46" s="157" customFormat="1" ht="15" customHeight="1">
      <c r="E47" s="35"/>
      <c r="J47" s="33"/>
      <c r="K47" s="33"/>
      <c r="L47" s="33"/>
      <c r="M47" s="33"/>
      <c r="N47" s="33"/>
      <c r="O47" s="33"/>
      <c r="P47" s="33"/>
      <c r="Q47" s="33"/>
      <c r="R47" s="33"/>
      <c r="S47" s="33"/>
      <c r="T47" s="33"/>
      <c r="U47" s="33"/>
      <c r="V47" s="33"/>
      <c r="W47" s="33"/>
      <c r="X47" s="33"/>
    </row>
    <row r="48" spans="2:46" s="157" customFormat="1" ht="15" customHeight="1">
      <c r="E48" s="157" t="s">
        <v>252</v>
      </c>
      <c r="G48" s="157" t="s">
        <v>27</v>
      </c>
      <c r="J48" s="33"/>
      <c r="K48" s="33"/>
      <c r="L48" s="33"/>
      <c r="M48" s="33"/>
      <c r="N48" s="33"/>
      <c r="O48" s="33"/>
      <c r="P48" s="33"/>
      <c r="Q48" s="33"/>
      <c r="R48" s="33"/>
      <c r="S48" s="33"/>
      <c r="T48" s="33"/>
      <c r="U48" s="33"/>
      <c r="V48" s="33"/>
      <c r="W48" s="33"/>
      <c r="X48" s="33"/>
      <c r="AJ48" s="42"/>
      <c r="AK48" s="157">
        <f t="shared" ref="AK48:AQ48" si="14">AK40</f>
        <v>-1102.4204078091404</v>
      </c>
      <c r="AL48" s="157">
        <f t="shared" si="14"/>
        <v>-1196.1619753696239</v>
      </c>
      <c r="AM48" s="157">
        <f t="shared" si="14"/>
        <v>-1282.2878380001716</v>
      </c>
      <c r="AN48" s="157">
        <f t="shared" si="14"/>
        <v>-1355.6683211513048</v>
      </c>
      <c r="AO48" s="157">
        <f t="shared" si="14"/>
        <v>-1415.1717189817018</v>
      </c>
      <c r="AP48" s="157">
        <f t="shared" si="14"/>
        <v>-1459.8593520856016</v>
      </c>
      <c r="AQ48" s="157">
        <f t="shared" si="14"/>
        <v>-1495.0050655433495</v>
      </c>
    </row>
    <row r="49" spans="3:43" s="157" customFormat="1" ht="15" customHeight="1">
      <c r="E49" s="35"/>
      <c r="J49" s="33"/>
      <c r="K49" s="33"/>
      <c r="L49" s="33"/>
      <c r="M49" s="33"/>
      <c r="N49" s="33"/>
      <c r="O49" s="33"/>
      <c r="P49" s="33"/>
      <c r="Q49" s="33"/>
      <c r="R49" s="33"/>
      <c r="S49" s="33"/>
      <c r="T49" s="33"/>
      <c r="U49" s="33"/>
      <c r="V49" s="33"/>
      <c r="W49" s="33"/>
      <c r="X49" s="33"/>
    </row>
    <row r="50" spans="3:43" s="157" customFormat="1" ht="15" customHeight="1">
      <c r="E50" s="35" t="s">
        <v>243</v>
      </c>
      <c r="G50" s="157" t="s">
        <v>27</v>
      </c>
      <c r="J50" s="33"/>
      <c r="K50" s="33"/>
      <c r="L50" s="33"/>
      <c r="M50" s="33"/>
      <c r="N50" s="33"/>
      <c r="O50" s="33"/>
      <c r="P50" s="33"/>
      <c r="Q50" s="33"/>
      <c r="R50" s="33"/>
      <c r="S50" s="33"/>
      <c r="T50" s="33"/>
      <c r="U50" s="33"/>
      <c r="V50" s="33"/>
      <c r="W50" s="33"/>
      <c r="X50" s="33"/>
      <c r="AJ50" s="157">
        <f>('Return&amp;RAV'!AJ44)* Input!AI$57 / Input!$AG$57</f>
        <v>1585.7707232455862</v>
      </c>
      <c r="AK50" s="157">
        <f>('Return&amp;RAV'!AK44)* Input!AJ$57 / Input!$AG$57</f>
        <v>1671.0751656670916</v>
      </c>
      <c r="AL50" s="157">
        <f>('Return&amp;RAV'!AL44)* Input!AK$57 / Input!$AG$57</f>
        <v>1771.7992750792998</v>
      </c>
      <c r="AM50" s="157">
        <f>('Return&amp;RAV'!AM44)* Input!AL$57 / Input!$AG$57</f>
        <v>1868.2389852769618</v>
      </c>
      <c r="AN50" s="157">
        <f>('Return&amp;RAV'!AN44)* Input!AM$57 / Input!$AG$57</f>
        <v>1958.1810241861015</v>
      </c>
      <c r="AO50" s="157">
        <f>('Return&amp;RAV'!AO44)* Input!AN$57 / Input!$AG$57</f>
        <v>2053.0340818708091</v>
      </c>
      <c r="AP50" s="157">
        <f>('Return&amp;RAV'!AP44)* Input!AO$57 / Input!$AG$57</f>
        <v>2143.8733340576091</v>
      </c>
      <c r="AQ50" s="157">
        <f>('Return&amp;RAV'!AQ44)* Input!AP$57 / Input!$AG$57</f>
        <v>2238.7335732237284</v>
      </c>
    </row>
    <row r="51" spans="3:43" s="157" customFormat="1" ht="15" customHeight="1">
      <c r="E51" s="35" t="s">
        <v>263</v>
      </c>
      <c r="G51" s="157" t="s">
        <v>27</v>
      </c>
      <c r="J51" s="33"/>
      <c r="K51" s="33"/>
      <c r="L51" s="33"/>
      <c r="M51" s="33"/>
      <c r="N51" s="33"/>
      <c r="O51" s="33"/>
      <c r="P51" s="33"/>
      <c r="Q51" s="33"/>
      <c r="R51" s="33"/>
      <c r="S51" s="33"/>
      <c r="T51" s="33"/>
      <c r="U51" s="33"/>
      <c r="V51" s="33"/>
      <c r="W51" s="33"/>
      <c r="X51" s="33"/>
      <c r="AJ51" s="167">
        <f t="shared" ref="AJ51:AQ51" si="15">SUM(AJ50:AJ50)</f>
        <v>1585.7707232455862</v>
      </c>
      <c r="AK51" s="167">
        <f t="shared" si="15"/>
        <v>1671.0751656670916</v>
      </c>
      <c r="AL51" s="167">
        <f t="shared" si="15"/>
        <v>1771.7992750792998</v>
      </c>
      <c r="AM51" s="167">
        <f t="shared" si="15"/>
        <v>1868.2389852769618</v>
      </c>
      <c r="AN51" s="167">
        <f t="shared" si="15"/>
        <v>1958.1810241861015</v>
      </c>
      <c r="AO51" s="167">
        <f t="shared" si="15"/>
        <v>2053.0340818708091</v>
      </c>
      <c r="AP51" s="167">
        <f t="shared" si="15"/>
        <v>2143.8733340576091</v>
      </c>
      <c r="AQ51" s="167">
        <f t="shared" si="15"/>
        <v>2238.7335732237284</v>
      </c>
    </row>
    <row r="52" spans="3:43" s="157" customFormat="1" ht="15" customHeight="1">
      <c r="J52" s="33"/>
      <c r="K52" s="33"/>
      <c r="L52" s="33"/>
      <c r="M52" s="33"/>
      <c r="N52" s="33"/>
      <c r="O52" s="33"/>
      <c r="P52" s="33"/>
      <c r="Q52" s="33"/>
      <c r="R52" s="33"/>
      <c r="S52" s="33"/>
      <c r="T52" s="33"/>
      <c r="U52" s="33"/>
      <c r="V52" s="33"/>
      <c r="W52" s="33"/>
      <c r="X52" s="33"/>
    </row>
    <row r="53" spans="3:43" s="157" customFormat="1" ht="15" customHeight="1">
      <c r="E53" s="157" t="s">
        <v>262</v>
      </c>
      <c r="G53" s="157" t="s">
        <v>49</v>
      </c>
      <c r="J53" s="33"/>
      <c r="K53" s="33"/>
      <c r="L53" s="33"/>
      <c r="M53" s="33"/>
      <c r="N53" s="33"/>
      <c r="O53" s="33"/>
      <c r="P53" s="33"/>
      <c r="Q53" s="33"/>
      <c r="R53" s="33"/>
      <c r="S53" s="33"/>
      <c r="T53" s="33"/>
      <c r="U53" s="33"/>
      <c r="V53" s="33"/>
      <c r="W53" s="33"/>
      <c r="X53" s="33"/>
      <c r="AJ53" s="42"/>
      <c r="AK53" s="247">
        <f t="shared" ref="AK53:AQ53" si="16" xml:space="preserve"> - AK48 / AK$51</f>
        <v>0.65970725342510572</v>
      </c>
      <c r="AL53" s="248">
        <f t="shared" si="16"/>
        <v>0.67511144868037476</v>
      </c>
      <c r="AM53" s="248">
        <f t="shared" si="16"/>
        <v>0.68636178139172899</v>
      </c>
      <c r="AN53" s="248">
        <f t="shared" si="16"/>
        <v>0.69231000832253231</v>
      </c>
      <c r="AO53" s="248">
        <f t="shared" si="16"/>
        <v>0.68930746521857011</v>
      </c>
      <c r="AP53" s="248">
        <f t="shared" si="16"/>
        <v>0.68094477826383237</v>
      </c>
      <c r="AQ53" s="248">
        <f t="shared" si="16"/>
        <v>0.66779052381412862</v>
      </c>
    </row>
    <row r="54" spans="3:43" s="157" customFormat="1" ht="15" customHeight="1">
      <c r="E54" s="35"/>
      <c r="J54" s="33"/>
      <c r="K54" s="33"/>
      <c r="L54" s="33"/>
      <c r="M54" s="33"/>
      <c r="N54" s="33"/>
      <c r="O54" s="33"/>
      <c r="P54" s="33"/>
      <c r="Q54" s="33"/>
      <c r="R54" s="33"/>
      <c r="S54" s="33"/>
      <c r="T54" s="33"/>
      <c r="U54" s="33"/>
      <c r="V54" s="33"/>
      <c r="W54" s="33"/>
      <c r="X54" s="33"/>
      <c r="AJ54" s="41"/>
      <c r="AK54" s="41"/>
      <c r="AL54" s="41"/>
      <c r="AM54" s="41"/>
      <c r="AN54" s="41"/>
      <c r="AO54" s="41"/>
      <c r="AP54" s="41"/>
      <c r="AQ54" s="41"/>
    </row>
    <row r="55" spans="3:43" s="157" customFormat="1" ht="15" customHeight="1">
      <c r="C55" s="332" t="s">
        <v>186</v>
      </c>
      <c r="D55" s="332"/>
      <c r="E55" s="332"/>
      <c r="F55" s="332"/>
      <c r="G55" s="332"/>
      <c r="H55" s="332"/>
      <c r="I55" s="332"/>
      <c r="J55" s="332"/>
      <c r="K55" s="332"/>
      <c r="L55" s="332"/>
      <c r="M55" s="332"/>
      <c r="N55" s="332"/>
      <c r="O55" s="332"/>
      <c r="P55" s="332"/>
      <c r="Q55" s="332"/>
      <c r="R55" s="332"/>
      <c r="S55" s="332"/>
      <c r="T55" s="332"/>
      <c r="U55" s="332"/>
      <c r="V55" s="332"/>
      <c r="W55" s="332"/>
      <c r="X55" s="332"/>
      <c r="Y55" s="332"/>
      <c r="Z55" s="332"/>
      <c r="AA55" s="332"/>
      <c r="AB55" s="332"/>
      <c r="AC55" s="332"/>
      <c r="AD55" s="332"/>
      <c r="AE55" s="332"/>
      <c r="AF55" s="354"/>
      <c r="AG55" s="354"/>
      <c r="AH55" s="354"/>
      <c r="AI55" s="354"/>
      <c r="AJ55" s="332"/>
      <c r="AK55" s="332"/>
      <c r="AL55" s="332"/>
      <c r="AM55" s="332"/>
      <c r="AN55" s="332"/>
      <c r="AO55" s="332"/>
      <c r="AP55" s="332"/>
      <c r="AQ55" s="332"/>
    </row>
    <row r="56" spans="3:43" s="157" customFormat="1" ht="15" customHeight="1">
      <c r="C56" s="197" t="s">
        <v>476</v>
      </c>
      <c r="D56" s="197"/>
      <c r="E56" s="197"/>
      <c r="F56" s="197"/>
      <c r="G56" s="197"/>
      <c r="H56" s="197"/>
      <c r="I56" s="197"/>
      <c r="J56" s="197"/>
      <c r="K56" s="197"/>
      <c r="L56" s="197"/>
      <c r="M56" s="197"/>
      <c r="N56" s="197"/>
      <c r="O56" s="197"/>
      <c r="P56" s="197"/>
      <c r="Q56" s="197"/>
      <c r="R56" s="197"/>
      <c r="S56" s="197"/>
      <c r="T56" s="197"/>
      <c r="U56" s="197"/>
      <c r="V56" s="197"/>
      <c r="W56" s="197"/>
      <c r="X56" s="197"/>
      <c r="Y56" s="197"/>
      <c r="Z56" s="197"/>
      <c r="AA56" s="197"/>
      <c r="AB56" s="197"/>
      <c r="AC56" s="197"/>
      <c r="AD56" s="197"/>
      <c r="AE56" s="197"/>
      <c r="AF56" s="199"/>
      <c r="AG56" s="199"/>
      <c r="AH56" s="199"/>
      <c r="AI56" s="199"/>
      <c r="AJ56" s="197"/>
      <c r="AK56" s="197"/>
      <c r="AL56" s="197"/>
      <c r="AM56" s="197"/>
      <c r="AN56" s="197"/>
      <c r="AO56" s="197"/>
      <c r="AP56" s="197"/>
      <c r="AQ56" s="197"/>
    </row>
    <row r="57" spans="3:43" s="157" customFormat="1" ht="15" customHeight="1">
      <c r="C57" s="197" t="s">
        <v>510</v>
      </c>
      <c r="D57" s="197"/>
      <c r="E57" s="197"/>
      <c r="F57" s="197"/>
      <c r="G57" s="197"/>
      <c r="H57" s="197"/>
      <c r="I57" s="197"/>
      <c r="J57" s="197"/>
      <c r="K57" s="197"/>
      <c r="L57" s="197"/>
      <c r="M57" s="197"/>
      <c r="N57" s="197"/>
      <c r="O57" s="197"/>
      <c r="P57" s="197"/>
      <c r="Q57" s="197"/>
      <c r="R57" s="197"/>
      <c r="S57" s="197"/>
      <c r="T57" s="197"/>
      <c r="U57" s="197"/>
      <c r="V57" s="197"/>
      <c r="W57" s="197"/>
      <c r="X57" s="197"/>
      <c r="Y57" s="197"/>
      <c r="Z57" s="197"/>
      <c r="AA57" s="197"/>
      <c r="AB57" s="197"/>
      <c r="AC57" s="197"/>
      <c r="AD57" s="197"/>
      <c r="AE57" s="197"/>
      <c r="AF57" s="199"/>
      <c r="AG57" s="199"/>
      <c r="AH57" s="199"/>
      <c r="AI57" s="199"/>
      <c r="AJ57" s="197"/>
      <c r="AK57" s="197"/>
      <c r="AL57" s="197"/>
      <c r="AM57" s="197"/>
      <c r="AN57" s="197"/>
      <c r="AO57" s="197"/>
      <c r="AP57" s="197"/>
      <c r="AQ57" s="197"/>
    </row>
    <row r="58" spans="3:43" s="157" customFormat="1" ht="15" customHeight="1">
      <c r="E58" s="35"/>
      <c r="J58" s="33"/>
      <c r="K58" s="33"/>
      <c r="L58" s="33"/>
      <c r="M58" s="33"/>
      <c r="N58" s="33"/>
      <c r="O58" s="33"/>
      <c r="P58" s="33"/>
      <c r="Q58" s="33"/>
      <c r="R58" s="33"/>
      <c r="S58" s="33"/>
      <c r="T58" s="33"/>
      <c r="U58" s="33"/>
      <c r="V58" s="33"/>
      <c r="W58" s="33"/>
      <c r="X58" s="33"/>
    </row>
    <row r="59" spans="3:43" s="157" customFormat="1" ht="15" customHeight="1">
      <c r="E59" s="35"/>
      <c r="J59" s="33"/>
      <c r="K59" s="33"/>
      <c r="L59" s="33"/>
      <c r="M59" s="33"/>
      <c r="N59" s="33"/>
      <c r="O59" s="33"/>
      <c r="P59" s="33"/>
      <c r="Q59" s="33"/>
      <c r="R59" s="33"/>
      <c r="S59" s="33"/>
      <c r="T59" s="33"/>
      <c r="U59" s="33"/>
      <c r="V59" s="33"/>
      <c r="W59" s="33"/>
      <c r="X59" s="33"/>
      <c r="AI59" s="239"/>
    </row>
    <row r="60" spans="3:43" s="157" customFormat="1" ht="15" customHeight="1">
      <c r="E60" s="372" t="str">
        <f>"Notional Gearing in "&amp;TEXT($AI$7,"dd-mm-yyyy")</f>
        <v>Notional Gearing in 31-03-2015</v>
      </c>
      <c r="G60" s="41" t="s">
        <v>49</v>
      </c>
      <c r="I60" s="239"/>
      <c r="J60" s="249" t="s">
        <v>56</v>
      </c>
      <c r="K60" s="249"/>
      <c r="L60" s="249"/>
      <c r="M60" s="249"/>
      <c r="N60" s="249"/>
      <c r="O60" s="249"/>
      <c r="P60" s="249"/>
      <c r="Q60" s="249"/>
      <c r="R60" s="249"/>
      <c r="S60" s="249"/>
      <c r="T60" s="249"/>
      <c r="U60" s="249"/>
      <c r="V60" s="249"/>
      <c r="W60" s="249"/>
      <c r="X60" s="249"/>
      <c r="Y60" s="239"/>
      <c r="Z60" s="239"/>
      <c r="AA60" s="239"/>
      <c r="AB60" s="239"/>
      <c r="AC60" s="239"/>
      <c r="AD60" s="239"/>
      <c r="AE60" s="239"/>
      <c r="AF60" s="239"/>
      <c r="AG60" s="239"/>
      <c r="AH60" s="239"/>
      <c r="AI60" s="239"/>
      <c r="AJ60" s="239">
        <f>Input!AI49</f>
        <v>0.65</v>
      </c>
      <c r="AK60" s="372" t="str">
        <f>E60</f>
        <v>Notional Gearing in 31-03-2015</v>
      </c>
    </row>
    <row r="61" spans="3:43" s="157" customFormat="1" ht="15" customHeight="1">
      <c r="E61" s="372" t="str">
        <f>"Notional Gearing in "&amp;TEXT($AJ$7,"dd-mm-yyyy")</f>
        <v>Notional Gearing in 31-03-2016</v>
      </c>
      <c r="G61" s="41" t="s">
        <v>49</v>
      </c>
      <c r="I61" s="239"/>
      <c r="J61" s="249" t="s">
        <v>56</v>
      </c>
      <c r="K61" s="249"/>
      <c r="L61" s="249"/>
      <c r="M61" s="249"/>
      <c r="N61" s="249"/>
      <c r="O61" s="249"/>
      <c r="P61" s="249"/>
      <c r="Q61" s="249"/>
      <c r="R61" s="249"/>
      <c r="S61" s="249"/>
      <c r="T61" s="249"/>
      <c r="U61" s="249"/>
      <c r="V61" s="249"/>
      <c r="W61" s="249"/>
      <c r="X61" s="249"/>
      <c r="Y61" s="239"/>
      <c r="Z61" s="239"/>
      <c r="AA61" s="239"/>
      <c r="AB61" s="239"/>
      <c r="AC61" s="239"/>
      <c r="AD61" s="239"/>
      <c r="AE61" s="239"/>
      <c r="AF61" s="239"/>
      <c r="AG61" s="239"/>
      <c r="AH61" s="239"/>
      <c r="AJ61" s="371">
        <f>Input!AJ49</f>
        <v>0.65</v>
      </c>
      <c r="AK61" s="372" t="str">
        <f>E61</f>
        <v>Notional Gearing in 31-03-2016</v>
      </c>
      <c r="AL61" s="372"/>
      <c r="AM61" s="372"/>
      <c r="AN61" s="372"/>
      <c r="AO61" s="372"/>
      <c r="AP61" s="372"/>
      <c r="AQ61" s="372"/>
    </row>
    <row r="62" spans="3:43" s="157" customFormat="1" ht="15" customHeight="1">
      <c r="E62" s="35"/>
      <c r="I62" s="239"/>
      <c r="J62" s="249"/>
      <c r="K62" s="249"/>
      <c r="L62" s="249"/>
      <c r="M62" s="249"/>
      <c r="N62" s="249"/>
      <c r="O62" s="249"/>
      <c r="P62" s="249"/>
      <c r="Q62" s="249"/>
      <c r="R62" s="249"/>
      <c r="S62" s="249"/>
      <c r="T62" s="249"/>
      <c r="U62" s="249"/>
      <c r="V62" s="249"/>
      <c r="W62" s="249"/>
      <c r="X62" s="249"/>
      <c r="Y62" s="239"/>
      <c r="Z62" s="239"/>
      <c r="AA62" s="239"/>
      <c r="AB62" s="239"/>
      <c r="AC62" s="239"/>
      <c r="AD62" s="239"/>
      <c r="AE62" s="239"/>
      <c r="AF62" s="239"/>
      <c r="AG62" s="239"/>
      <c r="AH62" s="239"/>
      <c r="AI62" s="239"/>
      <c r="AJ62" s="239"/>
      <c r="AK62" s="41"/>
      <c r="AL62" s="41"/>
      <c r="AM62" s="41"/>
      <c r="AN62" s="41"/>
      <c r="AO62" s="41"/>
      <c r="AP62" s="41"/>
      <c r="AQ62" s="41"/>
    </row>
    <row r="63" spans="3:43" s="157" customFormat="1" ht="15" customHeight="1">
      <c r="E63" s="35" t="s">
        <v>147</v>
      </c>
      <c r="G63" s="157" t="s">
        <v>49</v>
      </c>
      <c r="I63" s="239"/>
      <c r="J63" s="249"/>
      <c r="K63" s="249"/>
      <c r="L63" s="249"/>
      <c r="M63" s="249"/>
      <c r="N63" s="249"/>
      <c r="O63" s="249"/>
      <c r="P63" s="249"/>
      <c r="Q63" s="249"/>
      <c r="R63" s="249"/>
      <c r="S63" s="249"/>
      <c r="T63" s="249"/>
      <c r="U63" s="249"/>
      <c r="V63" s="249"/>
      <c r="W63" s="249"/>
      <c r="X63" s="249"/>
      <c r="Y63" s="239"/>
      <c r="Z63" s="239"/>
      <c r="AA63" s="239"/>
      <c r="AB63" s="239"/>
      <c r="AC63" s="239"/>
      <c r="AD63" s="239"/>
      <c r="AE63" s="239"/>
      <c r="AF63" s="239"/>
      <c r="AG63" s="239"/>
      <c r="AH63" s="239"/>
      <c r="AI63" s="239"/>
      <c r="AJ63" s="250">
        <f>IF(AJ60 &gt;= AJ61+ Input!$I$81, AJ60 - AJ61, 0)</f>
        <v>0</v>
      </c>
    </row>
    <row r="64" spans="3:43" s="157" customFormat="1" ht="15" customHeight="1">
      <c r="E64" s="35" t="s">
        <v>263</v>
      </c>
      <c r="G64" s="157" t="s">
        <v>27</v>
      </c>
      <c r="J64" s="33"/>
      <c r="K64" s="33"/>
      <c r="L64" s="33"/>
      <c r="M64" s="33"/>
      <c r="N64" s="33"/>
      <c r="O64" s="33"/>
      <c r="P64" s="33"/>
      <c r="Q64" s="33"/>
      <c r="R64" s="33"/>
      <c r="S64" s="33"/>
      <c r="T64" s="33"/>
      <c r="U64" s="33"/>
      <c r="V64" s="33"/>
      <c r="W64" s="33"/>
      <c r="X64" s="33"/>
      <c r="AJ64" s="42">
        <f>AJ51</f>
        <v>1585.7707232455862</v>
      </c>
    </row>
    <row r="65" spans="3:44" s="157" customFormat="1" ht="15" customHeight="1">
      <c r="E65" s="35"/>
      <c r="J65" s="33"/>
      <c r="K65" s="33"/>
      <c r="L65" s="33"/>
      <c r="M65" s="33"/>
      <c r="N65" s="33"/>
      <c r="O65" s="33"/>
      <c r="P65" s="33"/>
      <c r="Q65" s="33"/>
      <c r="R65" s="33"/>
      <c r="S65" s="33"/>
      <c r="T65" s="33"/>
      <c r="U65" s="33"/>
      <c r="V65" s="33"/>
      <c r="W65" s="33"/>
      <c r="X65" s="33"/>
    </row>
    <row r="66" spans="3:44" s="157" customFormat="1" ht="15" customHeight="1">
      <c r="E66" s="157" t="s">
        <v>175</v>
      </c>
      <c r="G66" s="157" t="s">
        <v>27</v>
      </c>
      <c r="J66" s="33"/>
      <c r="K66" s="33"/>
      <c r="L66" s="33"/>
      <c r="M66" s="33"/>
      <c r="N66" s="33"/>
      <c r="O66" s="33"/>
      <c r="P66" s="33"/>
      <c r="Q66" s="33"/>
      <c r="R66" s="33"/>
      <c r="S66" s="33"/>
      <c r="T66" s="33"/>
      <c r="U66" s="33"/>
      <c r="V66" s="33"/>
      <c r="W66" s="33"/>
      <c r="X66" s="33"/>
      <c r="AJ66" s="105">
        <f xml:space="preserve"> AJ63 * AJ$64</f>
        <v>0</v>
      </c>
    </row>
    <row r="67" spans="3:44" s="157" customFormat="1" ht="15" customHeight="1">
      <c r="E67" s="35"/>
      <c r="J67" s="33"/>
      <c r="K67" s="33"/>
      <c r="L67" s="33"/>
      <c r="M67" s="33"/>
      <c r="N67" s="33"/>
      <c r="O67" s="33"/>
      <c r="P67" s="33"/>
      <c r="Q67" s="33"/>
      <c r="R67" s="33"/>
      <c r="S67" s="33"/>
      <c r="T67" s="33"/>
      <c r="U67" s="33"/>
      <c r="V67" s="33"/>
      <c r="W67" s="33"/>
      <c r="X67" s="33"/>
    </row>
    <row r="68" spans="3:44" s="157" customFormat="1" ht="15" customHeight="1">
      <c r="C68" s="332" t="s">
        <v>168</v>
      </c>
      <c r="D68" s="332"/>
      <c r="E68" s="332"/>
      <c r="F68" s="332"/>
      <c r="G68" s="332"/>
      <c r="H68" s="332"/>
      <c r="I68" s="332"/>
      <c r="J68" s="332"/>
      <c r="K68" s="332"/>
      <c r="L68" s="332"/>
      <c r="M68" s="332"/>
      <c r="N68" s="332"/>
      <c r="O68" s="332"/>
      <c r="P68" s="332"/>
      <c r="Q68" s="332"/>
      <c r="R68" s="332"/>
      <c r="S68" s="332"/>
      <c r="T68" s="332"/>
      <c r="U68" s="332"/>
      <c r="V68" s="332"/>
      <c r="W68" s="332"/>
      <c r="X68" s="332"/>
      <c r="Y68" s="332"/>
      <c r="Z68" s="332"/>
      <c r="AA68" s="332"/>
      <c r="AB68" s="332"/>
      <c r="AC68" s="332"/>
      <c r="AD68" s="332"/>
      <c r="AE68" s="332"/>
      <c r="AF68" s="354"/>
      <c r="AG68" s="354"/>
      <c r="AH68" s="354"/>
      <c r="AI68" s="354"/>
      <c r="AJ68" s="332"/>
      <c r="AK68" s="332"/>
      <c r="AL68" s="332"/>
      <c r="AM68" s="332"/>
      <c r="AN68" s="332"/>
      <c r="AO68" s="332"/>
      <c r="AP68" s="332"/>
      <c r="AQ68" s="332"/>
    </row>
    <row r="69" spans="3:44" s="157" customFormat="1" ht="15" customHeight="1">
      <c r="C69" s="197" t="s">
        <v>271</v>
      </c>
      <c r="D69" s="197"/>
      <c r="E69" s="197"/>
      <c r="F69" s="197"/>
      <c r="G69" s="197"/>
      <c r="H69" s="197"/>
      <c r="I69" s="197"/>
      <c r="J69" s="197"/>
      <c r="K69" s="197"/>
      <c r="L69" s="197"/>
      <c r="M69" s="197"/>
      <c r="N69" s="197"/>
      <c r="O69" s="197"/>
      <c r="P69" s="197"/>
      <c r="Q69" s="197"/>
      <c r="R69" s="197"/>
      <c r="S69" s="197"/>
      <c r="T69" s="197"/>
      <c r="U69" s="197"/>
      <c r="V69" s="197"/>
      <c r="W69" s="197"/>
      <c r="X69" s="197"/>
      <c r="Y69" s="197"/>
      <c r="Z69" s="197"/>
      <c r="AA69" s="197"/>
      <c r="AB69" s="197"/>
      <c r="AC69" s="197"/>
      <c r="AD69" s="197"/>
      <c r="AE69" s="197"/>
      <c r="AF69" s="199"/>
      <c r="AG69" s="199"/>
      <c r="AH69" s="199"/>
      <c r="AI69" s="199"/>
      <c r="AJ69" s="197"/>
      <c r="AK69" s="197"/>
      <c r="AL69" s="197"/>
      <c r="AM69" s="197"/>
      <c r="AN69" s="197"/>
      <c r="AO69" s="197"/>
      <c r="AP69" s="197"/>
      <c r="AQ69" s="197"/>
    </row>
    <row r="70" spans="3:44" s="157" customFormat="1" ht="15" customHeight="1">
      <c r="G70" s="195"/>
      <c r="J70" s="33"/>
      <c r="K70" s="33"/>
      <c r="L70" s="33"/>
      <c r="M70" s="33"/>
      <c r="N70" s="33"/>
      <c r="O70" s="33"/>
      <c r="P70" s="33"/>
      <c r="Q70" s="33"/>
      <c r="R70" s="33"/>
      <c r="S70" s="33"/>
      <c r="T70" s="33"/>
      <c r="U70" s="33"/>
      <c r="V70" s="33"/>
      <c r="W70" s="33"/>
      <c r="X70" s="33"/>
    </row>
    <row r="71" spans="3:44" s="157" customFormat="1" ht="15" customHeight="1">
      <c r="E71" s="157" t="s">
        <v>263</v>
      </c>
      <c r="G71" s="157" t="s">
        <v>27</v>
      </c>
      <c r="J71" s="33"/>
      <c r="K71" s="33"/>
      <c r="L71" s="33"/>
      <c r="M71" s="33"/>
      <c r="N71" s="33"/>
      <c r="O71" s="33"/>
      <c r="P71" s="33"/>
      <c r="Q71" s="33"/>
      <c r="R71" s="33"/>
      <c r="S71" s="33"/>
      <c r="T71" s="33"/>
      <c r="U71" s="33"/>
      <c r="V71" s="33"/>
      <c r="W71" s="33"/>
      <c r="X71" s="33"/>
      <c r="AK71" s="157">
        <f>AK51</f>
        <v>1671.0751656670916</v>
      </c>
      <c r="AL71" s="157">
        <f t="shared" ref="AL71:AQ71" si="17">AL51</f>
        <v>1771.7992750792998</v>
      </c>
      <c r="AM71" s="157">
        <f t="shared" si="17"/>
        <v>1868.2389852769618</v>
      </c>
      <c r="AN71" s="157">
        <f t="shared" si="17"/>
        <v>1958.1810241861015</v>
      </c>
      <c r="AO71" s="157">
        <f t="shared" si="17"/>
        <v>2053.0340818708091</v>
      </c>
      <c r="AP71" s="157">
        <f t="shared" si="17"/>
        <v>2143.8733340576091</v>
      </c>
      <c r="AQ71" s="157">
        <f t="shared" si="17"/>
        <v>2238.7335732237284</v>
      </c>
    </row>
    <row r="72" spans="3:44" s="157" customFormat="1" ht="15" customHeight="1">
      <c r="G72" s="195"/>
      <c r="J72" s="33"/>
      <c r="K72" s="33"/>
      <c r="L72" s="33"/>
      <c r="M72" s="33"/>
      <c r="N72" s="33"/>
      <c r="O72" s="33"/>
      <c r="P72" s="33"/>
      <c r="Q72" s="33"/>
      <c r="R72" s="33"/>
      <c r="S72" s="33"/>
      <c r="T72" s="33"/>
      <c r="U72" s="33"/>
      <c r="V72" s="33"/>
      <c r="W72" s="33"/>
      <c r="X72" s="33"/>
    </row>
    <row r="73" spans="3:44" s="157" customFormat="1" ht="15" customHeight="1">
      <c r="E73" s="157" t="s">
        <v>262</v>
      </c>
      <c r="G73" s="195" t="s">
        <v>49</v>
      </c>
      <c r="J73" s="33"/>
      <c r="K73" s="33"/>
      <c r="L73" s="33"/>
      <c r="M73" s="33"/>
      <c r="N73" s="33"/>
      <c r="O73" s="33"/>
      <c r="P73" s="33"/>
      <c r="Q73" s="33"/>
      <c r="R73" s="33"/>
      <c r="S73" s="33"/>
      <c r="T73" s="33"/>
      <c r="U73" s="33"/>
      <c r="V73" s="33"/>
      <c r="W73" s="33"/>
      <c r="X73" s="33"/>
      <c r="AJ73" s="42"/>
      <c r="AK73" s="373">
        <f>AK53</f>
        <v>0.65970725342510572</v>
      </c>
      <c r="AL73" s="373">
        <f t="shared" ref="AL73:AQ73" si="18">AL53</f>
        <v>0.67511144868037476</v>
      </c>
      <c r="AM73" s="373">
        <f t="shared" si="18"/>
        <v>0.68636178139172899</v>
      </c>
      <c r="AN73" s="373">
        <f t="shared" si="18"/>
        <v>0.69231000832253231</v>
      </c>
      <c r="AO73" s="373">
        <f t="shared" si="18"/>
        <v>0.68930746521857011</v>
      </c>
      <c r="AP73" s="373">
        <f t="shared" si="18"/>
        <v>0.68094477826383237</v>
      </c>
      <c r="AQ73" s="373">
        <f t="shared" si="18"/>
        <v>0.66779052381412862</v>
      </c>
      <c r="AR73" s="239"/>
    </row>
    <row r="74" spans="3:44" s="157" customFormat="1" ht="15" customHeight="1">
      <c r="E74" s="157" t="s">
        <v>170</v>
      </c>
      <c r="G74" s="195" t="s">
        <v>49</v>
      </c>
      <c r="J74" s="33"/>
      <c r="K74" s="33"/>
      <c r="L74" s="33"/>
      <c r="M74" s="33"/>
      <c r="N74" s="33"/>
      <c r="O74" s="33"/>
      <c r="P74" s="33"/>
      <c r="Q74" s="33"/>
      <c r="R74" s="33"/>
      <c r="S74" s="33"/>
      <c r="T74" s="33"/>
      <c r="U74" s="33"/>
      <c r="V74" s="33"/>
      <c r="W74" s="33"/>
      <c r="X74" s="33"/>
      <c r="AJ74" s="42"/>
      <c r="AK74" s="373">
        <f>-Input!AK85</f>
        <v>-0.65</v>
      </c>
      <c r="AL74" s="373">
        <f>-Input!AL85</f>
        <v>-0.65</v>
      </c>
      <c r="AM74" s="373">
        <f>-Input!AM85</f>
        <v>-0.65</v>
      </c>
      <c r="AN74" s="373">
        <f>-Input!AN85</f>
        <v>-0.65</v>
      </c>
      <c r="AO74" s="373">
        <f>-Input!AO85</f>
        <v>-0.65</v>
      </c>
      <c r="AP74" s="373">
        <f>-Input!AP85</f>
        <v>-0.65</v>
      </c>
      <c r="AQ74" s="373">
        <f>-Input!AQ85</f>
        <v>-0.65</v>
      </c>
      <c r="AR74" s="239"/>
    </row>
    <row r="75" spans="3:44" s="157" customFormat="1" ht="15" customHeight="1">
      <c r="E75" s="157" t="s">
        <v>171</v>
      </c>
      <c r="G75" s="195" t="s">
        <v>49</v>
      </c>
      <c r="J75" s="33"/>
      <c r="K75" s="33"/>
      <c r="L75" s="33"/>
      <c r="M75" s="33"/>
      <c r="N75" s="33"/>
      <c r="O75" s="33"/>
      <c r="P75" s="33"/>
      <c r="Q75" s="33"/>
      <c r="R75" s="33"/>
      <c r="S75" s="33"/>
      <c r="T75" s="33"/>
      <c r="U75" s="33"/>
      <c r="V75" s="33"/>
      <c r="W75" s="33"/>
      <c r="X75" s="33"/>
      <c r="AJ75" s="42"/>
      <c r="AK75" s="374">
        <f>SUM(AK73:AK74)</f>
        <v>9.7072534251056997E-3</v>
      </c>
      <c r="AL75" s="375">
        <f t="shared" ref="AL75:AQ75" si="19">SUM(AL73:AL74)</f>
        <v>2.5111448680374737E-2</v>
      </c>
      <c r="AM75" s="375">
        <f t="shared" si="19"/>
        <v>3.6361781391728965E-2</v>
      </c>
      <c r="AN75" s="375">
        <f t="shared" si="19"/>
        <v>4.2310008322532289E-2</v>
      </c>
      <c r="AO75" s="375">
        <f t="shared" si="19"/>
        <v>3.9307465218570092E-2</v>
      </c>
      <c r="AP75" s="375">
        <f t="shared" si="19"/>
        <v>3.0944778263832351E-2</v>
      </c>
      <c r="AQ75" s="375">
        <f t="shared" si="19"/>
        <v>1.77905238141286E-2</v>
      </c>
      <c r="AR75" s="239"/>
    </row>
    <row r="76" spans="3:44" s="157" customFormat="1" ht="15" customHeight="1">
      <c r="G76" s="195"/>
      <c r="J76" s="33"/>
      <c r="K76" s="33"/>
      <c r="L76" s="33"/>
      <c r="M76" s="33"/>
      <c r="N76" s="33"/>
      <c r="O76" s="33"/>
      <c r="P76" s="33"/>
      <c r="Q76" s="33"/>
      <c r="R76" s="33"/>
      <c r="S76" s="33"/>
      <c r="T76" s="33"/>
      <c r="U76" s="33"/>
      <c r="V76" s="33"/>
      <c r="W76" s="33"/>
      <c r="X76" s="33"/>
    </row>
    <row r="77" spans="3:44" s="157" customFormat="1" ht="15" customHeight="1">
      <c r="E77" s="157" t="s">
        <v>172</v>
      </c>
      <c r="G77" s="195" t="s">
        <v>49</v>
      </c>
      <c r="I77" s="239">
        <f>Input!I81</f>
        <v>0.05</v>
      </c>
      <c r="J77" s="33"/>
      <c r="K77" s="33"/>
      <c r="L77" s="33"/>
      <c r="M77" s="33"/>
      <c r="N77" s="33"/>
      <c r="O77" s="33"/>
      <c r="P77" s="33"/>
      <c r="Q77" s="33"/>
      <c r="R77" s="33"/>
      <c r="S77" s="33"/>
      <c r="T77" s="33"/>
      <c r="U77" s="33"/>
      <c r="V77" s="33"/>
      <c r="W77" s="33"/>
      <c r="X77" s="33"/>
    </row>
    <row r="78" spans="3:44" s="157" customFormat="1" ht="15" customHeight="1">
      <c r="E78" s="157" t="s">
        <v>173</v>
      </c>
      <c r="G78" s="195" t="s">
        <v>61</v>
      </c>
      <c r="J78" s="33"/>
      <c r="K78" s="33"/>
      <c r="L78" s="33"/>
      <c r="M78" s="33"/>
      <c r="N78" s="33"/>
      <c r="O78" s="33"/>
      <c r="P78" s="33"/>
      <c r="Q78" s="33"/>
      <c r="R78" s="33"/>
      <c r="S78" s="33"/>
      <c r="T78" s="33"/>
      <c r="U78" s="33"/>
      <c r="V78" s="33"/>
      <c r="W78" s="33"/>
      <c r="X78" s="33"/>
      <c r="AJ78" s="42"/>
      <c r="AK78" s="147" t="b">
        <f>AK75 &gt;= $I77</f>
        <v>0</v>
      </c>
      <c r="AL78" s="147" t="b">
        <f t="shared" ref="AL78:AQ78" si="20">AL75 &gt;= $I77</f>
        <v>0</v>
      </c>
      <c r="AM78" s="147" t="b">
        <f t="shared" si="20"/>
        <v>0</v>
      </c>
      <c r="AN78" s="147" t="b">
        <f t="shared" si="20"/>
        <v>0</v>
      </c>
      <c r="AO78" s="147" t="b">
        <f t="shared" si="20"/>
        <v>0</v>
      </c>
      <c r="AP78" s="147" t="b">
        <f t="shared" si="20"/>
        <v>0</v>
      </c>
      <c r="AQ78" s="147" t="b">
        <f t="shared" si="20"/>
        <v>0</v>
      </c>
    </row>
    <row r="79" spans="3:44" s="157" customFormat="1" ht="15" customHeight="1">
      <c r="G79" s="195"/>
      <c r="J79" s="33"/>
      <c r="K79" s="33"/>
      <c r="L79" s="33"/>
      <c r="M79" s="33"/>
      <c r="N79" s="33"/>
      <c r="O79" s="33"/>
      <c r="P79" s="33"/>
      <c r="Q79" s="33"/>
      <c r="R79" s="33"/>
      <c r="S79" s="33"/>
      <c r="T79" s="33"/>
      <c r="U79" s="33"/>
      <c r="V79" s="33"/>
      <c r="W79" s="33"/>
      <c r="X79" s="33"/>
    </row>
    <row r="80" spans="3:44" s="157" customFormat="1" ht="15" customHeight="1">
      <c r="E80" s="157" t="s">
        <v>168</v>
      </c>
      <c r="G80" s="195" t="s">
        <v>27</v>
      </c>
      <c r="J80" s="33"/>
      <c r="K80" s="33"/>
      <c r="L80" s="33"/>
      <c r="M80" s="33"/>
      <c r="N80" s="33"/>
      <c r="O80" s="33"/>
      <c r="P80" s="33"/>
      <c r="Q80" s="33"/>
      <c r="R80" s="33"/>
      <c r="S80" s="33"/>
      <c r="T80" s="33"/>
      <c r="U80" s="33"/>
      <c r="V80" s="33"/>
      <c r="W80" s="33"/>
      <c r="X80" s="33"/>
      <c r="AJ80" s="42"/>
      <c r="AK80" s="38">
        <f>AK71 * AK75 * AK78</f>
        <v>0</v>
      </c>
      <c r="AL80" s="38">
        <f t="shared" ref="AL80:AQ80" si="21">AL71 * AL75 * AL78</f>
        <v>0</v>
      </c>
      <c r="AM80" s="38">
        <f t="shared" si="21"/>
        <v>0</v>
      </c>
      <c r="AN80" s="38">
        <f t="shared" si="21"/>
        <v>0</v>
      </c>
      <c r="AO80" s="38">
        <f>AO71 * AO75 * AO78</f>
        <v>0</v>
      </c>
      <c r="AP80" s="38">
        <f t="shared" si="21"/>
        <v>0</v>
      </c>
      <c r="AQ80" s="38">
        <f t="shared" si="21"/>
        <v>0</v>
      </c>
    </row>
    <row r="81" spans="2:43" s="157" customFormat="1" ht="15" customHeight="1">
      <c r="E81" s="35"/>
      <c r="J81" s="33"/>
      <c r="K81" s="33"/>
      <c r="L81" s="33"/>
      <c r="M81" s="33"/>
      <c r="N81" s="33"/>
      <c r="O81" s="33"/>
      <c r="P81" s="33"/>
      <c r="Q81" s="33"/>
      <c r="R81" s="33"/>
      <c r="S81" s="33"/>
      <c r="T81" s="33"/>
      <c r="U81" s="33"/>
      <c r="V81" s="33"/>
      <c r="W81" s="33"/>
      <c r="X81" s="33"/>
    </row>
    <row r="82" spans="2:43" s="157" customFormat="1" ht="15" customHeight="1">
      <c r="C82" s="331" t="s">
        <v>723</v>
      </c>
      <c r="D82" s="331"/>
      <c r="E82" s="331"/>
      <c r="F82" s="331"/>
      <c r="G82" s="331"/>
      <c r="H82" s="331"/>
      <c r="I82" s="331"/>
      <c r="J82" s="331"/>
      <c r="K82" s="331"/>
      <c r="L82" s="331"/>
      <c r="M82" s="331"/>
      <c r="N82" s="331"/>
      <c r="O82" s="331"/>
      <c r="P82" s="331"/>
      <c r="Q82" s="331"/>
      <c r="R82" s="331"/>
      <c r="S82" s="331"/>
      <c r="T82" s="331"/>
      <c r="U82" s="331"/>
      <c r="V82" s="331"/>
      <c r="W82" s="331"/>
      <c r="X82" s="331"/>
      <c r="Y82" s="331"/>
      <c r="Z82" s="331"/>
      <c r="AA82" s="331"/>
      <c r="AB82" s="331"/>
      <c r="AC82" s="331"/>
      <c r="AD82" s="331"/>
      <c r="AE82" s="331"/>
      <c r="AF82" s="331"/>
      <c r="AG82" s="331"/>
      <c r="AH82" s="331"/>
      <c r="AI82" s="331"/>
      <c r="AJ82" s="331"/>
      <c r="AK82" s="331"/>
      <c r="AL82" s="331"/>
      <c r="AM82" s="331"/>
      <c r="AN82" s="331"/>
      <c r="AO82" s="331"/>
      <c r="AP82" s="331"/>
      <c r="AQ82" s="331"/>
    </row>
    <row r="83" spans="2:43" s="157" customFormat="1" ht="15" customHeight="1">
      <c r="C83" s="197" t="s">
        <v>724</v>
      </c>
      <c r="D83" s="197"/>
      <c r="E83" s="197"/>
      <c r="F83" s="197"/>
      <c r="G83" s="197"/>
      <c r="H83" s="197"/>
      <c r="I83" s="197"/>
      <c r="J83" s="197"/>
      <c r="K83" s="197"/>
      <c r="L83" s="197"/>
      <c r="M83" s="197"/>
      <c r="N83" s="197"/>
      <c r="O83" s="197"/>
      <c r="P83" s="197"/>
      <c r="Q83" s="197"/>
      <c r="R83" s="197"/>
      <c r="S83" s="197"/>
      <c r="T83" s="197"/>
      <c r="U83" s="197"/>
      <c r="V83" s="197"/>
      <c r="W83" s="197"/>
      <c r="X83" s="197"/>
      <c r="Y83" s="197"/>
      <c r="Z83" s="197"/>
      <c r="AA83" s="197"/>
      <c r="AB83" s="197"/>
      <c r="AC83" s="197"/>
      <c r="AD83" s="197"/>
      <c r="AE83" s="197"/>
      <c r="AF83" s="199"/>
      <c r="AG83" s="199"/>
      <c r="AH83" s="199"/>
      <c r="AI83" s="199"/>
      <c r="AJ83" s="197"/>
      <c r="AK83" s="197"/>
      <c r="AL83" s="197"/>
      <c r="AM83" s="197"/>
      <c r="AN83" s="197"/>
      <c r="AO83" s="197"/>
      <c r="AP83" s="197"/>
      <c r="AQ83" s="197"/>
    </row>
    <row r="84" spans="2:43" s="157" customFormat="1" ht="15" customHeight="1">
      <c r="E84" s="35"/>
      <c r="J84" s="33"/>
      <c r="K84" s="33"/>
      <c r="L84" s="33"/>
      <c r="M84" s="33"/>
      <c r="N84" s="33"/>
      <c r="O84" s="33"/>
      <c r="P84" s="33"/>
      <c r="Q84" s="33"/>
      <c r="R84" s="33"/>
      <c r="S84" s="33"/>
      <c r="T84" s="33"/>
      <c r="U84" s="33"/>
      <c r="V84" s="33"/>
      <c r="W84" s="33"/>
      <c r="X84" s="33"/>
    </row>
    <row r="85" spans="2:43" s="157" customFormat="1" ht="15" customHeight="1">
      <c r="E85" s="35"/>
      <c r="J85" s="33"/>
      <c r="K85" s="33"/>
      <c r="L85" s="33"/>
      <c r="M85" s="33"/>
      <c r="N85" s="33"/>
      <c r="O85" s="33"/>
      <c r="P85" s="33"/>
      <c r="Q85" s="33"/>
      <c r="R85" s="33"/>
      <c r="S85" s="33"/>
      <c r="T85" s="33"/>
      <c r="U85" s="33"/>
      <c r="V85" s="33"/>
      <c r="W85" s="33"/>
      <c r="X85" s="33"/>
    </row>
    <row r="86" spans="2:43" s="157" customFormat="1" ht="15" customHeight="1">
      <c r="E86" s="157" t="s">
        <v>253</v>
      </c>
      <c r="G86" s="195" t="s">
        <v>27</v>
      </c>
      <c r="J86" s="33"/>
      <c r="K86" s="33"/>
      <c r="L86" s="33"/>
      <c r="M86" s="33"/>
      <c r="N86" s="33"/>
      <c r="O86" s="33"/>
      <c r="P86" s="33"/>
      <c r="Q86" s="33"/>
      <c r="R86" s="33"/>
      <c r="S86" s="33"/>
      <c r="T86" s="33"/>
      <c r="U86" s="33"/>
      <c r="V86" s="33"/>
      <c r="W86" s="33"/>
      <c r="X86" s="33"/>
      <c r="AJ86" s="157">
        <f>AJ41</f>
        <v>-1030.750970109631</v>
      </c>
      <c r="AK86" s="157">
        <f>AK41</f>
        <v>-1102.4204078091404</v>
      </c>
      <c r="AL86" s="157">
        <f t="shared" ref="AL86:AQ86" si="22">AL41</f>
        <v>-1196.1619753696239</v>
      </c>
      <c r="AM86" s="157">
        <f t="shared" si="22"/>
        <v>-1282.2878380001716</v>
      </c>
      <c r="AN86" s="157">
        <f t="shared" si="22"/>
        <v>-1355.6683211513048</v>
      </c>
      <c r="AO86" s="157">
        <f t="shared" si="22"/>
        <v>-1415.1717189817018</v>
      </c>
      <c r="AP86" s="157">
        <f t="shared" si="22"/>
        <v>-1459.8593520856016</v>
      </c>
      <c r="AQ86" s="157">
        <f t="shared" si="22"/>
        <v>-1495.0050655433495</v>
      </c>
    </row>
    <row r="87" spans="2:43" s="157" customFormat="1" ht="15" customHeight="1">
      <c r="E87" s="35" t="s">
        <v>263</v>
      </c>
      <c r="G87" s="195" t="s">
        <v>27</v>
      </c>
      <c r="J87" s="33"/>
      <c r="K87" s="33"/>
      <c r="L87" s="33"/>
      <c r="M87" s="33"/>
      <c r="N87" s="33"/>
      <c r="O87" s="33"/>
      <c r="P87" s="33"/>
      <c r="Q87" s="33"/>
      <c r="R87" s="33"/>
      <c r="S87" s="33"/>
      <c r="T87" s="33"/>
      <c r="U87" s="33"/>
      <c r="V87" s="33"/>
      <c r="W87" s="33"/>
      <c r="X87" s="33"/>
      <c r="AJ87" s="157">
        <f>AJ51</f>
        <v>1585.7707232455862</v>
      </c>
      <c r="AK87" s="157">
        <f t="shared" ref="AK87:AQ87" si="23">AK51</f>
        <v>1671.0751656670916</v>
      </c>
      <c r="AL87" s="157">
        <f t="shared" si="23"/>
        <v>1771.7992750792998</v>
      </c>
      <c r="AM87" s="157">
        <f t="shared" si="23"/>
        <v>1868.2389852769618</v>
      </c>
      <c r="AN87" s="157">
        <f t="shared" si="23"/>
        <v>1958.1810241861015</v>
      </c>
      <c r="AO87" s="157">
        <f t="shared" si="23"/>
        <v>2053.0340818708091</v>
      </c>
      <c r="AP87" s="157">
        <f t="shared" si="23"/>
        <v>2143.8733340576091</v>
      </c>
      <c r="AQ87" s="157">
        <f t="shared" si="23"/>
        <v>2238.7335732237284</v>
      </c>
    </row>
    <row r="88" spans="2:43" s="157" customFormat="1" ht="15" customHeight="1">
      <c r="E88" s="35"/>
      <c r="J88" s="33"/>
      <c r="K88" s="33"/>
      <c r="L88" s="33"/>
      <c r="M88" s="33"/>
      <c r="N88" s="33"/>
      <c r="O88" s="33"/>
      <c r="P88" s="33"/>
      <c r="Q88" s="33"/>
      <c r="R88" s="33"/>
      <c r="S88" s="33"/>
      <c r="T88" s="33"/>
      <c r="U88" s="33"/>
      <c r="V88" s="33"/>
      <c r="W88" s="33"/>
      <c r="X88" s="33"/>
    </row>
    <row r="89" spans="2:43" s="157" customFormat="1" ht="15" customHeight="1">
      <c r="E89" s="157" t="s">
        <v>264</v>
      </c>
      <c r="G89" s="157" t="s">
        <v>49</v>
      </c>
      <c r="J89" s="33"/>
      <c r="K89" s="33"/>
      <c r="L89" s="33"/>
      <c r="M89" s="33"/>
      <c r="N89" s="33"/>
      <c r="O89" s="33"/>
      <c r="P89" s="33"/>
      <c r="Q89" s="33"/>
      <c r="R89" s="33"/>
      <c r="S89" s="33"/>
      <c r="T89" s="33"/>
      <c r="U89" s="33"/>
      <c r="V89" s="33"/>
      <c r="W89" s="33"/>
      <c r="X89" s="33"/>
      <c r="AJ89" s="248">
        <f t="shared" ref="AJ89:AQ89" si="24">-AJ86/AJ87</f>
        <v>0.65</v>
      </c>
      <c r="AK89" s="248">
        <f t="shared" si="24"/>
        <v>0.65970725342510572</v>
      </c>
      <c r="AL89" s="248">
        <f t="shared" si="24"/>
        <v>0.67511144868037476</v>
      </c>
      <c r="AM89" s="248">
        <f t="shared" si="24"/>
        <v>0.68636178139172899</v>
      </c>
      <c r="AN89" s="248">
        <f t="shared" si="24"/>
        <v>0.69231000832253231</v>
      </c>
      <c r="AO89" s="248">
        <f t="shared" si="24"/>
        <v>0.68930746521857011</v>
      </c>
      <c r="AP89" s="248">
        <f t="shared" si="24"/>
        <v>0.68094477826383237</v>
      </c>
      <c r="AQ89" s="248">
        <f t="shared" si="24"/>
        <v>0.66779052381412862</v>
      </c>
    </row>
    <row r="90" spans="2:43" s="157" customFormat="1" ht="15" customHeight="1">
      <c r="E90" s="35"/>
      <c r="J90" s="33"/>
      <c r="K90" s="33"/>
      <c r="L90" s="33"/>
      <c r="M90" s="33"/>
      <c r="N90" s="33"/>
      <c r="O90" s="33"/>
      <c r="P90" s="33"/>
      <c r="Q90" s="33"/>
      <c r="R90" s="33"/>
      <c r="S90" s="33"/>
      <c r="T90" s="33"/>
      <c r="U90" s="33"/>
      <c r="V90" s="33"/>
      <c r="W90" s="33"/>
      <c r="X90" s="33"/>
    </row>
    <row r="91" spans="2:43" s="157" customFormat="1" ht="15" customHeight="1">
      <c r="B91" s="334" t="s">
        <v>101</v>
      </c>
      <c r="C91" s="334"/>
      <c r="D91" s="334"/>
      <c r="E91" s="334"/>
      <c r="F91" s="334"/>
      <c r="G91" s="334"/>
      <c r="H91" s="334"/>
      <c r="I91" s="334"/>
      <c r="J91" s="334"/>
      <c r="K91" s="334"/>
      <c r="L91" s="334"/>
      <c r="M91" s="334"/>
      <c r="N91" s="334"/>
      <c r="O91" s="334"/>
      <c r="P91" s="334"/>
      <c r="Q91" s="334"/>
      <c r="R91" s="334"/>
      <c r="S91" s="334"/>
      <c r="T91" s="334"/>
      <c r="U91" s="334"/>
      <c r="V91" s="334"/>
      <c r="W91" s="334"/>
      <c r="X91" s="334"/>
      <c r="Y91" s="334"/>
      <c r="Z91" s="334"/>
      <c r="AA91" s="334"/>
      <c r="AB91" s="334"/>
      <c r="AC91" s="334"/>
      <c r="AD91" s="334"/>
      <c r="AE91" s="334"/>
      <c r="AF91" s="376"/>
      <c r="AG91" s="376"/>
      <c r="AH91" s="376"/>
      <c r="AI91" s="376"/>
      <c r="AJ91" s="334"/>
      <c r="AK91" s="334"/>
      <c r="AL91" s="334"/>
      <c r="AM91" s="334"/>
      <c r="AN91" s="334"/>
      <c r="AO91" s="334"/>
      <c r="AP91" s="334"/>
      <c r="AQ91" s="334"/>
    </row>
    <row r="92" spans="2:43" s="157" customFormat="1" ht="15" customHeight="1">
      <c r="E92" s="35"/>
      <c r="J92" s="33"/>
      <c r="K92" s="33"/>
      <c r="L92" s="33"/>
      <c r="M92" s="33"/>
      <c r="N92" s="33"/>
      <c r="O92" s="33"/>
      <c r="P92" s="33"/>
      <c r="Q92" s="33"/>
      <c r="R92" s="33"/>
      <c r="S92" s="33"/>
      <c r="T92" s="33"/>
      <c r="U92" s="33"/>
      <c r="V92" s="33"/>
      <c r="W92" s="33"/>
      <c r="X92" s="33"/>
    </row>
    <row r="93" spans="2:43" s="157" customFormat="1" ht="15" customHeight="1">
      <c r="C93" s="332" t="s">
        <v>35</v>
      </c>
      <c r="D93" s="332"/>
      <c r="E93" s="332"/>
      <c r="F93" s="332"/>
      <c r="G93" s="332"/>
      <c r="H93" s="332"/>
      <c r="I93" s="332"/>
      <c r="J93" s="332"/>
      <c r="K93" s="332"/>
      <c r="L93" s="332"/>
      <c r="M93" s="332"/>
      <c r="N93" s="332"/>
      <c r="O93" s="332"/>
      <c r="P93" s="332"/>
      <c r="Q93" s="332"/>
      <c r="R93" s="332"/>
      <c r="S93" s="332"/>
      <c r="T93" s="332"/>
      <c r="U93" s="332"/>
      <c r="V93" s="332"/>
      <c r="W93" s="332"/>
      <c r="X93" s="332"/>
      <c r="Y93" s="332"/>
      <c r="Z93" s="332"/>
      <c r="AA93" s="332"/>
      <c r="AB93" s="332"/>
      <c r="AC93" s="332"/>
      <c r="AD93" s="332"/>
      <c r="AE93" s="332"/>
      <c r="AF93" s="354"/>
      <c r="AG93" s="354"/>
      <c r="AH93" s="354"/>
      <c r="AI93" s="354"/>
      <c r="AJ93" s="332"/>
      <c r="AK93" s="332"/>
      <c r="AL93" s="332"/>
      <c r="AM93" s="332"/>
      <c r="AN93" s="332"/>
      <c r="AO93" s="332"/>
      <c r="AP93" s="332"/>
      <c r="AQ93" s="332"/>
    </row>
    <row r="94" spans="2:43" s="157" customFormat="1" ht="15" customHeight="1">
      <c r="E94" s="35"/>
      <c r="J94" s="33"/>
      <c r="K94" s="33"/>
      <c r="L94" s="33"/>
      <c r="M94" s="33"/>
      <c r="N94" s="33"/>
      <c r="O94" s="33"/>
      <c r="P94" s="33"/>
      <c r="Q94" s="33"/>
      <c r="R94" s="33"/>
      <c r="S94" s="33"/>
      <c r="T94" s="33"/>
      <c r="U94" s="33"/>
      <c r="V94" s="33"/>
      <c r="W94" s="33"/>
      <c r="X94" s="33"/>
    </row>
    <row r="95" spans="2:43" s="157" customFormat="1" ht="15" customHeight="1">
      <c r="D95" s="198" t="s">
        <v>351</v>
      </c>
      <c r="E95" s="198"/>
      <c r="F95" s="198"/>
      <c r="G95" s="198"/>
      <c r="H95" s="198"/>
      <c r="I95" s="198"/>
      <c r="J95" s="198"/>
      <c r="K95" s="198"/>
      <c r="L95" s="198"/>
      <c r="M95" s="198"/>
      <c r="N95" s="198"/>
      <c r="O95" s="198"/>
      <c r="P95" s="198"/>
      <c r="Q95" s="198"/>
      <c r="R95" s="198"/>
      <c r="S95" s="198"/>
      <c r="T95" s="198"/>
      <c r="U95" s="198"/>
      <c r="V95" s="198"/>
      <c r="W95" s="198"/>
      <c r="X95" s="198"/>
      <c r="Y95" s="198"/>
      <c r="Z95" s="198"/>
      <c r="AA95" s="198"/>
      <c r="AB95" s="198"/>
      <c r="AC95" s="198"/>
      <c r="AD95" s="198"/>
      <c r="AE95" s="198"/>
      <c r="AF95" s="198"/>
      <c r="AG95" s="198"/>
      <c r="AH95" s="198"/>
      <c r="AI95" s="198"/>
      <c r="AJ95" s="198"/>
      <c r="AK95" s="198"/>
      <c r="AL95" s="198"/>
      <c r="AM95" s="198"/>
      <c r="AN95" s="198"/>
      <c r="AO95" s="198"/>
      <c r="AP95" s="198"/>
      <c r="AQ95" s="198"/>
    </row>
    <row r="96" spans="2:43" s="157" customFormat="1" ht="15" customHeight="1">
      <c r="D96" s="197" t="s">
        <v>272</v>
      </c>
      <c r="E96" s="197"/>
      <c r="F96" s="197"/>
      <c r="G96" s="197"/>
      <c r="H96" s="197"/>
      <c r="I96" s="197"/>
      <c r="J96" s="197"/>
      <c r="K96" s="197"/>
      <c r="L96" s="197"/>
      <c r="M96" s="197"/>
      <c r="N96" s="197"/>
      <c r="O96" s="197"/>
      <c r="P96" s="197"/>
      <c r="Q96" s="197"/>
      <c r="R96" s="197"/>
      <c r="S96" s="197"/>
      <c r="T96" s="197"/>
      <c r="U96" s="197"/>
      <c r="V96" s="197"/>
      <c r="W96" s="197"/>
      <c r="X96" s="197"/>
      <c r="Y96" s="197"/>
      <c r="Z96" s="197"/>
      <c r="AA96" s="197"/>
      <c r="AB96" s="197"/>
      <c r="AC96" s="197"/>
      <c r="AD96" s="197"/>
      <c r="AE96" s="197"/>
      <c r="AF96" s="199"/>
      <c r="AG96" s="199"/>
      <c r="AH96" s="199"/>
      <c r="AI96" s="199"/>
      <c r="AJ96" s="197"/>
      <c r="AK96" s="197"/>
      <c r="AL96" s="197"/>
      <c r="AM96" s="197"/>
      <c r="AN96" s="197"/>
      <c r="AO96" s="197"/>
      <c r="AP96" s="197"/>
      <c r="AQ96" s="197"/>
    </row>
    <row r="97" spans="4:43" s="157" customFormat="1" ht="15" customHeight="1">
      <c r="E97" s="35"/>
      <c r="J97" s="33"/>
      <c r="K97" s="33"/>
      <c r="L97" s="33"/>
      <c r="M97" s="33"/>
      <c r="N97" s="33"/>
      <c r="O97" s="33"/>
      <c r="P97" s="33"/>
      <c r="Q97" s="33"/>
      <c r="R97" s="33"/>
      <c r="S97" s="33"/>
      <c r="T97" s="33"/>
      <c r="U97" s="33"/>
      <c r="V97" s="33"/>
      <c r="W97" s="33"/>
      <c r="X97" s="33"/>
      <c r="AJ97" s="218"/>
      <c r="AK97" s="19"/>
    </row>
    <row r="98" spans="4:43" s="157" customFormat="1" ht="15" customHeight="1">
      <c r="E98" s="157" t="s">
        <v>34</v>
      </c>
      <c r="G98" s="157" t="s">
        <v>42</v>
      </c>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239">
        <f>Input!AJ47</f>
        <v>2.7199999999999998E-2</v>
      </c>
      <c r="AK98" s="239">
        <f>Input!AK47</f>
        <v>2.7199999999999998E-2</v>
      </c>
      <c r="AL98" s="239">
        <f>Input!AL47</f>
        <v>2.7199999999999998E-2</v>
      </c>
      <c r="AM98" s="239">
        <f>Input!AM47</f>
        <v>2.7199999999999998E-2</v>
      </c>
      <c r="AN98" s="239">
        <f>Input!AN47</f>
        <v>2.7199999999999998E-2</v>
      </c>
      <c r="AO98" s="239">
        <f>Input!AO47</f>
        <v>2.7199999999999998E-2</v>
      </c>
      <c r="AP98" s="239">
        <f>Input!AP47</f>
        <v>2.7199999999999998E-2</v>
      </c>
      <c r="AQ98" s="239">
        <f>Input!AQ47</f>
        <v>2.7199999999999998E-2</v>
      </c>
    </row>
    <row r="99" spans="4:43" s="157" customFormat="1" ht="15" customHeight="1">
      <c r="E99" s="157" t="s">
        <v>563</v>
      </c>
      <c r="G99" s="157" t="s">
        <v>55</v>
      </c>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239">
        <f>Input!AJ58/Input!AI58-1</f>
        <v>3.0998154414026535E-2</v>
      </c>
      <c r="AK99" s="239">
        <f>Input!AK58/Input!AJ58-1</f>
        <v>3.0998500794355177E-2</v>
      </c>
      <c r="AL99" s="239">
        <f>Input!AL58/Input!AK58-1</f>
        <v>3.0999732324364926E-2</v>
      </c>
      <c r="AM99" s="239">
        <f>Input!AM58/Input!AL58-1</f>
        <v>3.1000898169978752E-2</v>
      </c>
      <c r="AN99" s="239">
        <f>Input!AN58/Input!AM58-1</f>
        <v>3.1001157013544001E-2</v>
      </c>
      <c r="AO99" s="239">
        <f>Input!AO58/Input!AN58-1</f>
        <v>3.0999768954021789E-2</v>
      </c>
      <c r="AP99" s="239">
        <f>Input!AP58/Input!AO58-1</f>
        <v>3.0999289286148812E-2</v>
      </c>
      <c r="AQ99" s="239">
        <f>Input!AQ58/Input!AP58-1</f>
        <v>3.0998773463335905E-2</v>
      </c>
    </row>
    <row r="100" spans="4:43" s="157" customFormat="1" ht="15" customHeight="1">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246"/>
      <c r="AK100" s="239"/>
      <c r="AL100" s="239"/>
      <c r="AM100" s="239"/>
      <c r="AN100" s="239"/>
      <c r="AO100" s="239"/>
      <c r="AP100" s="239"/>
      <c r="AQ100" s="239"/>
    </row>
    <row r="101" spans="4:43" s="157" customFormat="1" ht="15" customHeight="1">
      <c r="E101" s="157" t="s">
        <v>351</v>
      </c>
      <c r="G101" s="157" t="s">
        <v>254</v>
      </c>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248">
        <f>(((1 + AJ98) * (1 + AJ99)) - 1)</f>
        <v>5.9041304214088042E-2</v>
      </c>
      <c r="AK101" s="248">
        <f t="shared" ref="AK101:AQ101" si="25">((1 + AK98) * (1 + AK99)) - 1</f>
        <v>5.9041660015961561E-2</v>
      </c>
      <c r="AL101" s="248">
        <f t="shared" si="25"/>
        <v>5.9042925043587546E-2</v>
      </c>
      <c r="AM101" s="248">
        <f t="shared" si="25"/>
        <v>5.9044122600202087E-2</v>
      </c>
      <c r="AN101" s="248">
        <f t="shared" si="25"/>
        <v>5.9044388484312371E-2</v>
      </c>
      <c r="AO101" s="248">
        <f t="shared" si="25"/>
        <v>5.9042962669570986E-2</v>
      </c>
      <c r="AP101" s="248">
        <f t="shared" si="25"/>
        <v>5.9042469954732058E-2</v>
      </c>
      <c r="AQ101" s="248">
        <f t="shared" si="25"/>
        <v>5.9041940101538515E-2</v>
      </c>
    </row>
    <row r="102" spans="4:43" s="157" customFormat="1" ht="15" customHeight="1">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19"/>
    </row>
    <row r="103" spans="4:43" s="157" customFormat="1" ht="15" customHeight="1">
      <c r="D103" s="198" t="s">
        <v>407</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157" customFormat="1" ht="15" customHeight="1">
      <c r="E104" s="35"/>
      <c r="J104" s="33"/>
      <c r="K104" s="33"/>
      <c r="L104" s="33"/>
      <c r="M104" s="33"/>
      <c r="N104" s="33"/>
      <c r="O104" s="33"/>
      <c r="P104" s="33"/>
      <c r="Q104" s="33"/>
      <c r="R104" s="33"/>
      <c r="S104" s="33"/>
      <c r="T104" s="33"/>
      <c r="U104" s="33"/>
      <c r="V104" s="33"/>
      <c r="W104" s="33"/>
      <c r="X104" s="33"/>
    </row>
    <row r="105" spans="4:43" s="157" customFormat="1" ht="15" customHeight="1">
      <c r="E105" s="35" t="s">
        <v>174</v>
      </c>
      <c r="G105" s="157" t="s">
        <v>27</v>
      </c>
      <c r="J105" s="33"/>
      <c r="K105" s="33"/>
      <c r="L105" s="33"/>
      <c r="M105" s="33"/>
      <c r="N105" s="33"/>
      <c r="O105" s="33"/>
      <c r="P105" s="33"/>
      <c r="Q105" s="33"/>
      <c r="R105" s="33"/>
      <c r="S105" s="33"/>
      <c r="T105" s="33"/>
      <c r="U105" s="33"/>
      <c r="V105" s="33"/>
      <c r="W105" s="33"/>
      <c r="X105" s="33"/>
      <c r="AJ105" s="157">
        <f>AJ22</f>
        <v>-1030.750970109631</v>
      </c>
      <c r="AK105" s="157">
        <f>AK22</f>
        <v>-1102.4204078091404</v>
      </c>
      <c r="AL105" s="157">
        <f t="shared" ref="AL105:AQ105" si="26">AL22</f>
        <v>-1196.1619753696239</v>
      </c>
      <c r="AM105" s="157">
        <f t="shared" si="26"/>
        <v>-1282.2878380001716</v>
      </c>
      <c r="AN105" s="157">
        <f t="shared" si="26"/>
        <v>-1355.6683211513048</v>
      </c>
      <c r="AO105" s="157">
        <f t="shared" si="26"/>
        <v>-1415.1717189817018</v>
      </c>
      <c r="AP105" s="157">
        <f t="shared" si="26"/>
        <v>-1459.8593520856016</v>
      </c>
      <c r="AQ105" s="157">
        <f t="shared" si="26"/>
        <v>-1495.0050655433495</v>
      </c>
    </row>
    <row r="106" spans="4:43" s="157" customFormat="1" ht="15" customHeight="1">
      <c r="E106" s="35" t="s">
        <v>406</v>
      </c>
      <c r="G106" s="157" t="s">
        <v>27</v>
      </c>
      <c r="J106" s="33"/>
      <c r="K106" s="33"/>
      <c r="L106" s="33"/>
      <c r="M106" s="33"/>
      <c r="N106" s="33"/>
      <c r="O106" s="33"/>
      <c r="P106" s="33"/>
      <c r="Q106" s="33"/>
      <c r="R106" s="33"/>
      <c r="S106" s="33"/>
      <c r="T106" s="33"/>
      <c r="U106" s="33"/>
      <c r="V106" s="33"/>
      <c r="W106" s="33"/>
      <c r="X106" s="33"/>
      <c r="AJ106" s="145">
        <f>AJ31</f>
        <v>-1039.490623540916</v>
      </c>
      <c r="AK106" s="145">
        <f t="shared" ref="AK106:AQ106" si="27">AK31</f>
        <v>-1128.5842730887834</v>
      </c>
      <c r="AL106" s="145">
        <f t="shared" si="27"/>
        <v>-1209.6991925898756</v>
      </c>
      <c r="AM106" s="145">
        <f t="shared" si="27"/>
        <v>-1278.6349939541428</v>
      </c>
      <c r="AN106" s="145">
        <f t="shared" si="27"/>
        <v>-1334.4359508546636</v>
      </c>
      <c r="AO106" s="145">
        <f t="shared" si="27"/>
        <v>-1376.202162766727</v>
      </c>
      <c r="AP106" s="145">
        <f t="shared" si="27"/>
        <v>-1409.0231074719916</v>
      </c>
      <c r="AQ106" s="145">
        <f t="shared" si="27"/>
        <v>-1424.3754437290802</v>
      </c>
    </row>
    <row r="107" spans="4:43" s="157" customFormat="1" ht="15" customHeight="1">
      <c r="E107" s="35"/>
      <c r="J107" s="33"/>
      <c r="K107" s="33"/>
      <c r="L107" s="33"/>
      <c r="M107" s="33"/>
      <c r="N107" s="33"/>
      <c r="O107" s="33"/>
      <c r="P107" s="33"/>
      <c r="Q107" s="33"/>
      <c r="R107" s="33"/>
      <c r="S107" s="33"/>
      <c r="T107" s="33"/>
      <c r="U107" s="33"/>
      <c r="V107" s="33"/>
      <c r="W107" s="33"/>
      <c r="X107" s="33"/>
    </row>
    <row r="108" spans="4:43" s="157" customFormat="1" ht="15" customHeight="1">
      <c r="E108" s="35" t="s">
        <v>407</v>
      </c>
      <c r="G108" s="157" t="s">
        <v>27</v>
      </c>
      <c r="J108" s="33"/>
      <c r="K108" s="33"/>
      <c r="L108" s="33"/>
      <c r="M108" s="33"/>
      <c r="N108" s="33"/>
      <c r="O108" s="33"/>
      <c r="P108" s="33"/>
      <c r="Q108" s="33"/>
      <c r="R108" s="33"/>
      <c r="S108" s="33"/>
      <c r="T108" s="33"/>
      <c r="U108" s="33"/>
      <c r="V108" s="33"/>
      <c r="W108" s="33"/>
      <c r="X108" s="33"/>
      <c r="AJ108" s="38">
        <f t="shared" ref="AJ108:AQ108" si="28">AVERAGE(AJ105:AJ106)</f>
        <v>-1035.1207968252734</v>
      </c>
      <c r="AK108" s="38">
        <f t="shared" si="28"/>
        <v>-1115.5023404489621</v>
      </c>
      <c r="AL108" s="38">
        <f t="shared" si="28"/>
        <v>-1202.9305839797498</v>
      </c>
      <c r="AM108" s="38">
        <f t="shared" si="28"/>
        <v>-1280.4614159771572</v>
      </c>
      <c r="AN108" s="38">
        <f t="shared" si="28"/>
        <v>-1345.0521360029843</v>
      </c>
      <c r="AO108" s="38">
        <f t="shared" si="28"/>
        <v>-1395.6869408742145</v>
      </c>
      <c r="AP108" s="38">
        <f t="shared" si="28"/>
        <v>-1434.4412297787967</v>
      </c>
      <c r="AQ108" s="38">
        <f t="shared" si="28"/>
        <v>-1459.6902546362148</v>
      </c>
    </row>
    <row r="109" spans="4:43" s="157" customFormat="1" ht="15" customHeight="1">
      <c r="E109" s="35"/>
      <c r="J109" s="33"/>
      <c r="K109" s="33"/>
      <c r="L109" s="33"/>
      <c r="M109" s="33"/>
      <c r="N109" s="33"/>
      <c r="O109" s="33"/>
      <c r="P109" s="33"/>
      <c r="Q109" s="33"/>
      <c r="R109" s="33"/>
      <c r="S109" s="33"/>
      <c r="T109" s="33"/>
      <c r="U109" s="33"/>
      <c r="V109" s="33"/>
      <c r="W109" s="33"/>
      <c r="X109" s="33"/>
    </row>
    <row r="110" spans="4:43" s="157" customFormat="1" ht="15" customHeight="1">
      <c r="D110" s="198" t="s">
        <v>350</v>
      </c>
      <c r="E110" s="198"/>
      <c r="F110" s="198"/>
      <c r="G110" s="198"/>
      <c r="H110" s="198"/>
      <c r="I110" s="198"/>
      <c r="J110" s="198"/>
      <c r="K110" s="198"/>
      <c r="L110" s="198"/>
      <c r="M110" s="198"/>
      <c r="N110" s="198"/>
      <c r="O110" s="198"/>
      <c r="P110" s="198"/>
      <c r="Q110" s="198"/>
      <c r="R110" s="198"/>
      <c r="S110" s="198"/>
      <c r="T110" s="198"/>
      <c r="U110" s="198"/>
      <c r="V110" s="198"/>
      <c r="W110" s="198"/>
      <c r="X110" s="198"/>
      <c r="Y110" s="198"/>
      <c r="Z110" s="198"/>
      <c r="AA110" s="198"/>
      <c r="AB110" s="198"/>
      <c r="AC110" s="198"/>
      <c r="AD110" s="198"/>
      <c r="AE110" s="198"/>
      <c r="AF110" s="198"/>
      <c r="AG110" s="198"/>
      <c r="AH110" s="198"/>
      <c r="AI110" s="198"/>
      <c r="AJ110" s="198"/>
      <c r="AK110" s="198"/>
      <c r="AL110" s="198"/>
      <c r="AM110" s="198"/>
      <c r="AN110" s="198"/>
      <c r="AO110" s="198"/>
      <c r="AP110" s="198"/>
      <c r="AQ110" s="198"/>
    </row>
    <row r="111" spans="4:43" s="157" customFormat="1" ht="15" customHeight="1">
      <c r="E111" s="35"/>
      <c r="J111" s="33"/>
      <c r="K111" s="33"/>
      <c r="L111" s="33"/>
      <c r="M111" s="33"/>
      <c r="N111" s="33"/>
      <c r="O111" s="33"/>
      <c r="P111" s="33"/>
      <c r="Q111" s="33"/>
      <c r="R111" s="33"/>
      <c r="S111" s="33"/>
      <c r="T111" s="33"/>
      <c r="U111" s="33"/>
      <c r="V111" s="33"/>
      <c r="W111" s="33"/>
      <c r="X111" s="33"/>
      <c r="AI111" s="145"/>
      <c r="AJ111" s="217"/>
      <c r="AK111" s="217"/>
      <c r="AL111" s="217"/>
      <c r="AM111" s="217"/>
      <c r="AN111" s="217"/>
      <c r="AO111" s="217"/>
      <c r="AP111" s="217"/>
      <c r="AQ111" s="217"/>
    </row>
    <row r="112" spans="4:43" s="157" customFormat="1" ht="15" customHeight="1">
      <c r="E112" s="35" t="s">
        <v>407</v>
      </c>
      <c r="G112" s="157" t="s">
        <v>27</v>
      </c>
      <c r="J112" s="33"/>
      <c r="K112" s="33"/>
      <c r="L112" s="33"/>
      <c r="M112" s="33"/>
      <c r="N112" s="33"/>
      <c r="O112" s="33"/>
      <c r="P112" s="33"/>
      <c r="Q112" s="33"/>
      <c r="R112" s="33"/>
      <c r="S112" s="33"/>
      <c r="T112" s="33"/>
      <c r="U112" s="33"/>
      <c r="V112" s="33"/>
      <c r="W112" s="33"/>
      <c r="X112" s="33"/>
      <c r="AI112" s="145"/>
      <c r="AJ112" s="157">
        <f>AJ108</f>
        <v>-1035.1207968252734</v>
      </c>
      <c r="AK112" s="157">
        <f t="shared" ref="AK112:AQ112" si="29">AK108</f>
        <v>-1115.5023404489621</v>
      </c>
      <c r="AL112" s="157">
        <f t="shared" si="29"/>
        <v>-1202.9305839797498</v>
      </c>
      <c r="AM112" s="157">
        <f t="shared" si="29"/>
        <v>-1280.4614159771572</v>
      </c>
      <c r="AN112" s="157">
        <f t="shared" si="29"/>
        <v>-1345.0521360029843</v>
      </c>
      <c r="AO112" s="157">
        <f t="shared" si="29"/>
        <v>-1395.6869408742145</v>
      </c>
      <c r="AP112" s="157">
        <f t="shared" si="29"/>
        <v>-1434.4412297787967</v>
      </c>
      <c r="AQ112" s="157">
        <f t="shared" si="29"/>
        <v>-1459.6902546362148</v>
      </c>
    </row>
    <row r="113" spans="4:43" s="157" customFormat="1" ht="15" customHeight="1">
      <c r="E113" s="157" t="s">
        <v>351</v>
      </c>
      <c r="G113" s="165" t="s">
        <v>49</v>
      </c>
      <c r="J113" s="33"/>
      <c r="K113" s="33"/>
      <c r="L113" s="33"/>
      <c r="M113" s="33"/>
      <c r="N113" s="33"/>
      <c r="O113" s="33"/>
      <c r="P113" s="33"/>
      <c r="Q113" s="33"/>
      <c r="R113" s="33"/>
      <c r="S113" s="33"/>
      <c r="T113" s="33"/>
      <c r="U113" s="33"/>
      <c r="V113" s="33"/>
      <c r="W113" s="33"/>
      <c r="X113" s="33"/>
      <c r="AJ113" s="239">
        <f>AJ101</f>
        <v>5.9041304214088042E-2</v>
      </c>
      <c r="AK113" s="239">
        <f t="shared" ref="AK113:AQ113" si="30">AK101</f>
        <v>5.9041660015961561E-2</v>
      </c>
      <c r="AL113" s="239">
        <f t="shared" si="30"/>
        <v>5.9042925043587546E-2</v>
      </c>
      <c r="AM113" s="239">
        <f t="shared" si="30"/>
        <v>5.9044122600202087E-2</v>
      </c>
      <c r="AN113" s="239">
        <f t="shared" si="30"/>
        <v>5.9044388484312371E-2</v>
      </c>
      <c r="AO113" s="239">
        <f t="shared" si="30"/>
        <v>5.9042962669570986E-2</v>
      </c>
      <c r="AP113" s="239">
        <f t="shared" si="30"/>
        <v>5.9042469954732058E-2</v>
      </c>
      <c r="AQ113" s="239">
        <f t="shared" si="30"/>
        <v>5.9041940101538515E-2</v>
      </c>
    </row>
    <row r="114" spans="4:43" s="157" customFormat="1" ht="15" customHeight="1">
      <c r="E114" s="35"/>
      <c r="J114" s="33"/>
      <c r="K114" s="33"/>
      <c r="L114" s="33"/>
      <c r="M114" s="33"/>
      <c r="N114" s="33"/>
      <c r="O114" s="33"/>
      <c r="P114" s="33"/>
      <c r="Q114" s="33"/>
      <c r="R114" s="33"/>
      <c r="S114" s="33"/>
      <c r="T114" s="33"/>
      <c r="U114" s="33"/>
      <c r="V114" s="33"/>
      <c r="W114" s="33"/>
      <c r="X114" s="33"/>
      <c r="AJ114" s="217"/>
      <c r="AK114" s="19"/>
      <c r="AL114" s="19"/>
      <c r="AM114" s="19"/>
      <c r="AN114" s="19"/>
      <c r="AO114" s="19"/>
      <c r="AP114" s="19"/>
      <c r="AQ114" s="19"/>
    </row>
    <row r="115" spans="4:43" s="157" customFormat="1" ht="15" customHeight="1">
      <c r="E115" s="35" t="s">
        <v>350</v>
      </c>
      <c r="G115" s="157" t="s">
        <v>27</v>
      </c>
      <c r="J115" s="33"/>
      <c r="K115" s="33"/>
      <c r="L115" s="33"/>
      <c r="M115" s="33"/>
      <c r="N115" s="33"/>
      <c r="O115" s="33"/>
      <c r="P115" s="33"/>
      <c r="Q115" s="33"/>
      <c r="R115" s="33"/>
      <c r="S115" s="33"/>
      <c r="T115" s="33"/>
      <c r="U115" s="33"/>
      <c r="V115" s="33"/>
      <c r="W115" s="33"/>
      <c r="X115" s="33"/>
      <c r="AJ115" s="38">
        <f>AJ112 * AJ113</f>
        <v>-61.114881863690186</v>
      </c>
      <c r="AK115" s="38">
        <f t="shared" ref="AK115:AQ115" si="31">AK112 * AK113</f>
        <v>-65.861109931797017</v>
      </c>
      <c r="AL115" s="38">
        <f t="shared" si="31"/>
        <v>-71.024540302555366</v>
      </c>
      <c r="AM115" s="38">
        <f t="shared" si="31"/>
        <v>-75.60372082978364</v>
      </c>
      <c r="AN115" s="38">
        <f t="shared" si="31"/>
        <v>-79.417780849814363</v>
      </c>
      <c r="AO115" s="38">
        <f t="shared" si="31"/>
        <v>-82.405491948443981</v>
      </c>
      <c r="AP115" s="38">
        <f t="shared" si="31"/>
        <v>-84.692953211043502</v>
      </c>
      <c r="AQ115" s="38">
        <f t="shared" si="31"/>
        <v>-86.182944581030895</v>
      </c>
    </row>
    <row r="116" spans="4:43" s="157" customFormat="1" ht="15" customHeight="1">
      <c r="E116" s="35"/>
      <c r="J116" s="33"/>
      <c r="K116" s="33"/>
      <c r="L116" s="33"/>
      <c r="M116" s="33"/>
      <c r="N116" s="33"/>
      <c r="O116" s="33"/>
      <c r="P116" s="33"/>
      <c r="Q116" s="33"/>
      <c r="R116" s="33"/>
      <c r="S116" s="33"/>
      <c r="T116" s="33"/>
      <c r="U116" s="33"/>
      <c r="V116" s="33"/>
      <c r="W116" s="33"/>
      <c r="X116" s="33"/>
    </row>
    <row r="117" spans="4:43" s="157" customFormat="1" ht="15" customHeight="1">
      <c r="D117" s="198" t="s">
        <v>361</v>
      </c>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row>
    <row r="118" spans="4:43" s="157" customFormat="1" ht="15" customHeight="1">
      <c r="D118" s="197" t="s">
        <v>359</v>
      </c>
      <c r="E118" s="197"/>
      <c r="F118" s="197"/>
      <c r="G118" s="197"/>
      <c r="H118" s="197"/>
      <c r="I118" s="197"/>
      <c r="J118" s="197"/>
      <c r="K118" s="197"/>
      <c r="L118" s="197"/>
      <c r="M118" s="197"/>
      <c r="N118" s="197"/>
      <c r="O118" s="197"/>
      <c r="P118" s="197"/>
      <c r="Q118" s="197"/>
      <c r="R118" s="197"/>
      <c r="S118" s="197"/>
      <c r="T118" s="197"/>
      <c r="U118" s="197"/>
      <c r="V118" s="197"/>
      <c r="W118" s="197"/>
      <c r="X118" s="197"/>
      <c r="Y118" s="197"/>
      <c r="Z118" s="197"/>
      <c r="AA118" s="197"/>
      <c r="AB118" s="197"/>
      <c r="AC118" s="197"/>
      <c r="AD118" s="197"/>
      <c r="AE118" s="197"/>
      <c r="AF118" s="199"/>
      <c r="AG118" s="199"/>
      <c r="AH118" s="199"/>
      <c r="AI118" s="199"/>
      <c r="AJ118" s="197"/>
      <c r="AK118" s="197"/>
      <c r="AL118" s="197"/>
      <c r="AM118" s="197"/>
      <c r="AN118" s="197"/>
      <c r="AO118" s="197"/>
      <c r="AP118" s="197"/>
      <c r="AQ118" s="197"/>
    </row>
    <row r="119" spans="4:43" s="157" customFormat="1" ht="15" customHeight="1">
      <c r="E119" s="35"/>
      <c r="J119" s="33"/>
      <c r="K119" s="33"/>
      <c r="L119" s="33"/>
      <c r="M119" s="33"/>
      <c r="N119" s="33"/>
      <c r="O119" s="33"/>
      <c r="P119" s="33"/>
      <c r="Q119" s="33"/>
      <c r="R119" s="33"/>
      <c r="S119" s="33"/>
      <c r="T119" s="33"/>
      <c r="U119" s="33"/>
      <c r="V119" s="33"/>
      <c r="W119" s="33"/>
      <c r="X119" s="33"/>
      <c r="AJ119" s="217"/>
    </row>
    <row r="120" spans="4:43" s="157" customFormat="1" ht="15" customHeight="1">
      <c r="E120" s="165" t="s">
        <v>256</v>
      </c>
      <c r="G120" s="165" t="s">
        <v>49</v>
      </c>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239">
        <f>Input!AJ87</f>
        <v>0.25</v>
      </c>
      <c r="AK120" s="239">
        <f>Input!AK87</f>
        <v>0.25</v>
      </c>
      <c r="AL120" s="239">
        <f>Input!AL87</f>
        <v>0.25</v>
      </c>
      <c r="AM120" s="239">
        <f>Input!AM87</f>
        <v>0.25</v>
      </c>
      <c r="AN120" s="239">
        <f>Input!AN87</f>
        <v>0.25</v>
      </c>
      <c r="AO120" s="239">
        <f>Input!AO87</f>
        <v>0.25</v>
      </c>
      <c r="AP120" s="239">
        <f>Input!AP87</f>
        <v>0.25</v>
      </c>
      <c r="AQ120" s="239">
        <f>Input!AQ87</f>
        <v>0.25</v>
      </c>
    </row>
    <row r="121" spans="4:43" s="157" customFormat="1" ht="15" customHeight="1">
      <c r="E121" s="157" t="s">
        <v>34</v>
      </c>
      <c r="G121" s="157" t="s">
        <v>42</v>
      </c>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239">
        <f>AJ98</f>
        <v>2.7199999999999998E-2</v>
      </c>
      <c r="AK121" s="239">
        <f t="shared" ref="AK121:AQ121" si="32">AK98</f>
        <v>2.7199999999999998E-2</v>
      </c>
      <c r="AL121" s="239">
        <f t="shared" si="32"/>
        <v>2.7199999999999998E-2</v>
      </c>
      <c r="AM121" s="239">
        <f t="shared" si="32"/>
        <v>2.7199999999999998E-2</v>
      </c>
      <c r="AN121" s="239">
        <f t="shared" si="32"/>
        <v>2.7199999999999998E-2</v>
      </c>
      <c r="AO121" s="239">
        <f t="shared" si="32"/>
        <v>2.7199999999999998E-2</v>
      </c>
      <c r="AP121" s="239">
        <f t="shared" si="32"/>
        <v>2.7199999999999998E-2</v>
      </c>
      <c r="AQ121" s="239">
        <f t="shared" si="32"/>
        <v>2.7199999999999998E-2</v>
      </c>
    </row>
    <row r="122" spans="4:43" s="157" customFormat="1" ht="15" customHeight="1">
      <c r="E122" s="157" t="s">
        <v>351</v>
      </c>
      <c r="G122" s="157" t="s">
        <v>254</v>
      </c>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239">
        <f>AJ101</f>
        <v>5.9041304214088042E-2</v>
      </c>
      <c r="AK122" s="239">
        <f t="shared" ref="AK122:AQ122" si="33">AK101</f>
        <v>5.9041660015961561E-2</v>
      </c>
      <c r="AL122" s="239">
        <f t="shared" si="33"/>
        <v>5.9042925043587546E-2</v>
      </c>
      <c r="AM122" s="239">
        <f t="shared" si="33"/>
        <v>5.9044122600202087E-2</v>
      </c>
      <c r="AN122" s="239">
        <f t="shared" si="33"/>
        <v>5.9044388484312371E-2</v>
      </c>
      <c r="AO122" s="239">
        <f t="shared" si="33"/>
        <v>5.9042962669570986E-2</v>
      </c>
      <c r="AP122" s="239">
        <f t="shared" si="33"/>
        <v>5.9042469954732058E-2</v>
      </c>
      <c r="AQ122" s="239">
        <f t="shared" si="33"/>
        <v>5.9041940101538515E-2</v>
      </c>
    </row>
    <row r="123" spans="4:43" s="157" customFormat="1" ht="15" customHeight="1">
      <c r="E123" s="35"/>
      <c r="J123" s="33"/>
      <c r="K123" s="33"/>
      <c r="L123" s="33"/>
      <c r="M123" s="33"/>
      <c r="N123" s="33"/>
      <c r="O123" s="33"/>
      <c r="P123" s="33"/>
      <c r="Q123" s="33"/>
      <c r="R123" s="33"/>
      <c r="S123" s="33"/>
      <c r="T123" s="33"/>
      <c r="U123" s="33"/>
      <c r="V123" s="33"/>
      <c r="W123" s="33"/>
      <c r="X123" s="33"/>
      <c r="AJ123" s="239"/>
      <c r="AK123" s="239"/>
      <c r="AL123" s="239"/>
      <c r="AM123" s="239"/>
      <c r="AN123" s="239"/>
      <c r="AO123" s="239"/>
      <c r="AP123" s="239"/>
      <c r="AQ123" s="239"/>
    </row>
    <row r="124" spans="4:43" s="157" customFormat="1" ht="15" customHeight="1">
      <c r="E124" s="35" t="s">
        <v>357</v>
      </c>
      <c r="G124" s="157" t="s">
        <v>49</v>
      </c>
      <c r="J124" s="33"/>
      <c r="K124" s="33"/>
      <c r="L124" s="33"/>
      <c r="M124" s="33"/>
      <c r="N124" s="33"/>
      <c r="O124" s="33"/>
      <c r="P124" s="33"/>
      <c r="Q124" s="33"/>
      <c r="R124" s="33"/>
      <c r="S124" s="33"/>
      <c r="T124" s="33"/>
      <c r="U124" s="33"/>
      <c r="V124" s="33"/>
      <c r="W124" s="33"/>
      <c r="X124" s="33"/>
      <c r="AJ124" s="251">
        <f>1 - ((AJ120 * AJ121) + ((1 - AJ120) * AJ122)) / AJ122</f>
        <v>0.13482639246344041</v>
      </c>
      <c r="AK124" s="251">
        <f t="shared" ref="AK124:AQ124" si="34">1 - ((AK120 * AK121) + ((1 - AK120) * AK122)) / AK122</f>
        <v>0.13482708653243047</v>
      </c>
      <c r="AL124" s="251">
        <f t="shared" si="34"/>
        <v>0.13482955417638942</v>
      </c>
      <c r="AM124" s="251">
        <f t="shared" si="34"/>
        <v>0.13483189010963936</v>
      </c>
      <c r="AN124" s="251">
        <f t="shared" si="34"/>
        <v>0.13483240872573854</v>
      </c>
      <c r="AO124" s="251">
        <f t="shared" si="34"/>
        <v>0.13482962757042471</v>
      </c>
      <c r="AP124" s="251">
        <f t="shared" si="34"/>
        <v>0.13482866646308034</v>
      </c>
      <c r="AQ124" s="251">
        <f t="shared" si="34"/>
        <v>0.13482763289442101</v>
      </c>
    </row>
    <row r="125" spans="4:43" s="157" customFormat="1" ht="15" customHeight="1">
      <c r="E125" s="35"/>
      <c r="J125" s="33"/>
      <c r="K125" s="33"/>
      <c r="L125" s="33"/>
      <c r="M125" s="33"/>
      <c r="N125" s="33"/>
      <c r="O125" s="33"/>
      <c r="P125" s="33"/>
      <c r="Q125" s="33"/>
      <c r="R125" s="33"/>
      <c r="S125" s="33"/>
      <c r="T125" s="33"/>
      <c r="U125" s="33"/>
      <c r="V125" s="33"/>
      <c r="W125" s="33"/>
      <c r="X125" s="33"/>
    </row>
    <row r="126" spans="4:43" s="157" customFormat="1" ht="15" customHeight="1">
      <c r="D126" s="198" t="s">
        <v>356</v>
      </c>
      <c r="E126" s="198"/>
      <c r="F126" s="198"/>
      <c r="G126" s="198"/>
      <c r="H126" s="198"/>
      <c r="I126" s="198"/>
      <c r="J126" s="198"/>
      <c r="K126" s="198"/>
      <c r="L126" s="198"/>
      <c r="M126" s="198"/>
      <c r="N126" s="198"/>
      <c r="O126" s="198"/>
      <c r="P126" s="198"/>
      <c r="Q126" s="198"/>
      <c r="R126" s="198"/>
      <c r="S126" s="198"/>
      <c r="T126" s="198"/>
      <c r="U126" s="198"/>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row>
    <row r="127" spans="4:43" s="157" customFormat="1" ht="15" customHeight="1">
      <c r="E127" s="35"/>
      <c r="J127" s="33"/>
      <c r="K127" s="33"/>
      <c r="L127" s="33"/>
      <c r="M127" s="33"/>
      <c r="N127" s="33"/>
      <c r="O127" s="33"/>
      <c r="P127" s="33"/>
      <c r="Q127" s="33"/>
      <c r="R127" s="33"/>
      <c r="S127" s="33"/>
      <c r="T127" s="33"/>
      <c r="U127" s="33"/>
      <c r="V127" s="33"/>
      <c r="W127" s="33"/>
      <c r="X127" s="33"/>
    </row>
    <row r="128" spans="4:43" s="157" customFormat="1" ht="15" customHeight="1">
      <c r="E128" s="157" t="s">
        <v>350</v>
      </c>
      <c r="G128" s="157" t="s">
        <v>27</v>
      </c>
      <c r="J128" s="33"/>
      <c r="K128" s="33"/>
      <c r="L128" s="33"/>
      <c r="M128" s="33"/>
      <c r="N128" s="33"/>
      <c r="O128" s="33"/>
      <c r="P128" s="33"/>
      <c r="Q128" s="33"/>
      <c r="R128" s="33"/>
      <c r="S128" s="33"/>
      <c r="T128" s="33"/>
      <c r="U128" s="33"/>
      <c r="V128" s="33"/>
      <c r="W128" s="33"/>
      <c r="X128" s="33"/>
      <c r="AJ128" s="157">
        <f>AJ115</f>
        <v>-61.114881863690186</v>
      </c>
      <c r="AK128" s="157">
        <f t="shared" ref="AK128:AQ128" si="35">AK115</f>
        <v>-65.861109931797017</v>
      </c>
      <c r="AL128" s="157">
        <f t="shared" si="35"/>
        <v>-71.024540302555366</v>
      </c>
      <c r="AM128" s="157">
        <f t="shared" si="35"/>
        <v>-75.60372082978364</v>
      </c>
      <c r="AN128" s="157">
        <f t="shared" si="35"/>
        <v>-79.417780849814363</v>
      </c>
      <c r="AO128" s="157">
        <f t="shared" si="35"/>
        <v>-82.405491948443981</v>
      </c>
      <c r="AP128" s="157">
        <f t="shared" si="35"/>
        <v>-84.692953211043502</v>
      </c>
      <c r="AQ128" s="157">
        <f t="shared" si="35"/>
        <v>-86.182944581030895</v>
      </c>
    </row>
    <row r="129" spans="3:43" s="157" customFormat="1" ht="15" customHeight="1">
      <c r="E129" s="35" t="s">
        <v>357</v>
      </c>
      <c r="G129" s="157" t="s">
        <v>49</v>
      </c>
      <c r="J129" s="33"/>
      <c r="K129" s="33"/>
      <c r="L129" s="33"/>
      <c r="M129" s="33"/>
      <c r="N129" s="33"/>
      <c r="O129" s="33"/>
      <c r="P129" s="33"/>
      <c r="Q129" s="33"/>
      <c r="R129" s="33"/>
      <c r="S129" s="33"/>
      <c r="T129" s="33"/>
      <c r="U129" s="33"/>
      <c r="V129" s="33"/>
      <c r="W129" s="33"/>
      <c r="X129" s="33"/>
      <c r="AJ129" s="246">
        <f t="shared" ref="AJ129:AQ129" si="36">AJ124</f>
        <v>0.13482639246344041</v>
      </c>
      <c r="AK129" s="246">
        <f t="shared" si="36"/>
        <v>0.13482708653243047</v>
      </c>
      <c r="AL129" s="246">
        <f t="shared" si="36"/>
        <v>0.13482955417638942</v>
      </c>
      <c r="AM129" s="246">
        <f t="shared" si="36"/>
        <v>0.13483189010963936</v>
      </c>
      <c r="AN129" s="246">
        <f t="shared" si="36"/>
        <v>0.13483240872573854</v>
      </c>
      <c r="AO129" s="246">
        <f t="shared" si="36"/>
        <v>0.13482962757042471</v>
      </c>
      <c r="AP129" s="246">
        <f t="shared" si="36"/>
        <v>0.13482866646308034</v>
      </c>
      <c r="AQ129" s="246">
        <f t="shared" si="36"/>
        <v>0.13482763289442101</v>
      </c>
    </row>
    <row r="130" spans="3:43" s="157" customFormat="1" ht="15" customHeight="1">
      <c r="E130" s="35"/>
      <c r="J130" s="33"/>
      <c r="K130" s="33"/>
      <c r="L130" s="33"/>
      <c r="M130" s="33"/>
      <c r="N130" s="33"/>
      <c r="O130" s="33"/>
      <c r="P130" s="33"/>
      <c r="Q130" s="33"/>
      <c r="R130" s="33"/>
      <c r="S130" s="33"/>
      <c r="T130" s="33"/>
      <c r="U130" s="33"/>
      <c r="V130" s="33"/>
      <c r="W130" s="33"/>
      <c r="X130" s="33"/>
    </row>
    <row r="131" spans="3:43" s="157" customFormat="1" ht="15" customHeight="1">
      <c r="E131" s="35" t="s">
        <v>352</v>
      </c>
      <c r="G131" s="157" t="s">
        <v>27</v>
      </c>
      <c r="J131" s="33"/>
      <c r="K131" s="33"/>
      <c r="L131" s="33"/>
      <c r="M131" s="33"/>
      <c r="N131" s="33"/>
      <c r="O131" s="33"/>
      <c r="P131" s="33"/>
      <c r="Q131" s="33"/>
      <c r="R131" s="33"/>
      <c r="S131" s="33"/>
      <c r="T131" s="33"/>
      <c r="U131" s="33"/>
      <c r="V131" s="33"/>
      <c r="W131" s="33"/>
      <c r="X131" s="33"/>
      <c r="AJ131" s="38">
        <f>AJ$128 * (1 - AJ$129)</f>
        <v>-52.874982816179497</v>
      </c>
      <c r="AK131" s="38">
        <f t="shared" ref="AK131:AQ131" si="37">AK$128 * (1 - AK$129)</f>
        <v>-56.981248363900704</v>
      </c>
      <c r="AL131" s="38">
        <f t="shared" si="37"/>
        <v>-61.448333197978826</v>
      </c>
      <c r="AM131" s="38">
        <f t="shared" si="37"/>
        <v>-65.409928250982404</v>
      </c>
      <c r="AN131" s="38">
        <f t="shared" si="37"/>
        <v>-68.709690162181062</v>
      </c>
      <c r="AO131" s="38">
        <f t="shared" si="37"/>
        <v>-71.294790159277653</v>
      </c>
      <c r="AP131" s="38">
        <f t="shared" si="37"/>
        <v>-73.273915270778446</v>
      </c>
      <c r="AQ131" s="38">
        <f t="shared" si="37"/>
        <v>-74.563102167299434</v>
      </c>
    </row>
    <row r="132" spans="3:43" s="157" customFormat="1" ht="15" customHeight="1">
      <c r="E132" s="35"/>
      <c r="J132" s="33"/>
      <c r="K132" s="33"/>
      <c r="L132" s="33"/>
      <c r="M132" s="33"/>
      <c r="N132" s="33"/>
      <c r="O132" s="33"/>
      <c r="P132" s="33"/>
      <c r="Q132" s="33"/>
      <c r="R132" s="33"/>
      <c r="S132" s="33"/>
      <c r="T132" s="33"/>
      <c r="U132" s="33"/>
      <c r="V132" s="33"/>
      <c r="W132" s="33"/>
      <c r="X132" s="33"/>
    </row>
    <row r="133" spans="3:43" s="157" customFormat="1" ht="15" customHeight="1">
      <c r="E133" s="35" t="s">
        <v>353</v>
      </c>
      <c r="G133" s="157" t="s">
        <v>27</v>
      </c>
      <c r="J133" s="33"/>
      <c r="K133" s="33"/>
      <c r="L133" s="33"/>
      <c r="M133" s="33"/>
      <c r="N133" s="33"/>
      <c r="O133" s="33"/>
      <c r="P133" s="33"/>
      <c r="Q133" s="33"/>
      <c r="R133" s="33"/>
      <c r="S133" s="33"/>
      <c r="T133" s="33"/>
      <c r="U133" s="33"/>
      <c r="V133" s="33"/>
      <c r="W133" s="33"/>
      <c r="X133" s="33"/>
      <c r="AJ133" s="38">
        <f>AJ$128 * AJ$129</f>
        <v>-8.2398990475106899</v>
      </c>
      <c r="AK133" s="38">
        <f t="shared" ref="AK133:AQ133" si="38">AK$128 * AK$129</f>
        <v>-8.8798615678963131</v>
      </c>
      <c r="AL133" s="38">
        <f t="shared" si="38"/>
        <v>-9.5762071045765431</v>
      </c>
      <c r="AM133" s="38">
        <f t="shared" si="38"/>
        <v>-10.19379257880124</v>
      </c>
      <c r="AN133" s="38">
        <f t="shared" si="38"/>
        <v>-10.708090687633302</v>
      </c>
      <c r="AO133" s="38">
        <f t="shared" si="38"/>
        <v>-11.110701789166335</v>
      </c>
      <c r="AP133" s="38">
        <f t="shared" si="38"/>
        <v>-11.419037940265053</v>
      </c>
      <c r="AQ133" s="38">
        <f t="shared" si="38"/>
        <v>-11.619842413731464</v>
      </c>
    </row>
    <row r="134" spans="3:43" s="157" customFormat="1" ht="15" customHeight="1">
      <c r="E134" s="35"/>
      <c r="J134" s="33"/>
      <c r="K134" s="33"/>
      <c r="L134" s="33"/>
      <c r="M134" s="33"/>
      <c r="N134" s="33"/>
      <c r="O134" s="33"/>
      <c r="P134" s="33"/>
      <c r="Q134" s="33"/>
      <c r="R134" s="33"/>
      <c r="S134" s="33"/>
      <c r="T134" s="33"/>
      <c r="U134" s="33"/>
      <c r="V134" s="33"/>
      <c r="W134" s="33"/>
      <c r="X134" s="33"/>
    </row>
    <row r="135" spans="3:43" s="157" customFormat="1" ht="15" customHeight="1">
      <c r="E135" s="35"/>
      <c r="J135" s="33"/>
      <c r="K135" s="33"/>
      <c r="L135" s="33"/>
      <c r="M135" s="33"/>
      <c r="N135" s="33"/>
      <c r="O135" s="33"/>
      <c r="P135" s="33"/>
      <c r="Q135" s="33"/>
      <c r="R135" s="33"/>
      <c r="S135" s="33"/>
      <c r="T135" s="33"/>
      <c r="U135" s="33"/>
      <c r="V135" s="33"/>
      <c r="W135" s="33"/>
      <c r="X135" s="33"/>
    </row>
    <row r="136" spans="3:43" s="157" customFormat="1" ht="15" customHeight="1">
      <c r="C136" s="332" t="s">
        <v>102</v>
      </c>
      <c r="D136" s="332"/>
      <c r="E136" s="332"/>
      <c r="F136" s="332"/>
      <c r="G136" s="332"/>
      <c r="H136" s="332"/>
      <c r="I136" s="332"/>
      <c r="J136" s="332"/>
      <c r="K136" s="332"/>
      <c r="L136" s="332"/>
      <c r="M136" s="332"/>
      <c r="N136" s="332"/>
      <c r="O136" s="332"/>
      <c r="P136" s="332"/>
      <c r="Q136" s="332"/>
      <c r="R136" s="332"/>
      <c r="S136" s="332"/>
      <c r="T136" s="332"/>
      <c r="U136" s="332"/>
      <c r="V136" s="332"/>
      <c r="W136" s="332"/>
      <c r="X136" s="332"/>
      <c r="Y136" s="332"/>
      <c r="Z136" s="332"/>
      <c r="AA136" s="332"/>
      <c r="AB136" s="332"/>
      <c r="AC136" s="332"/>
      <c r="AD136" s="332"/>
      <c r="AE136" s="332"/>
      <c r="AF136" s="354"/>
      <c r="AG136" s="354"/>
      <c r="AH136" s="354"/>
      <c r="AI136" s="354"/>
      <c r="AJ136" s="332"/>
      <c r="AK136" s="332"/>
      <c r="AL136" s="332"/>
      <c r="AM136" s="332"/>
      <c r="AN136" s="332"/>
      <c r="AO136" s="332"/>
      <c r="AP136" s="332"/>
      <c r="AQ136" s="332"/>
    </row>
    <row r="137" spans="3:43" s="157" customFormat="1" ht="15" customHeight="1">
      <c r="C137" s="197" t="s">
        <v>587</v>
      </c>
      <c r="D137" s="197"/>
      <c r="E137" s="197"/>
      <c r="F137" s="197"/>
      <c r="G137" s="197"/>
      <c r="H137" s="197"/>
      <c r="I137" s="197"/>
      <c r="J137" s="197"/>
      <c r="K137" s="197"/>
      <c r="L137" s="197"/>
      <c r="M137" s="197"/>
      <c r="N137" s="197"/>
      <c r="O137" s="197"/>
      <c r="P137" s="197"/>
      <c r="Q137" s="197"/>
      <c r="R137" s="197"/>
      <c r="S137" s="197"/>
      <c r="T137" s="197"/>
      <c r="U137" s="197"/>
      <c r="V137" s="197"/>
      <c r="W137" s="197"/>
      <c r="X137" s="197"/>
      <c r="Y137" s="197"/>
      <c r="Z137" s="197"/>
      <c r="AA137" s="197"/>
      <c r="AB137" s="197"/>
      <c r="AC137" s="197"/>
      <c r="AD137" s="197"/>
      <c r="AE137" s="197"/>
      <c r="AF137" s="199"/>
      <c r="AG137" s="199"/>
      <c r="AH137" s="199"/>
      <c r="AI137" s="199"/>
      <c r="AJ137" s="197"/>
      <c r="AK137" s="197"/>
      <c r="AL137" s="197"/>
      <c r="AM137" s="197"/>
      <c r="AN137" s="197"/>
      <c r="AO137" s="197"/>
      <c r="AP137" s="197"/>
      <c r="AQ137" s="197"/>
    </row>
    <row r="138" spans="3:43" s="157" customFormat="1" ht="15" customHeight="1">
      <c r="J138" s="33"/>
      <c r="K138" s="33"/>
      <c r="L138" s="33"/>
      <c r="M138" s="33"/>
      <c r="N138" s="33"/>
      <c r="O138" s="33"/>
      <c r="P138" s="33"/>
      <c r="Q138" s="33"/>
      <c r="R138" s="33"/>
      <c r="S138" s="33"/>
      <c r="T138" s="33"/>
      <c r="U138" s="33"/>
      <c r="V138" s="33"/>
      <c r="W138" s="33"/>
      <c r="X138" s="33"/>
    </row>
    <row r="139" spans="3:43" s="157" customFormat="1" ht="15" customHeight="1">
      <c r="E139" s="157" t="s">
        <v>147</v>
      </c>
      <c r="G139" s="157" t="s">
        <v>27</v>
      </c>
      <c r="J139" s="33"/>
      <c r="K139" s="33"/>
      <c r="L139" s="33"/>
      <c r="M139" s="33"/>
      <c r="N139" s="33"/>
      <c r="O139" s="33"/>
      <c r="P139" s="33"/>
      <c r="Q139" s="33"/>
      <c r="R139" s="33"/>
      <c r="S139" s="33"/>
      <c r="T139" s="33"/>
      <c r="U139" s="33"/>
      <c r="V139" s="33"/>
      <c r="W139" s="33"/>
      <c r="X139" s="33"/>
      <c r="AJ139" s="42">
        <f>AJ66</f>
        <v>0</v>
      </c>
    </row>
    <row r="140" spans="3:43" s="157" customFormat="1" ht="15" customHeight="1">
      <c r="E140" s="157" t="s">
        <v>12</v>
      </c>
      <c r="G140" s="157" t="s">
        <v>27</v>
      </c>
      <c r="J140" s="33"/>
      <c r="K140" s="33"/>
      <c r="L140" s="33"/>
      <c r="M140" s="33"/>
      <c r="N140" s="33"/>
      <c r="O140" s="33"/>
      <c r="P140" s="33"/>
      <c r="Q140" s="33"/>
      <c r="R140" s="33"/>
      <c r="S140" s="33"/>
      <c r="T140" s="33"/>
      <c r="U140" s="33"/>
      <c r="V140" s="33"/>
      <c r="W140" s="33"/>
      <c r="X140" s="33"/>
      <c r="AJ140" s="42"/>
      <c r="AK140" s="157">
        <f t="shared" ref="AK140:AQ140" si="39">AK80</f>
        <v>0</v>
      </c>
      <c r="AL140" s="157">
        <f t="shared" si="39"/>
        <v>0</v>
      </c>
      <c r="AM140" s="157">
        <f t="shared" si="39"/>
        <v>0</v>
      </c>
      <c r="AN140" s="157">
        <f t="shared" si="39"/>
        <v>0</v>
      </c>
      <c r="AO140" s="157">
        <f t="shared" si="39"/>
        <v>0</v>
      </c>
      <c r="AP140" s="157">
        <f t="shared" si="39"/>
        <v>0</v>
      </c>
      <c r="AQ140" s="157">
        <f t="shared" si="39"/>
        <v>0</v>
      </c>
    </row>
    <row r="141" spans="3:43" s="157" customFormat="1" ht="15" customHeight="1">
      <c r="E141" s="157" t="s">
        <v>159</v>
      </c>
      <c r="G141" s="157" t="s">
        <v>27</v>
      </c>
      <c r="J141" s="33"/>
      <c r="K141" s="33"/>
      <c r="L141" s="33"/>
      <c r="M141" s="33"/>
      <c r="N141" s="33"/>
      <c r="O141" s="33"/>
      <c r="P141" s="33"/>
      <c r="Q141" s="33"/>
      <c r="R141" s="33"/>
      <c r="S141" s="33"/>
      <c r="T141" s="33"/>
      <c r="U141" s="33"/>
      <c r="V141" s="33"/>
      <c r="W141" s="33"/>
      <c r="X141" s="33"/>
      <c r="AJ141" s="167">
        <f>IF(SUM(AJ139:AJ140) &gt; 0,SUM(AJ139:AJ140),0)</f>
        <v>0</v>
      </c>
      <c r="AK141" s="167">
        <f t="shared" ref="AK141:AQ141" si="40">IF(SUM(AK139:AK140) &gt; 0,SUM(AK139:AK140),0)</f>
        <v>0</v>
      </c>
      <c r="AL141" s="167">
        <f t="shared" si="40"/>
        <v>0</v>
      </c>
      <c r="AM141" s="167">
        <f t="shared" si="40"/>
        <v>0</v>
      </c>
      <c r="AN141" s="167">
        <f t="shared" si="40"/>
        <v>0</v>
      </c>
      <c r="AO141" s="167">
        <f t="shared" si="40"/>
        <v>0</v>
      </c>
      <c r="AP141" s="167">
        <f t="shared" si="40"/>
        <v>0</v>
      </c>
      <c r="AQ141" s="167">
        <f t="shared" si="40"/>
        <v>0</v>
      </c>
    </row>
    <row r="142" spans="3:43" s="157" customFormat="1" ht="15" customHeight="1">
      <c r="J142" s="33"/>
      <c r="K142" s="33"/>
      <c r="L142" s="33"/>
      <c r="M142" s="33"/>
      <c r="N142" s="33"/>
      <c r="O142" s="33"/>
      <c r="P142" s="33"/>
      <c r="Q142" s="33"/>
      <c r="R142" s="33"/>
      <c r="S142" s="33"/>
      <c r="T142" s="33"/>
      <c r="U142" s="33"/>
      <c r="V142" s="33"/>
      <c r="W142" s="33"/>
      <c r="X142" s="33"/>
    </row>
    <row r="143" spans="3:43" s="157" customFormat="1" ht="15" customHeight="1">
      <c r="E143" s="157" t="s">
        <v>265</v>
      </c>
      <c r="G143" s="157" t="s">
        <v>49</v>
      </c>
      <c r="I143" s="239">
        <f>Input!I82</f>
        <v>0.05</v>
      </c>
      <c r="J143" s="33"/>
      <c r="K143" s="33"/>
      <c r="L143" s="33"/>
      <c r="M143" s="33"/>
      <c r="N143" s="33"/>
      <c r="O143" s="33"/>
      <c r="P143" s="33"/>
      <c r="Q143" s="33"/>
      <c r="R143" s="33"/>
      <c r="S143" s="33"/>
      <c r="T143" s="33"/>
      <c r="U143" s="33"/>
      <c r="V143" s="33"/>
      <c r="W143" s="33"/>
      <c r="X143" s="33"/>
    </row>
    <row r="144" spans="3:43" s="157" customFormat="1" ht="15" customHeight="1">
      <c r="J144" s="33"/>
      <c r="K144" s="33"/>
      <c r="L144" s="33"/>
      <c r="M144" s="33"/>
      <c r="N144" s="33"/>
      <c r="O144" s="33"/>
      <c r="P144" s="33"/>
      <c r="Q144" s="33"/>
      <c r="R144" s="33"/>
      <c r="S144" s="33"/>
      <c r="T144" s="33"/>
      <c r="U144" s="33"/>
      <c r="V144" s="33"/>
      <c r="W144" s="33"/>
      <c r="X144" s="33"/>
    </row>
    <row r="145" spans="2:46" s="157" customFormat="1" ht="15" customHeight="1">
      <c r="E145" s="195" t="s">
        <v>105</v>
      </c>
      <c r="G145" s="157" t="s">
        <v>27</v>
      </c>
      <c r="J145" s="33"/>
      <c r="K145" s="33"/>
      <c r="L145" s="33"/>
      <c r="M145" s="33"/>
      <c r="N145" s="33"/>
      <c r="O145" s="33"/>
      <c r="P145" s="33"/>
      <c r="Q145" s="33"/>
      <c r="R145" s="33"/>
      <c r="S145" s="33"/>
      <c r="T145" s="33"/>
      <c r="U145" s="33"/>
      <c r="V145" s="33"/>
      <c r="W145" s="33"/>
      <c r="X145" s="33"/>
      <c r="AJ145" s="38">
        <f>AJ141 * $I143</f>
        <v>0</v>
      </c>
      <c r="AK145" s="38">
        <f t="shared" ref="AK145:AQ145" si="41">AK141 * $I143</f>
        <v>0</v>
      </c>
      <c r="AL145" s="38">
        <f t="shared" si="41"/>
        <v>0</v>
      </c>
      <c r="AM145" s="38">
        <f t="shared" si="41"/>
        <v>0</v>
      </c>
      <c r="AN145" s="38">
        <f t="shared" si="41"/>
        <v>0</v>
      </c>
      <c r="AO145" s="38">
        <f t="shared" si="41"/>
        <v>0</v>
      </c>
      <c r="AP145" s="38">
        <f t="shared" si="41"/>
        <v>0</v>
      </c>
      <c r="AQ145" s="38">
        <f t="shared" si="41"/>
        <v>0</v>
      </c>
    </row>
    <row r="146" spans="2:46" s="157" customFormat="1" ht="15" customHeight="1">
      <c r="J146" s="33"/>
      <c r="K146" s="33"/>
      <c r="L146" s="33"/>
      <c r="M146" s="33"/>
      <c r="N146" s="33"/>
      <c r="O146" s="33"/>
      <c r="P146" s="33"/>
      <c r="Q146" s="33"/>
      <c r="R146" s="33"/>
      <c r="S146" s="33"/>
      <c r="T146" s="33"/>
      <c r="U146" s="33"/>
      <c r="V146" s="33"/>
      <c r="W146" s="33"/>
      <c r="X146" s="33"/>
    </row>
    <row r="147" spans="2:46" s="157" customFormat="1" ht="15" customHeight="1">
      <c r="C147" s="332" t="s">
        <v>1</v>
      </c>
      <c r="D147" s="332"/>
      <c r="E147" s="332"/>
      <c r="F147" s="332"/>
      <c r="G147" s="332"/>
      <c r="H147" s="332"/>
      <c r="I147" s="332"/>
      <c r="J147" s="332"/>
      <c r="K147" s="332"/>
      <c r="L147" s="332"/>
      <c r="M147" s="332"/>
      <c r="N147" s="332"/>
      <c r="O147" s="332"/>
      <c r="P147" s="332"/>
      <c r="Q147" s="332"/>
      <c r="R147" s="332"/>
      <c r="S147" s="332"/>
      <c r="T147" s="332"/>
      <c r="U147" s="332"/>
      <c r="V147" s="332"/>
      <c r="W147" s="332"/>
      <c r="X147" s="332"/>
      <c r="Y147" s="332"/>
      <c r="Z147" s="332"/>
      <c r="AA147" s="332"/>
      <c r="AB147" s="332"/>
      <c r="AC147" s="332"/>
      <c r="AD147" s="332"/>
      <c r="AE147" s="332"/>
      <c r="AF147" s="354"/>
      <c r="AG147" s="354"/>
      <c r="AH147" s="354"/>
      <c r="AI147" s="354"/>
      <c r="AJ147" s="332"/>
      <c r="AK147" s="332"/>
      <c r="AL147" s="332"/>
      <c r="AM147" s="332"/>
      <c r="AN147" s="332"/>
      <c r="AO147" s="332"/>
      <c r="AP147" s="332"/>
      <c r="AQ147" s="332"/>
    </row>
    <row r="148" spans="2:46" s="157" customFormat="1" ht="15" customHeight="1">
      <c r="C148" s="197" t="s">
        <v>419</v>
      </c>
      <c r="D148" s="197"/>
      <c r="E148" s="197"/>
      <c r="F148" s="197"/>
      <c r="G148" s="197"/>
      <c r="H148" s="197"/>
      <c r="I148" s="197"/>
      <c r="J148" s="197"/>
      <c r="K148" s="197"/>
      <c r="L148" s="197"/>
      <c r="M148" s="197"/>
      <c r="N148" s="197"/>
      <c r="O148" s="197"/>
      <c r="P148" s="197"/>
      <c r="Q148" s="197"/>
      <c r="R148" s="197"/>
      <c r="S148" s="197"/>
      <c r="T148" s="197"/>
      <c r="U148" s="197"/>
      <c r="V148" s="197"/>
      <c r="W148" s="197"/>
      <c r="X148" s="197"/>
      <c r="Y148" s="197"/>
      <c r="Z148" s="197"/>
      <c r="AA148" s="197"/>
      <c r="AB148" s="197"/>
      <c r="AC148" s="197"/>
      <c r="AD148" s="197"/>
      <c r="AE148" s="197"/>
      <c r="AF148" s="199"/>
      <c r="AG148" s="199"/>
      <c r="AH148" s="199"/>
      <c r="AI148" s="199"/>
      <c r="AJ148" s="197"/>
      <c r="AK148" s="197"/>
      <c r="AL148" s="197"/>
      <c r="AM148" s="197"/>
      <c r="AN148" s="197"/>
      <c r="AO148" s="197"/>
      <c r="AP148" s="197"/>
      <c r="AQ148" s="197"/>
    </row>
    <row r="149" spans="2:46" s="157" customFormat="1" ht="15" customHeight="1">
      <c r="C149" s="197"/>
      <c r="D149" s="197"/>
      <c r="E149" s="197"/>
      <c r="F149" s="197"/>
      <c r="G149" s="197"/>
      <c r="H149" s="197"/>
      <c r="I149" s="197"/>
      <c r="J149" s="197"/>
      <c r="K149" s="197"/>
      <c r="L149" s="197"/>
      <c r="M149" s="197"/>
      <c r="N149" s="197"/>
      <c r="O149" s="197"/>
      <c r="P149" s="197"/>
      <c r="Q149" s="197"/>
      <c r="R149" s="197"/>
      <c r="S149" s="197"/>
      <c r="T149" s="197"/>
      <c r="U149" s="197"/>
      <c r="V149" s="197"/>
      <c r="W149" s="197"/>
      <c r="X149" s="197"/>
      <c r="Y149" s="197"/>
      <c r="Z149" s="197"/>
      <c r="AA149" s="197"/>
      <c r="AB149" s="197"/>
      <c r="AC149" s="197"/>
      <c r="AD149" s="197"/>
      <c r="AE149" s="197"/>
      <c r="AF149" s="199"/>
      <c r="AG149" s="199"/>
      <c r="AH149" s="199"/>
      <c r="AI149" s="199"/>
      <c r="AJ149" s="197"/>
      <c r="AK149" s="197"/>
      <c r="AL149" s="197"/>
      <c r="AM149" s="197"/>
      <c r="AN149" s="197"/>
      <c r="AO149" s="197"/>
      <c r="AP149" s="197"/>
      <c r="AQ149" s="197"/>
    </row>
    <row r="150" spans="2:46" s="157" customFormat="1" ht="15" customHeight="1">
      <c r="E150" s="35"/>
      <c r="J150" s="33"/>
      <c r="K150" s="33"/>
      <c r="L150" s="33"/>
      <c r="M150" s="33"/>
      <c r="N150" s="33"/>
      <c r="O150" s="33"/>
      <c r="P150" s="33"/>
      <c r="Q150" s="33"/>
      <c r="R150" s="33"/>
      <c r="S150" s="33"/>
      <c r="T150" s="33"/>
      <c r="U150" s="33"/>
      <c r="V150" s="33"/>
      <c r="W150" s="33"/>
      <c r="X150" s="33"/>
    </row>
    <row r="151" spans="2:46" s="157" customFormat="1" ht="15" customHeight="1">
      <c r="E151" s="35" t="s">
        <v>104</v>
      </c>
      <c r="G151" s="157" t="s">
        <v>27</v>
      </c>
      <c r="J151" s="33" t="s">
        <v>56</v>
      </c>
      <c r="K151" s="33"/>
      <c r="L151" s="33"/>
      <c r="M151" s="33"/>
      <c r="N151" s="33"/>
      <c r="O151" s="33"/>
      <c r="P151" s="33"/>
      <c r="Q151" s="33"/>
      <c r="R151" s="33"/>
      <c r="S151" s="33"/>
      <c r="T151" s="33"/>
      <c r="U151" s="33"/>
      <c r="V151" s="33"/>
      <c r="W151" s="33"/>
      <c r="X151" s="33"/>
      <c r="AJ151" s="157">
        <f>'Return&amp;RAV'!AJ47 * Input!AJ57 / Input!$AG$57</f>
        <v>1671.0751656670916</v>
      </c>
      <c r="AK151" s="157">
        <f>'Return&amp;RAV'!AK47 * Input!AK57 / Input!$AG$57</f>
        <v>1771.7992750792998</v>
      </c>
      <c r="AL151" s="157">
        <f>'Return&amp;RAV'!AL47 * Input!AL57 / Input!$AG$57</f>
        <v>1868.2389852769618</v>
      </c>
      <c r="AM151" s="157">
        <f>'Return&amp;RAV'!AM47 * Input!AM57 / Input!$AG$57</f>
        <v>1958.1810241861015</v>
      </c>
      <c r="AN151" s="157">
        <f>'Return&amp;RAV'!AN47 * Input!AN57 / Input!$AG$57</f>
        <v>2053.0340818708091</v>
      </c>
      <c r="AO151" s="157">
        <f>'Return&amp;RAV'!AO47 * Input!AO57 / Input!$AG$57</f>
        <v>2143.8733340576091</v>
      </c>
      <c r="AP151" s="157">
        <f>'Return&amp;RAV'!AP47 * Input!AP57 / Input!$AG$57</f>
        <v>2238.7335732237284</v>
      </c>
      <c r="AQ151" s="157">
        <f>'Return&amp;RAV'!AQ47 * Input!AQ57 / Input!$AG$57</f>
        <v>2334.1717984190764</v>
      </c>
    </row>
    <row r="152" spans="2:46" s="157" customFormat="1" ht="15" customHeight="1">
      <c r="E152" s="157" t="s">
        <v>266</v>
      </c>
      <c r="G152" s="157" t="s">
        <v>49</v>
      </c>
      <c r="J152" s="33"/>
      <c r="K152" s="33"/>
      <c r="L152" s="33"/>
      <c r="M152" s="33"/>
      <c r="N152" s="33"/>
      <c r="O152" s="33"/>
      <c r="P152" s="33"/>
      <c r="Q152" s="33"/>
      <c r="R152" s="33"/>
      <c r="S152" s="33"/>
      <c r="T152" s="33"/>
      <c r="U152" s="33"/>
      <c r="V152" s="33"/>
      <c r="W152" s="33"/>
      <c r="X152" s="33"/>
      <c r="AJ152" s="239">
        <f>(1-Input!AJ49)</f>
        <v>0.35</v>
      </c>
      <c r="AK152" s="239">
        <f>(1-Input!AK49)</f>
        <v>0.35</v>
      </c>
      <c r="AL152" s="239">
        <f>(1-Input!AL49)</f>
        <v>0.35</v>
      </c>
      <c r="AM152" s="239">
        <f>(1-Input!AM49)</f>
        <v>0.35</v>
      </c>
      <c r="AN152" s="239">
        <f>(1-Input!AN49)</f>
        <v>0.35</v>
      </c>
      <c r="AO152" s="239">
        <f>(1-Input!AO49)</f>
        <v>0.35</v>
      </c>
      <c r="AP152" s="239">
        <f>(1-Input!AP49)</f>
        <v>0.35</v>
      </c>
      <c r="AQ152" s="239">
        <f>(1-Input!AQ49)</f>
        <v>0.35</v>
      </c>
    </row>
    <row r="153" spans="2:46" s="157" customFormat="1" ht="15" customHeight="1">
      <c r="E153" s="157" t="s">
        <v>267</v>
      </c>
      <c r="G153" s="157" t="s">
        <v>49</v>
      </c>
      <c r="J153" s="33"/>
      <c r="K153" s="33"/>
      <c r="L153" s="33"/>
      <c r="M153" s="33"/>
      <c r="N153" s="33"/>
      <c r="O153" s="33"/>
      <c r="P153" s="33"/>
      <c r="Q153" s="33"/>
      <c r="R153" s="33"/>
      <c r="S153" s="33"/>
      <c r="T153" s="33"/>
      <c r="U153" s="33"/>
      <c r="V153" s="33"/>
      <c r="W153" s="33"/>
      <c r="X153" s="33"/>
      <c r="AJ153" s="250">
        <f>Input!$I$83</f>
        <v>0.05</v>
      </c>
      <c r="AK153" s="239">
        <f t="shared" ref="AK153:AQ153" si="42">AJ153</f>
        <v>0.05</v>
      </c>
      <c r="AL153" s="239">
        <f t="shared" si="42"/>
        <v>0.05</v>
      </c>
      <c r="AM153" s="239">
        <f t="shared" si="42"/>
        <v>0.05</v>
      </c>
      <c r="AN153" s="239">
        <f t="shared" si="42"/>
        <v>0.05</v>
      </c>
      <c r="AO153" s="239">
        <f t="shared" si="42"/>
        <v>0.05</v>
      </c>
      <c r="AP153" s="239">
        <f t="shared" si="42"/>
        <v>0.05</v>
      </c>
      <c r="AQ153" s="239">
        <f t="shared" si="42"/>
        <v>0.05</v>
      </c>
    </row>
    <row r="154" spans="2:46" s="157" customFormat="1" ht="15" customHeight="1">
      <c r="E154" s="35"/>
      <c r="J154" s="33"/>
      <c r="K154" s="33"/>
      <c r="L154" s="33"/>
      <c r="M154" s="33"/>
      <c r="N154" s="33"/>
      <c r="O154" s="33"/>
      <c r="P154" s="33"/>
      <c r="Q154" s="33"/>
      <c r="R154" s="33"/>
      <c r="S154" s="33"/>
      <c r="T154" s="33"/>
      <c r="U154" s="33"/>
      <c r="V154" s="33"/>
      <c r="W154" s="33"/>
      <c r="X154" s="33"/>
    </row>
    <row r="155" spans="2:46" s="157" customFormat="1" ht="15" customHeight="1">
      <c r="E155" s="35" t="s">
        <v>106</v>
      </c>
      <c r="G155" s="157" t="s">
        <v>27</v>
      </c>
      <c r="J155" s="33"/>
      <c r="K155" s="33"/>
      <c r="L155" s="33"/>
      <c r="M155" s="33"/>
      <c r="N155" s="33"/>
      <c r="O155" s="33"/>
      <c r="P155" s="33"/>
      <c r="Q155" s="33"/>
      <c r="R155" s="33"/>
      <c r="S155" s="33"/>
      <c r="T155" s="33"/>
      <c r="U155" s="33"/>
      <c r="V155" s="33"/>
      <c r="W155" s="33"/>
      <c r="X155" s="33"/>
      <c r="AJ155" s="38">
        <f>AJ151 * AJ152 * AJ153</f>
        <v>29.2438153991741</v>
      </c>
      <c r="AK155" s="38">
        <f t="shared" ref="AK155:AQ155" si="43">AK151 * AK152 * AK153</f>
        <v>31.006487313887746</v>
      </c>
      <c r="AL155" s="38">
        <f t="shared" si="43"/>
        <v>32.694182242346834</v>
      </c>
      <c r="AM155" s="38">
        <f t="shared" si="43"/>
        <v>34.268167923256776</v>
      </c>
      <c r="AN155" s="38">
        <f t="shared" si="43"/>
        <v>35.92809643273916</v>
      </c>
      <c r="AO155" s="38">
        <f t="shared" si="43"/>
        <v>37.517783346008159</v>
      </c>
      <c r="AP155" s="38">
        <f t="shared" si="43"/>
        <v>39.17783753141525</v>
      </c>
      <c r="AQ155" s="38">
        <f t="shared" si="43"/>
        <v>40.848006472333836</v>
      </c>
    </row>
    <row r="156" spans="2:46" s="157" customFormat="1" ht="15" customHeight="1">
      <c r="E156" s="35"/>
      <c r="J156" s="33"/>
      <c r="K156" s="33"/>
      <c r="L156" s="33"/>
      <c r="M156" s="33"/>
      <c r="N156" s="33"/>
      <c r="O156" s="33"/>
      <c r="P156" s="33"/>
      <c r="Q156" s="33"/>
      <c r="R156" s="33"/>
      <c r="S156" s="33"/>
      <c r="T156" s="33"/>
      <c r="U156" s="33"/>
      <c r="V156" s="33"/>
      <c r="W156" s="33"/>
      <c r="X156" s="33"/>
    </row>
    <row r="157" spans="2:46" s="195" customFormat="1" ht="15" customHeight="1">
      <c r="B157" s="334" t="s">
        <v>7</v>
      </c>
      <c r="C157" s="334"/>
      <c r="D157" s="334"/>
      <c r="E157" s="334"/>
      <c r="F157" s="334"/>
      <c r="G157" s="334"/>
      <c r="H157" s="334"/>
      <c r="I157" s="334"/>
      <c r="J157" s="334"/>
      <c r="K157" s="334"/>
      <c r="L157" s="334"/>
      <c r="M157" s="334"/>
      <c r="N157" s="334"/>
      <c r="O157" s="334"/>
      <c r="P157" s="334"/>
      <c r="Q157" s="334"/>
      <c r="R157" s="334"/>
      <c r="S157" s="334"/>
      <c r="T157" s="334"/>
      <c r="U157" s="334"/>
      <c r="V157" s="334"/>
      <c r="W157" s="334"/>
      <c r="X157" s="334"/>
      <c r="Y157" s="334"/>
      <c r="Z157" s="334"/>
      <c r="AA157" s="334"/>
      <c r="AB157" s="334"/>
      <c r="AC157" s="334"/>
      <c r="AD157" s="334"/>
      <c r="AE157" s="334"/>
      <c r="AF157" s="334"/>
      <c r="AG157" s="334"/>
      <c r="AH157" s="376"/>
      <c r="AI157" s="376"/>
      <c r="AJ157" s="334"/>
      <c r="AK157" s="334"/>
      <c r="AL157" s="334"/>
      <c r="AM157" s="334"/>
      <c r="AN157" s="334"/>
      <c r="AO157" s="334"/>
      <c r="AP157" s="334"/>
      <c r="AQ157" s="334"/>
      <c r="AR157" s="113"/>
      <c r="AS157" s="113"/>
      <c r="AT157" s="113"/>
    </row>
    <row r="158" spans="2:46" s="195" customFormat="1" ht="15" customHeight="1">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57"/>
      <c r="AK158" s="157"/>
      <c r="AL158" s="157"/>
      <c r="AM158" s="157"/>
      <c r="AN158" s="157"/>
      <c r="AO158" s="157"/>
      <c r="AP158" s="157"/>
      <c r="AQ158" s="157"/>
      <c r="AR158" s="113"/>
      <c r="AS158" s="113"/>
      <c r="AT158" s="113"/>
    </row>
    <row r="159" spans="2:46" s="195" customFormat="1" ht="15" customHeight="1">
      <c r="C159" s="332" t="s">
        <v>92</v>
      </c>
      <c r="D159" s="332"/>
      <c r="E159" s="332"/>
      <c r="F159" s="332"/>
      <c r="G159" s="332"/>
      <c r="H159" s="332"/>
      <c r="I159" s="332"/>
      <c r="J159" s="332"/>
      <c r="K159" s="332"/>
      <c r="L159" s="332"/>
      <c r="M159" s="332"/>
      <c r="N159" s="332"/>
      <c r="O159" s="332"/>
      <c r="P159" s="332"/>
      <c r="Q159" s="332"/>
      <c r="R159" s="332"/>
      <c r="S159" s="332"/>
      <c r="T159" s="332"/>
      <c r="U159" s="332"/>
      <c r="V159" s="332"/>
      <c r="W159" s="332"/>
      <c r="X159" s="332"/>
      <c r="Y159" s="332"/>
      <c r="Z159" s="332"/>
      <c r="AA159" s="332"/>
      <c r="AB159" s="332"/>
      <c r="AC159" s="332"/>
      <c r="AD159" s="332"/>
      <c r="AE159" s="332"/>
      <c r="AF159" s="332"/>
      <c r="AG159" s="332"/>
      <c r="AH159" s="354"/>
      <c r="AI159" s="354"/>
      <c r="AJ159" s="332"/>
      <c r="AK159" s="332"/>
      <c r="AL159" s="332"/>
      <c r="AM159" s="332"/>
      <c r="AN159" s="332"/>
      <c r="AO159" s="332"/>
      <c r="AP159" s="332"/>
      <c r="AQ159" s="332"/>
      <c r="AR159" s="113"/>
      <c r="AS159" s="113"/>
      <c r="AT159" s="113"/>
    </row>
    <row r="160" spans="2:46" s="157" customFormat="1" ht="15" customHeight="1">
      <c r="C160" s="197" t="s">
        <v>273</v>
      </c>
      <c r="D160" s="197"/>
      <c r="E160" s="197"/>
      <c r="F160" s="197"/>
      <c r="G160" s="197"/>
      <c r="H160" s="197"/>
      <c r="I160" s="197"/>
      <c r="J160" s="197"/>
      <c r="K160" s="197"/>
      <c r="L160" s="197"/>
      <c r="M160" s="197"/>
      <c r="N160" s="197"/>
      <c r="O160" s="197"/>
      <c r="P160" s="197"/>
      <c r="Q160" s="197"/>
      <c r="R160" s="197"/>
      <c r="S160" s="197"/>
      <c r="T160" s="197"/>
      <c r="U160" s="197"/>
      <c r="V160" s="197"/>
      <c r="W160" s="197"/>
      <c r="X160" s="197"/>
      <c r="Y160" s="197"/>
      <c r="Z160" s="197"/>
      <c r="AA160" s="197"/>
      <c r="AB160" s="197"/>
      <c r="AC160" s="197"/>
      <c r="AD160" s="197"/>
      <c r="AE160" s="197"/>
      <c r="AF160" s="199"/>
      <c r="AG160" s="199"/>
      <c r="AH160" s="199"/>
      <c r="AI160" s="199"/>
      <c r="AJ160" s="197">
        <f>AJ162+AJ164</f>
        <v>338.03704233920985</v>
      </c>
      <c r="AK160" s="197"/>
      <c r="AL160" s="197"/>
      <c r="AM160" s="197"/>
      <c r="AN160" s="197"/>
      <c r="AO160" s="197"/>
      <c r="AP160" s="197"/>
      <c r="AQ160" s="197"/>
    </row>
    <row r="161" spans="3:47" s="195" customFormat="1" ht="15" customHeight="1">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3"/>
      <c r="AL161" s="113"/>
      <c r="AM161" s="113"/>
      <c r="AN161" s="113"/>
      <c r="AO161" s="113"/>
      <c r="AP161" s="113"/>
      <c r="AQ161" s="113"/>
      <c r="AR161" s="113"/>
      <c r="AS161" s="113"/>
      <c r="AT161" s="113"/>
    </row>
    <row r="162" spans="3:47" s="195" customFormat="1" ht="15" customHeight="1">
      <c r="E162" s="195" t="s">
        <v>781</v>
      </c>
      <c r="G162" s="195" t="s">
        <v>27</v>
      </c>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57"/>
      <c r="AI162" s="157"/>
      <c r="AJ162" s="157">
        <f>Revenue!AJ20 * Input!AJ$57 / Input!$AG$57</f>
        <v>338.03704233920985</v>
      </c>
      <c r="AK162" s="157">
        <f>Revenue!AK20 * Input!AK$57 / Input!$AG$57</f>
        <v>358.04908680764697</v>
      </c>
      <c r="AL162" s="157">
        <f>Revenue!AL20 * Input!AL$57 / Input!$AG$57</f>
        <v>379.13573527897171</v>
      </c>
      <c r="AM162" s="157">
        <f>Revenue!AM20 * Input!AM$57 / Input!$AG$57</f>
        <v>400.8109729601523</v>
      </c>
      <c r="AN162" s="157">
        <f>Revenue!AN20 * Input!AN$57 / Input!$AG$57</f>
        <v>423.08066695398969</v>
      </c>
      <c r="AO162" s="157">
        <f>Revenue!AO20 * Input!AO$57 / Input!$AG$57</f>
        <v>446.55091670007033</v>
      </c>
      <c r="AP162" s="157">
        <f>Revenue!AP20 * Input!AP$57 / Input!$AG$57</f>
        <v>470.63351121747388</v>
      </c>
      <c r="AQ162" s="157">
        <f>Revenue!AQ20 * Input!AQ$57 / Input!$AG$57</f>
        <v>496.33101072747661</v>
      </c>
      <c r="AR162" s="113"/>
      <c r="AS162" s="113"/>
      <c r="AT162" s="113"/>
      <c r="AU162" s="114"/>
    </row>
    <row r="163" spans="3:47" s="195" customFormat="1" ht="15" customHeight="1">
      <c r="E163" s="195" t="s">
        <v>725</v>
      </c>
      <c r="G163" s="195" t="s">
        <v>27</v>
      </c>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57"/>
      <c r="AI163" s="157"/>
      <c r="AJ163" s="157">
        <f>DARTs!AJ71 * Input!AJ57/Input!$AG57</f>
        <v>-36.382183489738587</v>
      </c>
      <c r="AK163" s="157">
        <f>DARTs!AK71 * Input!AK57/Input!$AG57</f>
        <v>-37.615985862711902</v>
      </c>
      <c r="AL163" s="157">
        <f>DARTs!AL71 * Input!AL57/Input!$AG57</f>
        <v>-38.8964873360284</v>
      </c>
      <c r="AM163" s="157">
        <f>DARTs!AM71 * Input!AM57/Input!$AG57</f>
        <v>-40.225802923265022</v>
      </c>
      <c r="AN163" s="157">
        <f>DARTs!AN71 * Input!AN57/Input!$AG57</f>
        <v>-41.606132060473044</v>
      </c>
      <c r="AO163" s="157">
        <f>DARTs!AO71 * Input!AO57/Input!$AG57</f>
        <v>-43.03976484567314</v>
      </c>
      <c r="AP163" s="157">
        <f>DARTs!AP71 * Input!AP57/Input!$AG57</f>
        <v>-44.529226989939545</v>
      </c>
      <c r="AQ163" s="157">
        <f>DARTs!AQ71 * Input!AQ57/Input!$AG57</f>
        <v>-46.077150718237412</v>
      </c>
      <c r="AR163" s="113"/>
      <c r="AS163"/>
      <c r="AT163" s="113"/>
      <c r="AU163" s="114"/>
    </row>
    <row r="164" spans="3:47" s="195" customFormat="1" ht="15" customHeight="1">
      <c r="E164" s="157" t="s">
        <v>216</v>
      </c>
      <c r="G164" s="195" t="s">
        <v>27</v>
      </c>
      <c r="H164" s="157"/>
      <c r="J164" s="157"/>
      <c r="K164" s="157"/>
      <c r="L164" s="157"/>
      <c r="M164" s="157"/>
      <c r="N164" s="157"/>
      <c r="O164" s="157"/>
      <c r="P164" s="157"/>
      <c r="Q164" s="157"/>
      <c r="R164" s="157"/>
      <c r="S164" s="157"/>
      <c r="T164" s="157"/>
      <c r="U164" s="157"/>
      <c r="V164" s="157"/>
      <c r="W164" s="157"/>
      <c r="X164" s="157"/>
      <c r="Y164" s="157"/>
      <c r="Z164" s="157"/>
      <c r="AA164" s="157"/>
      <c r="AB164" s="157"/>
      <c r="AC164" s="157"/>
      <c r="AD164" s="157"/>
      <c r="AE164" s="157"/>
      <c r="AF164" s="157"/>
      <c r="AG164" s="157"/>
      <c r="AH164" s="157"/>
      <c r="AI164" s="157"/>
      <c r="AJ164" s="157">
        <f>-TIM!AJ84 * Input!AJ57/Input!$AG57</f>
        <v>0</v>
      </c>
      <c r="AK164" s="157">
        <f>-TIM!AK84 * Input!AK57/Input!$AG57</f>
        <v>0</v>
      </c>
      <c r="AL164" s="157">
        <f>-TIM!AL84 * Input!AL57/Input!$AG57</f>
        <v>0</v>
      </c>
      <c r="AM164" s="157">
        <f>-TIM!AM84 * Input!AM57/Input!$AG57</f>
        <v>0</v>
      </c>
      <c r="AN164" s="157">
        <f>-TIM!AN84 * Input!AN57/Input!$AG57</f>
        <v>0</v>
      </c>
      <c r="AO164" s="157">
        <f>-TIM!AO84 * Input!AO57/Input!$AG57</f>
        <v>0</v>
      </c>
      <c r="AP164" s="157">
        <f>-TIM!AP84 * Input!AP57/Input!$AG57</f>
        <v>0</v>
      </c>
      <c r="AQ164" s="157">
        <f>-TIM!AQ84 * Input!AQ57/Input!$AG57</f>
        <v>0</v>
      </c>
      <c r="AR164" s="113"/>
      <c r="AS164"/>
      <c r="AT164" s="113"/>
      <c r="AU164" s="114"/>
    </row>
    <row r="165" spans="3:47" s="195" customFormat="1" ht="15" customHeight="1">
      <c r="E165" s="157" t="s">
        <v>355</v>
      </c>
      <c r="G165" s="195" t="s">
        <v>27</v>
      </c>
      <c r="H165" s="157"/>
      <c r="I165" s="157"/>
      <c r="J165" s="157"/>
      <c r="K165" s="157"/>
      <c r="L165" s="157"/>
      <c r="M165" s="157"/>
      <c r="N165" s="157"/>
      <c r="O165" s="157"/>
      <c r="P165" s="157"/>
      <c r="Q165" s="157"/>
      <c r="R165" s="157"/>
      <c r="S165" s="157"/>
      <c r="T165" s="157"/>
      <c r="U165" s="157"/>
      <c r="V165" s="157"/>
      <c r="W165" s="157"/>
      <c r="X165" s="157"/>
      <c r="Y165" s="157"/>
      <c r="Z165" s="157"/>
      <c r="AA165" s="157"/>
      <c r="AB165" s="157"/>
      <c r="AC165" s="157"/>
      <c r="AD165" s="157"/>
      <c r="AE165" s="157"/>
      <c r="AF165" s="157"/>
      <c r="AG165" s="113"/>
      <c r="AH165" s="157"/>
      <c r="AI165" s="157"/>
      <c r="AJ165" s="157">
        <f>AJ131</f>
        <v>-52.874982816179497</v>
      </c>
      <c r="AK165" s="157">
        <f t="shared" ref="AK165:AQ165" si="44">AK131</f>
        <v>-56.981248363900704</v>
      </c>
      <c r="AL165" s="157">
        <f t="shared" si="44"/>
        <v>-61.448333197978826</v>
      </c>
      <c r="AM165" s="157">
        <f t="shared" si="44"/>
        <v>-65.409928250982404</v>
      </c>
      <c r="AN165" s="157">
        <f t="shared" si="44"/>
        <v>-68.709690162181062</v>
      </c>
      <c r="AO165" s="157">
        <f t="shared" si="44"/>
        <v>-71.294790159277653</v>
      </c>
      <c r="AP165" s="157">
        <f t="shared" si="44"/>
        <v>-73.273915270778446</v>
      </c>
      <c r="AQ165" s="157">
        <f t="shared" si="44"/>
        <v>-74.563102167299434</v>
      </c>
      <c r="AR165" s="113"/>
      <c r="AS165"/>
      <c r="AT165" s="113"/>
      <c r="AU165" s="114"/>
    </row>
    <row r="166" spans="3:47" s="195" customFormat="1" ht="15" customHeight="1">
      <c r="E166" s="157" t="s">
        <v>354</v>
      </c>
      <c r="G166" s="195" t="s">
        <v>27</v>
      </c>
      <c r="J166" s="113"/>
      <c r="K166" s="113"/>
      <c r="L166" s="113"/>
      <c r="M166" s="113"/>
      <c r="N166" s="113"/>
      <c r="O166" s="113"/>
      <c r="P166" s="113"/>
      <c r="Q166" s="113"/>
      <c r="R166" s="113"/>
      <c r="S166" s="113"/>
      <c r="T166" s="113"/>
      <c r="U166" s="113"/>
      <c r="V166" s="113"/>
      <c r="W166" s="113"/>
      <c r="X166" s="113"/>
      <c r="Y166" s="113"/>
      <c r="Z166" s="113"/>
      <c r="AA166" s="113"/>
      <c r="AB166" s="113"/>
      <c r="AC166" s="113"/>
      <c r="AD166" s="113"/>
      <c r="AE166" s="113"/>
      <c r="AF166" s="113"/>
      <c r="AG166" s="113"/>
      <c r="AH166" s="157"/>
      <c r="AI166" s="157"/>
      <c r="AJ166" s="157">
        <f>AJ133</f>
        <v>-8.2398990475106899</v>
      </c>
      <c r="AK166" s="157">
        <f t="shared" ref="AK166:AQ166" si="45">AK133</f>
        <v>-8.8798615678963131</v>
      </c>
      <c r="AL166" s="157">
        <f t="shared" si="45"/>
        <v>-9.5762071045765431</v>
      </c>
      <c r="AM166" s="157">
        <f t="shared" si="45"/>
        <v>-10.19379257880124</v>
      </c>
      <c r="AN166" s="157">
        <f t="shared" si="45"/>
        <v>-10.708090687633302</v>
      </c>
      <c r="AO166" s="157">
        <f t="shared" si="45"/>
        <v>-11.110701789166335</v>
      </c>
      <c r="AP166" s="157">
        <f t="shared" si="45"/>
        <v>-11.419037940265053</v>
      </c>
      <c r="AQ166" s="157">
        <f t="shared" si="45"/>
        <v>-11.619842413731464</v>
      </c>
      <c r="AR166" s="113"/>
      <c r="AS166"/>
      <c r="AT166" s="113"/>
      <c r="AU166" s="114"/>
    </row>
    <row r="167" spans="3:47" s="195" customFormat="1" ht="15" customHeight="1">
      <c r="E167" s="195" t="s">
        <v>268</v>
      </c>
      <c r="G167" s="195" t="s">
        <v>27</v>
      </c>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7"/>
      <c r="AE167" s="157"/>
      <c r="AF167" s="157"/>
      <c r="AG167" s="113"/>
      <c r="AH167" s="157"/>
      <c r="AI167" s="157"/>
      <c r="AJ167" s="157">
        <f>-TaxPools!AJ75*Input!AJ57/Input!$AG57</f>
        <v>-110.6135103763024</v>
      </c>
      <c r="AK167" s="157">
        <f>-TaxPools!AK75*Input!AK57/Input!$AG57</f>
        <v>-114.78829388141548</v>
      </c>
      <c r="AL167" s="157">
        <f>-TaxPools!AL75*Input!AL57/Input!$AG57</f>
        <v>-119.48580093633764</v>
      </c>
      <c r="AM167" s="157">
        <f>-TaxPools!AM75*Input!AM57/Input!$AG57</f>
        <v>-123.35706207410078</v>
      </c>
      <c r="AN167" s="157">
        <f>-TaxPools!AN75*Input!AN57/Input!$AG57</f>
        <v>-126.08656094986017</v>
      </c>
      <c r="AO167" s="157">
        <f>-TaxPools!AO75*Input!AO57/Input!$AG57</f>
        <v>-129.90838431382068</v>
      </c>
      <c r="AP167" s="157">
        <f>-TaxPools!AP75*Input!AP57/Input!$AG57</f>
        <v>-130.53318976119994</v>
      </c>
      <c r="AQ167" s="157">
        <f>-TaxPools!AQ75*Input!AQ57/Input!$AG57</f>
        <v>-133.91371047661013</v>
      </c>
      <c r="AR167" s="113"/>
      <c r="AS167"/>
      <c r="AT167" s="113"/>
      <c r="AU167" s="114"/>
    </row>
    <row r="168" spans="3:47" s="195" customFormat="1" ht="15" customHeight="1">
      <c r="E168" s="195" t="s">
        <v>128</v>
      </c>
      <c r="G168" s="195" t="s">
        <v>27</v>
      </c>
      <c r="H168" s="157"/>
      <c r="J168" s="157"/>
      <c r="K168" s="157"/>
      <c r="L168" s="157"/>
      <c r="M168" s="157"/>
      <c r="N168" s="157"/>
      <c r="O168" s="157"/>
      <c r="P168" s="157"/>
      <c r="Q168" s="157"/>
      <c r="R168" s="157"/>
      <c r="S168" s="157"/>
      <c r="T168" s="157"/>
      <c r="U168" s="157"/>
      <c r="V168" s="157"/>
      <c r="W168" s="157"/>
      <c r="X168" s="157"/>
      <c r="Y168" s="157"/>
      <c r="Z168" s="157"/>
      <c r="AA168" s="157"/>
      <c r="AB168" s="157"/>
      <c r="AC168" s="157"/>
      <c r="AD168" s="157"/>
      <c r="AE168" s="157"/>
      <c r="AF168" s="157"/>
      <c r="AG168" s="157"/>
      <c r="AH168" s="157"/>
      <c r="AI168" s="157"/>
      <c r="AJ168" s="157">
        <f>-TaxPools!AJ127</f>
        <v>-62.953688666966592</v>
      </c>
      <c r="AK168" s="157">
        <f>-TaxPools!AK127</f>
        <v>-69.652959446166605</v>
      </c>
      <c r="AL168" s="157">
        <f>-TaxPools!AL127</f>
        <v>-75.868543508226239</v>
      </c>
      <c r="AM168" s="157">
        <f>-TaxPools!AM127</f>
        <v>-81.227978846973784</v>
      </c>
      <c r="AN168" s="157">
        <f>-TaxPools!AN127</f>
        <v>-86.136658084471591</v>
      </c>
      <c r="AO168" s="157">
        <f>-TaxPools!AO127</f>
        <v>-90.680229092698767</v>
      </c>
      <c r="AP168" s="157">
        <f>-TaxPools!AP127</f>
        <v>-95.965224007915651</v>
      </c>
      <c r="AQ168" s="157">
        <f>-TaxPools!AQ127</f>
        <v>-100.79835521508228</v>
      </c>
      <c r="AR168" s="113"/>
      <c r="AS168"/>
      <c r="AT168" s="113"/>
      <c r="AU168" s="114"/>
    </row>
    <row r="169" spans="3:47" s="195" customFormat="1" ht="15" customHeight="1">
      <c r="E169" s="195" t="s">
        <v>409</v>
      </c>
      <c r="G169" s="195" t="s">
        <v>27</v>
      </c>
      <c r="H169" s="157"/>
      <c r="J169" s="157"/>
      <c r="K169" s="157"/>
      <c r="L169" s="157"/>
      <c r="M169" s="157"/>
      <c r="N169" s="157"/>
      <c r="O169" s="157"/>
      <c r="P169" s="157"/>
      <c r="Q169" s="157"/>
      <c r="R169" s="157"/>
      <c r="S169" s="157"/>
      <c r="T169" s="157"/>
      <c r="U169" s="157"/>
      <c r="V169" s="157"/>
      <c r="W169" s="157"/>
      <c r="X169" s="157"/>
      <c r="Y169" s="157"/>
      <c r="Z169" s="157"/>
      <c r="AA169" s="157"/>
      <c r="AB169" s="157"/>
      <c r="AC169" s="157"/>
      <c r="AD169" s="157"/>
      <c r="AE169" s="157"/>
      <c r="AF169" s="157"/>
      <c r="AG169" s="157"/>
      <c r="AH169" s="157"/>
      <c r="AI169" s="157"/>
      <c r="AJ169" s="167">
        <f t="shared" ref="AJ169:AQ169" si="46">SUM(AJ162:AJ168)</f>
        <v>66.972777942512096</v>
      </c>
      <c r="AK169" s="167">
        <f t="shared" si="46"/>
        <v>70.130737685555957</v>
      </c>
      <c r="AL169" s="167">
        <f t="shared" si="46"/>
        <v>73.860363195824007</v>
      </c>
      <c r="AM169" s="167">
        <f t="shared" si="46"/>
        <v>80.396408286029029</v>
      </c>
      <c r="AN169" s="167">
        <f t="shared" si="46"/>
        <v>89.83353500937055</v>
      </c>
      <c r="AO169" s="167">
        <f t="shared" si="46"/>
        <v>100.51704649943375</v>
      </c>
      <c r="AP169" s="167">
        <f t="shared" si="46"/>
        <v>114.91291724737522</v>
      </c>
      <c r="AQ169" s="167">
        <f t="shared" si="46"/>
        <v>129.35884973651588</v>
      </c>
      <c r="AR169" s="113"/>
      <c r="AS169"/>
      <c r="AT169" s="113"/>
      <c r="AU169" s="114"/>
    </row>
    <row r="170" spans="3:47" s="195" customFormat="1" ht="15" customHeight="1">
      <c r="H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7"/>
      <c r="AE170" s="157"/>
      <c r="AF170" s="157"/>
      <c r="AG170" s="157"/>
      <c r="AH170" s="157"/>
      <c r="AI170" s="157"/>
      <c r="AJ170" s="157"/>
      <c r="AK170" s="157"/>
      <c r="AL170" s="157"/>
      <c r="AM170" s="157"/>
      <c r="AN170" s="157"/>
      <c r="AO170" s="157"/>
      <c r="AP170" s="157"/>
      <c r="AQ170" s="157"/>
      <c r="AR170" s="113"/>
      <c r="AS170" s="113"/>
      <c r="AT170" s="113"/>
      <c r="AU170" s="114"/>
    </row>
    <row r="171" spans="3:47" s="195" customFormat="1" ht="15" customHeight="1">
      <c r="C171" s="332" t="s">
        <v>7</v>
      </c>
      <c r="D171" s="332"/>
      <c r="E171" s="332"/>
      <c r="F171" s="332"/>
      <c r="G171" s="354"/>
      <c r="H171" s="354"/>
      <c r="I171" s="354"/>
      <c r="J171" s="354"/>
      <c r="K171" s="354"/>
      <c r="L171" s="354"/>
      <c r="M171" s="354"/>
      <c r="N171" s="354"/>
      <c r="O171" s="354"/>
      <c r="P171" s="354"/>
      <c r="Q171" s="354"/>
      <c r="R171" s="354"/>
      <c r="S171" s="354"/>
      <c r="T171" s="354"/>
      <c r="U171" s="354"/>
      <c r="V171" s="354"/>
      <c r="W171" s="354"/>
      <c r="X171" s="354"/>
      <c r="Y171" s="354"/>
      <c r="Z171" s="354"/>
      <c r="AA171" s="354"/>
      <c r="AB171" s="354"/>
      <c r="AC171" s="354"/>
      <c r="AD171" s="354"/>
      <c r="AE171" s="354"/>
      <c r="AF171" s="354"/>
      <c r="AG171" s="354"/>
      <c r="AH171" s="354"/>
      <c r="AI171" s="354"/>
      <c r="AJ171" s="354"/>
      <c r="AK171" s="354"/>
      <c r="AL171" s="354"/>
      <c r="AM171" s="354"/>
      <c r="AN171" s="354"/>
      <c r="AO171" s="354"/>
      <c r="AP171" s="354"/>
      <c r="AQ171" s="354"/>
      <c r="AR171" s="113"/>
      <c r="AS171" s="113"/>
      <c r="AT171" s="113"/>
      <c r="AU171" s="114"/>
    </row>
    <row r="172" spans="3:47" s="195" customFormat="1" ht="15" customHeight="1">
      <c r="G172" s="157"/>
      <c r="H172" s="157"/>
      <c r="I172" s="157"/>
      <c r="J172" s="157"/>
      <c r="K172" s="157"/>
      <c r="L172" s="157"/>
      <c r="M172" s="157"/>
      <c r="N172" s="157"/>
      <c r="O172" s="157"/>
      <c r="P172" s="157"/>
      <c r="Q172" s="157"/>
      <c r="R172" s="157"/>
      <c r="S172" s="157"/>
      <c r="T172" s="157"/>
      <c r="U172" s="157"/>
      <c r="V172" s="157"/>
      <c r="W172" s="157"/>
      <c r="X172" s="157"/>
      <c r="Y172" s="157"/>
      <c r="Z172" s="157"/>
      <c r="AA172" s="157"/>
      <c r="AB172" s="157"/>
      <c r="AC172" s="157"/>
      <c r="AD172" s="157"/>
      <c r="AE172" s="157"/>
      <c r="AF172" s="157"/>
      <c r="AG172" s="157"/>
      <c r="AH172" s="157"/>
      <c r="AI172" s="157"/>
      <c r="AJ172" s="157"/>
      <c r="AK172" s="157"/>
      <c r="AL172" s="157"/>
      <c r="AM172" s="157"/>
      <c r="AN172" s="157"/>
      <c r="AO172" s="157"/>
      <c r="AP172" s="157"/>
      <c r="AQ172" s="157"/>
      <c r="AR172" s="113"/>
      <c r="AS172" s="113"/>
      <c r="AT172" s="113"/>
      <c r="AU172" s="114"/>
    </row>
    <row r="173" spans="3:47" s="195" customFormat="1" ht="15" customHeight="1">
      <c r="D173" s="201" t="s">
        <v>792</v>
      </c>
      <c r="E173" s="201"/>
      <c r="F173" s="201"/>
      <c r="G173" s="201"/>
      <c r="H173" s="201"/>
      <c r="I173" s="201"/>
      <c r="J173" s="201"/>
      <c r="K173" s="201"/>
      <c r="L173" s="201"/>
      <c r="M173" s="201"/>
      <c r="N173" s="201"/>
      <c r="O173" s="201"/>
      <c r="P173" s="201"/>
      <c r="Q173" s="201"/>
      <c r="R173" s="201"/>
      <c r="S173" s="201"/>
      <c r="T173" s="201"/>
      <c r="U173" s="201"/>
      <c r="V173" s="201"/>
      <c r="W173" s="201"/>
      <c r="X173" s="201"/>
      <c r="Y173" s="201"/>
      <c r="Z173" s="201"/>
      <c r="AA173" s="201"/>
      <c r="AB173" s="201"/>
      <c r="AC173" s="201"/>
      <c r="AD173" s="201"/>
      <c r="AE173" s="201"/>
      <c r="AF173" s="201"/>
      <c r="AG173" s="201"/>
      <c r="AH173" s="202"/>
      <c r="AI173" s="202"/>
      <c r="AJ173" s="202"/>
      <c r="AK173" s="202"/>
      <c r="AL173" s="202"/>
      <c r="AM173" s="202"/>
      <c r="AN173" s="202"/>
      <c r="AO173" s="202"/>
      <c r="AP173" s="202"/>
      <c r="AQ173" s="202"/>
      <c r="AR173" s="113"/>
    </row>
    <row r="174" spans="3:47" s="195" customFormat="1" ht="15" customHeight="1"/>
    <row r="175" spans="3:47" s="195" customFormat="1" ht="15" customHeight="1">
      <c r="E175" s="157" t="s">
        <v>512</v>
      </c>
      <c r="G175" s="195" t="s">
        <v>27</v>
      </c>
      <c r="AJ175" s="157">
        <f>-ABS(Input!AH367)</f>
        <v>0</v>
      </c>
      <c r="AK175" s="228">
        <f>SUM(AJ180)</f>
        <v>0</v>
      </c>
      <c r="AL175" s="157">
        <f t="shared" ref="AL175:AQ175" si="47">SUM(AK180)</f>
        <v>0</v>
      </c>
      <c r="AM175" s="157">
        <f t="shared" si="47"/>
        <v>0</v>
      </c>
      <c r="AN175" s="157">
        <f t="shared" si="47"/>
        <v>0</v>
      </c>
      <c r="AO175" s="157">
        <f t="shared" si="47"/>
        <v>0</v>
      </c>
      <c r="AP175" s="157">
        <f t="shared" si="47"/>
        <v>0</v>
      </c>
      <c r="AQ175" s="157">
        <f t="shared" si="47"/>
        <v>0</v>
      </c>
    </row>
    <row r="176" spans="3:47" s="195" customFormat="1" ht="15" customHeight="1">
      <c r="E176" s="157" t="s">
        <v>511</v>
      </c>
      <c r="G176" s="195" t="s">
        <v>27</v>
      </c>
      <c r="AJ176" s="157">
        <f>MIN(AJ169, 0)</f>
        <v>0</v>
      </c>
      <c r="AK176" s="157">
        <f>MIN(AK169, 0)</f>
        <v>0</v>
      </c>
      <c r="AL176" s="157">
        <f t="shared" ref="AL176:AQ176" si="48">MIN(AL169, 0)</f>
        <v>0</v>
      </c>
      <c r="AM176" s="157">
        <f t="shared" si="48"/>
        <v>0</v>
      </c>
      <c r="AN176" s="157">
        <f t="shared" si="48"/>
        <v>0</v>
      </c>
      <c r="AO176" s="157">
        <f t="shared" si="48"/>
        <v>0</v>
      </c>
      <c r="AP176" s="157">
        <f t="shared" si="48"/>
        <v>0</v>
      </c>
      <c r="AQ176" s="157">
        <f t="shared" si="48"/>
        <v>0</v>
      </c>
    </row>
    <row r="177" spans="4:44" s="195" customFormat="1" ht="15" customHeight="1">
      <c r="E177" s="157" t="s">
        <v>793</v>
      </c>
      <c r="G177" s="195" t="s">
        <v>27</v>
      </c>
      <c r="AJ177" s="157">
        <f>-Input!AJ36*(1/AJ186)</f>
        <v>0</v>
      </c>
      <c r="AK177" s="157">
        <f>-Input!AK36*(1/AK186)</f>
        <v>0</v>
      </c>
      <c r="AL177" s="157">
        <f>-Input!AL36*(1/AL186)</f>
        <v>0</v>
      </c>
      <c r="AM177" s="157">
        <f>-Input!AM36*(1/AM186)</f>
        <v>0</v>
      </c>
      <c r="AN177" s="157">
        <f>-Input!AN36*(1/AN186)</f>
        <v>0</v>
      </c>
      <c r="AO177" s="157">
        <f>-Input!AO36*(1/AO186)</f>
        <v>0</v>
      </c>
      <c r="AP177" s="157">
        <f>-Input!AP36*(1/AP186)</f>
        <v>0</v>
      </c>
      <c r="AQ177" s="157">
        <f>-Input!AQ36*(1/AQ186)</f>
        <v>0</v>
      </c>
    </row>
    <row r="178" spans="4:44" s="195" customFormat="1" ht="15" customHeight="1">
      <c r="E178" s="157" t="s">
        <v>794</v>
      </c>
      <c r="G178" s="195" t="s">
        <v>27</v>
      </c>
      <c r="AJ178" s="157">
        <f>-IF(Input!AJ37&gt;0,-MIN(Input!AJ37*(Input!AJ$57/Input!$AG57)*((1-AJ186)*1/AJ186),MAX(-(AJ169+SUM(AJ175:AJ177)),0)),-MIN(Input!AJ37*(Input!AJ$57/Input!$AG57)*((1-AJ186)*1/AJ186),MAX(AJ169+SUM(AJ175:AJ177),0)))</f>
        <v>0</v>
      </c>
      <c r="AK178" s="157">
        <f>-IF(Input!AK37&gt;0,-MIN(Input!AK37*(Input!AK$57/Input!$AG57)*((1-AK186)*1/AK186),MAX(-(AK169+SUM(AK175:AK177)),0)),-MIN(Input!AK37*(Input!AK$57/Input!$AG57)*((1-AK186)*1/AK186),MAX(AK169+SUM(AK175:AK177),0)))</f>
        <v>0</v>
      </c>
      <c r="AL178" s="157">
        <f>-IF(Input!AL37&gt;0,-MIN(Input!AL37*(Input!AL$57/Input!$AG57)*((1-AL186)*1/AL186),MAX(-(AL169+SUM(AL175:AL177)),0)),-MIN(Input!AL37*(Input!AL$57/Input!$AG57)*((1-AL186)*1/AL186),MAX(AL169+SUM(AL175:AL177),0)))</f>
        <v>0</v>
      </c>
      <c r="AM178" s="157">
        <f>-IF(Input!AM37&gt;0,-MIN(Input!AM37*(Input!AM$57/Input!$AG57)*((1-AM186)*1/AM186),MAX(-(AM169+SUM(AM175:AM177)),0)),-MIN(Input!AM37*(Input!AM$57/Input!$AG57)*((1-AM186)*1/AM186),MAX(AM169+SUM(AM175:AM177),0)))</f>
        <v>0</v>
      </c>
      <c r="AN178" s="157">
        <f>-IF(Input!AN37&gt;0,-MIN(Input!AN37*(Input!AN$57/Input!$AG57)*((1-AN186)*1/AN186),MAX(-(AN169+SUM(AN175:AN177)),0)),-MIN(Input!AN37*(Input!AN$57/Input!$AG57)*((1-AN186)*1/AN186),MAX(AN169+SUM(AN175:AN177),0)))</f>
        <v>0</v>
      </c>
      <c r="AO178" s="157">
        <f>-IF(Input!AO37&gt;0,-MIN(Input!AO37*(Input!AO$57/Input!$AG57)*((1-AO186)*1/AO186),MAX(-(AO169+SUM(AO175:AO177)),0)),-MIN(Input!AO37*(Input!AO$57/Input!$AG57)*((1-AO186)*1/AO186),MAX(AO169+SUM(AO175:AO177),0)))</f>
        <v>0</v>
      </c>
      <c r="AP178" s="157">
        <f>-IF(Input!AP37&gt;0,-MIN(Input!AP37*(Input!AP$57/Input!$AG57)*((1-AP186)*1/AP186),MAX(-(AP169+SUM(AP175:AP177)),0)),-MIN(Input!AP37*(Input!AP$57/Input!$AG57)*((1-AP186)*1/AP186),MAX(AP169+SUM(AP175:AP177),0)))</f>
        <v>0</v>
      </c>
      <c r="AQ178" s="157">
        <f>-IF(Input!AQ37&gt;0,-MIN(Input!AQ37*(Input!AQ$57/Input!$AG57)*((1-AQ186)*1/AQ186),MAX(-(AQ169+SUM(AQ175:AQ177)),0)),-MIN(Input!AQ37*(Input!AQ$57/Input!$AG57)*((1-AQ186)*1/AQ186),MAX(AQ169+SUM(AQ175:AQ177),0)))</f>
        <v>0</v>
      </c>
    </row>
    <row r="179" spans="4:44" s="195" customFormat="1" ht="15" customHeight="1">
      <c r="E179" s="195" t="s">
        <v>774</v>
      </c>
      <c r="G179" s="195" t="s">
        <v>27</v>
      </c>
      <c r="AJ179" s="157">
        <f t="shared" ref="AJ179:AQ179" si="49">IF(AJ169 &gt;= 0, MIN(AJ169, -AJ175-AJ177-AJ178), 0)</f>
        <v>0</v>
      </c>
      <c r="AK179" s="157">
        <f t="shared" si="49"/>
        <v>0</v>
      </c>
      <c r="AL179" s="157">
        <f t="shared" si="49"/>
        <v>0</v>
      </c>
      <c r="AM179" s="157">
        <f t="shared" si="49"/>
        <v>0</v>
      </c>
      <c r="AN179" s="157">
        <f t="shared" si="49"/>
        <v>0</v>
      </c>
      <c r="AO179" s="157">
        <f t="shared" si="49"/>
        <v>0</v>
      </c>
      <c r="AP179" s="157">
        <f t="shared" si="49"/>
        <v>0</v>
      </c>
      <c r="AQ179" s="157">
        <f t="shared" si="49"/>
        <v>0</v>
      </c>
    </row>
    <row r="180" spans="4:44" s="195" customFormat="1" ht="15" customHeight="1">
      <c r="E180" s="157" t="s">
        <v>76</v>
      </c>
      <c r="G180" s="195" t="s">
        <v>27</v>
      </c>
      <c r="AJ180" s="167">
        <f t="shared" ref="AJ180:AQ180" si="50">SUM(AJ175:AJ179)</f>
        <v>0</v>
      </c>
      <c r="AK180" s="167">
        <f t="shared" si="50"/>
        <v>0</v>
      </c>
      <c r="AL180" s="167">
        <f t="shared" si="50"/>
        <v>0</v>
      </c>
      <c r="AM180" s="167">
        <f t="shared" si="50"/>
        <v>0</v>
      </c>
      <c r="AN180" s="167">
        <f t="shared" si="50"/>
        <v>0</v>
      </c>
      <c r="AO180" s="167">
        <f t="shared" si="50"/>
        <v>0</v>
      </c>
      <c r="AP180" s="167">
        <f t="shared" si="50"/>
        <v>0</v>
      </c>
      <c r="AQ180" s="167">
        <f t="shared" si="50"/>
        <v>0</v>
      </c>
    </row>
    <row r="181" spans="4:44" s="195" customFormat="1" ht="15" customHeight="1">
      <c r="AJ181" s="157"/>
      <c r="AK181" s="157"/>
      <c r="AL181" s="157"/>
      <c r="AM181" s="157"/>
      <c r="AN181" s="157"/>
      <c r="AO181" s="157"/>
      <c r="AP181" s="157"/>
      <c r="AQ181" s="157"/>
    </row>
    <row r="182" spans="4:44" s="195" customFormat="1" ht="15" customHeight="1">
      <c r="D182" s="201" t="s">
        <v>345</v>
      </c>
      <c r="E182" s="201"/>
      <c r="F182" s="201"/>
      <c r="G182" s="201"/>
      <c r="H182" s="201"/>
      <c r="I182" s="201"/>
      <c r="J182" s="201"/>
      <c r="K182" s="201"/>
      <c r="L182" s="201"/>
      <c r="M182" s="201"/>
      <c r="N182" s="201"/>
      <c r="O182" s="201"/>
      <c r="P182" s="201"/>
      <c r="Q182" s="201"/>
      <c r="R182" s="201"/>
      <c r="S182" s="201"/>
      <c r="T182" s="201"/>
      <c r="U182" s="201"/>
      <c r="V182" s="201"/>
      <c r="W182" s="201"/>
      <c r="X182" s="201"/>
      <c r="Y182" s="201"/>
      <c r="Z182" s="201"/>
      <c r="AA182" s="201"/>
      <c r="AB182" s="201"/>
      <c r="AC182" s="201"/>
      <c r="AD182" s="201"/>
      <c r="AE182" s="201"/>
      <c r="AF182" s="201"/>
      <c r="AG182" s="201"/>
      <c r="AH182" s="202"/>
      <c r="AI182" s="202"/>
      <c r="AJ182" s="201"/>
      <c r="AK182" s="201"/>
      <c r="AL182" s="201"/>
      <c r="AM182" s="201"/>
      <c r="AN182" s="201"/>
      <c r="AO182" s="201"/>
      <c r="AP182" s="201"/>
      <c r="AQ182" s="201"/>
    </row>
    <row r="183" spans="4:44" s="157" customFormat="1" ht="15" customHeight="1">
      <c r="D183" s="197" t="s">
        <v>362</v>
      </c>
      <c r="E183" s="197"/>
      <c r="F183" s="197"/>
      <c r="G183" s="197"/>
      <c r="H183" s="197"/>
      <c r="I183" s="197"/>
      <c r="J183" s="197"/>
      <c r="K183" s="197"/>
      <c r="L183" s="197"/>
      <c r="M183" s="197"/>
      <c r="N183" s="197"/>
      <c r="O183" s="197"/>
      <c r="P183" s="197"/>
      <c r="Q183" s="197"/>
      <c r="R183" s="197"/>
      <c r="S183" s="197"/>
      <c r="T183" s="197"/>
      <c r="U183" s="197"/>
      <c r="V183" s="197"/>
      <c r="W183" s="197"/>
      <c r="X183" s="197"/>
      <c r="Y183" s="197"/>
      <c r="Z183" s="197"/>
      <c r="AA183" s="197"/>
      <c r="AB183" s="197"/>
      <c r="AC183" s="197"/>
      <c r="AD183" s="197"/>
      <c r="AE183" s="197"/>
      <c r="AF183" s="199"/>
      <c r="AG183" s="199"/>
      <c r="AH183" s="199"/>
      <c r="AI183" s="199"/>
      <c r="AJ183" s="197"/>
      <c r="AK183" s="197"/>
      <c r="AL183" s="197"/>
      <c r="AM183" s="197"/>
      <c r="AN183" s="197"/>
      <c r="AO183" s="197"/>
      <c r="AP183" s="197"/>
      <c r="AQ183" s="197"/>
    </row>
    <row r="184" spans="4:44" s="157" customFormat="1" ht="15" customHeight="1">
      <c r="J184" s="33"/>
      <c r="K184" s="33"/>
      <c r="L184" s="33"/>
      <c r="M184" s="33"/>
      <c r="N184" s="33"/>
      <c r="O184" s="33"/>
      <c r="P184" s="33"/>
      <c r="Q184" s="33"/>
      <c r="R184" s="33"/>
      <c r="S184" s="33"/>
      <c r="T184" s="33"/>
      <c r="U184" s="33"/>
      <c r="V184" s="33"/>
      <c r="W184" s="33"/>
      <c r="X184" s="33"/>
    </row>
    <row r="185" spans="4:44" s="157" customFormat="1" ht="15" customHeight="1">
      <c r="E185" s="195" t="s">
        <v>513</v>
      </c>
      <c r="F185" s="195"/>
      <c r="G185" s="195" t="s">
        <v>27</v>
      </c>
      <c r="J185" s="33"/>
      <c r="K185" s="33"/>
      <c r="L185" s="33"/>
      <c r="M185" s="33"/>
      <c r="N185" s="33"/>
      <c r="O185" s="33"/>
      <c r="P185" s="33"/>
      <c r="Q185" s="33"/>
      <c r="R185" s="33"/>
      <c r="S185" s="33"/>
      <c r="T185" s="33"/>
      <c r="U185" s="33"/>
      <c r="V185" s="33"/>
      <c r="W185" s="33"/>
      <c r="X185" s="33"/>
      <c r="AJ185" s="157">
        <f t="shared" ref="AJ185:AQ185" si="51">MAX(AJ169-AJ179,0)</f>
        <v>66.972777942512096</v>
      </c>
      <c r="AK185" s="157">
        <f>MAX(AK169-AK179,0)</f>
        <v>70.130737685555957</v>
      </c>
      <c r="AL185" s="157">
        <f t="shared" si="51"/>
        <v>73.860363195824007</v>
      </c>
      <c r="AM185" s="157">
        <f t="shared" si="51"/>
        <v>80.396408286029029</v>
      </c>
      <c r="AN185" s="157">
        <f t="shared" si="51"/>
        <v>89.83353500937055</v>
      </c>
      <c r="AO185" s="157">
        <f t="shared" si="51"/>
        <v>100.51704649943375</v>
      </c>
      <c r="AP185" s="157">
        <f t="shared" si="51"/>
        <v>114.91291724737522</v>
      </c>
      <c r="AQ185" s="157">
        <f t="shared" si="51"/>
        <v>129.35884973651588</v>
      </c>
    </row>
    <row r="186" spans="4:44" s="157" customFormat="1" ht="15" customHeight="1">
      <c r="E186" s="157" t="s">
        <v>85</v>
      </c>
      <c r="F186" s="195"/>
      <c r="G186" s="157" t="s">
        <v>49</v>
      </c>
      <c r="J186" s="33"/>
      <c r="K186" s="33"/>
      <c r="L186" s="33"/>
      <c r="M186" s="33"/>
      <c r="N186" s="33"/>
      <c r="O186" s="33"/>
      <c r="P186" s="33"/>
      <c r="Q186" s="33"/>
      <c r="R186" s="33"/>
      <c r="S186" s="33"/>
      <c r="T186" s="33"/>
      <c r="U186" s="33"/>
      <c r="V186" s="33"/>
      <c r="W186" s="33"/>
      <c r="X186" s="33"/>
      <c r="AJ186" s="377">
        <f>TaxTrigger!AJ$96</f>
        <v>0.2</v>
      </c>
      <c r="AK186" s="377">
        <f>TaxTrigger!AK$96</f>
        <v>0.2</v>
      </c>
      <c r="AL186" s="377">
        <f>TaxTrigger!AL$96</f>
        <v>0.2</v>
      </c>
      <c r="AM186" s="377">
        <f>TaxTrigger!AM$96</f>
        <v>0.2</v>
      </c>
      <c r="AN186" s="377">
        <f>TaxTrigger!AN$96</f>
        <v>0.2</v>
      </c>
      <c r="AO186" s="377">
        <f>TaxTrigger!AO$96</f>
        <v>0.2</v>
      </c>
      <c r="AP186" s="377">
        <f>TaxTrigger!AP$96</f>
        <v>0.2</v>
      </c>
      <c r="AQ186" s="377">
        <f>TaxTrigger!AQ$96</f>
        <v>0.2</v>
      </c>
      <c r="AR186" s="377"/>
    </row>
    <row r="187" spans="4:44" s="195" customFormat="1" ht="15" customHeight="1">
      <c r="E187" s="195" t="s">
        <v>303</v>
      </c>
      <c r="G187" s="195" t="s">
        <v>27</v>
      </c>
      <c r="AJ187" s="157">
        <f t="shared" ref="AJ187:AQ187" si="52">AJ186*AJ185</f>
        <v>13.394555588502421</v>
      </c>
      <c r="AK187" s="157">
        <f t="shared" si="52"/>
        <v>14.026147537111193</v>
      </c>
      <c r="AL187" s="157">
        <f t="shared" si="52"/>
        <v>14.772072639164803</v>
      </c>
      <c r="AM187" s="157">
        <f t="shared" si="52"/>
        <v>16.079281657205808</v>
      </c>
      <c r="AN187" s="157">
        <f t="shared" si="52"/>
        <v>17.966707001874109</v>
      </c>
      <c r="AO187" s="157">
        <f t="shared" si="52"/>
        <v>20.103409299886749</v>
      </c>
      <c r="AP187" s="157">
        <f t="shared" si="52"/>
        <v>22.982583449475044</v>
      </c>
      <c r="AQ187" s="157">
        <f t="shared" si="52"/>
        <v>25.871769947303179</v>
      </c>
    </row>
    <row r="188" spans="4:44" s="195" customFormat="1" ht="15" customHeight="1">
      <c r="AJ188" s="157"/>
      <c r="AK188" s="157"/>
      <c r="AL188" s="157"/>
      <c r="AM188" s="157"/>
      <c r="AN188" s="157"/>
      <c r="AO188" s="157"/>
      <c r="AP188" s="157"/>
      <c r="AQ188" s="157"/>
    </row>
    <row r="189" spans="4:44" s="195" customFormat="1" ht="15" customHeight="1">
      <c r="E189" s="157" t="s">
        <v>269</v>
      </c>
      <c r="G189" s="157" t="s">
        <v>46</v>
      </c>
      <c r="AJ189" s="19">
        <f t="shared" ref="AJ189:AQ189" si="53">1 / (1 - AJ186)</f>
        <v>1.25</v>
      </c>
      <c r="AK189" s="19">
        <f t="shared" si="53"/>
        <v>1.25</v>
      </c>
      <c r="AL189" s="19">
        <f t="shared" si="53"/>
        <v>1.25</v>
      </c>
      <c r="AM189" s="19">
        <f t="shared" si="53"/>
        <v>1.25</v>
      </c>
      <c r="AN189" s="19">
        <f t="shared" si="53"/>
        <v>1.25</v>
      </c>
      <c r="AO189" s="19">
        <f t="shared" si="53"/>
        <v>1.25</v>
      </c>
      <c r="AP189" s="19">
        <f t="shared" si="53"/>
        <v>1.25</v>
      </c>
      <c r="AQ189" s="19">
        <f t="shared" si="53"/>
        <v>1.25</v>
      </c>
    </row>
    <row r="190" spans="4:44" s="195" customFormat="1" ht="15" customHeight="1">
      <c r="AJ190" s="157"/>
      <c r="AK190" s="157"/>
      <c r="AL190" s="157"/>
      <c r="AM190" s="157"/>
      <c r="AN190" s="157"/>
      <c r="AO190" s="157"/>
      <c r="AP190" s="157"/>
      <c r="AQ190" s="157"/>
    </row>
    <row r="191" spans="4:44" s="195" customFormat="1" ht="15" customHeight="1">
      <c r="E191" s="149" t="s">
        <v>782</v>
      </c>
      <c r="G191" s="195" t="s">
        <v>27</v>
      </c>
      <c r="AJ191" s="38">
        <f t="shared" ref="AJ191:AQ191" si="54">AJ187 * AJ189</f>
        <v>16.743194485628024</v>
      </c>
      <c r="AK191" s="38">
        <f t="shared" si="54"/>
        <v>17.532684421388993</v>
      </c>
      <c r="AL191" s="38">
        <f t="shared" si="54"/>
        <v>18.465090798956002</v>
      </c>
      <c r="AM191" s="38">
        <f t="shared" si="54"/>
        <v>20.099102071507261</v>
      </c>
      <c r="AN191" s="38">
        <f t="shared" si="54"/>
        <v>22.458383752342638</v>
      </c>
      <c r="AO191" s="38">
        <f t="shared" si="54"/>
        <v>25.129261624858437</v>
      </c>
      <c r="AP191" s="38">
        <f t="shared" si="54"/>
        <v>28.728229311843805</v>
      </c>
      <c r="AQ191" s="38">
        <f t="shared" si="54"/>
        <v>32.33971243412897</v>
      </c>
    </row>
    <row r="192" spans="4:44" s="195" customFormat="1" ht="15" customHeight="1">
      <c r="AJ192" s="157"/>
      <c r="AK192" s="157"/>
      <c r="AL192" s="157"/>
      <c r="AM192" s="157"/>
      <c r="AN192" s="157"/>
      <c r="AO192" s="157"/>
      <c r="AP192" s="157"/>
      <c r="AQ192" s="157"/>
    </row>
    <row r="193" spans="2:47" s="195" customFormat="1" ht="15" customHeight="1">
      <c r="D193" s="201" t="s">
        <v>7</v>
      </c>
      <c r="E193" s="201"/>
      <c r="F193" s="201"/>
      <c r="G193" s="201"/>
      <c r="H193" s="201"/>
      <c r="I193" s="201"/>
      <c r="J193" s="201"/>
      <c r="K193" s="201"/>
      <c r="L193" s="201"/>
      <c r="M193" s="201"/>
      <c r="N193" s="201"/>
      <c r="O193" s="201"/>
      <c r="P193" s="201"/>
      <c r="Q193" s="201"/>
      <c r="R193" s="201"/>
      <c r="S193" s="201"/>
      <c r="T193" s="201"/>
      <c r="U193" s="201"/>
      <c r="V193" s="201"/>
      <c r="W193" s="201"/>
      <c r="X193" s="201"/>
      <c r="Y193" s="201"/>
      <c r="Z193" s="201"/>
      <c r="AA193" s="201"/>
      <c r="AB193" s="201"/>
      <c r="AC193" s="201"/>
      <c r="AD193" s="201"/>
      <c r="AE193" s="201"/>
      <c r="AF193" s="201"/>
      <c r="AG193" s="201"/>
      <c r="AH193" s="202"/>
      <c r="AI193" s="202"/>
      <c r="AJ193" s="201"/>
      <c r="AK193" s="201"/>
      <c r="AL193" s="201"/>
      <c r="AM193" s="201"/>
      <c r="AN193" s="201"/>
      <c r="AO193" s="201"/>
      <c r="AP193" s="201"/>
      <c r="AQ193" s="201"/>
    </row>
    <row r="194" spans="2:47" s="195" customFormat="1" ht="15" customHeight="1">
      <c r="AJ194" s="157"/>
      <c r="AK194" s="157"/>
      <c r="AL194" s="157"/>
      <c r="AM194" s="157"/>
      <c r="AN194" s="157"/>
      <c r="AO194" s="157"/>
      <c r="AP194" s="157"/>
      <c r="AQ194" s="157"/>
    </row>
    <row r="195" spans="2:47" ht="15" customHeight="1">
      <c r="E195" s="149" t="s">
        <v>7</v>
      </c>
      <c r="G195" s="195" t="s">
        <v>27</v>
      </c>
      <c r="AH195" s="147"/>
      <c r="AI195" s="147"/>
      <c r="AJ195" s="147">
        <f>AJ191</f>
        <v>16.743194485628024</v>
      </c>
      <c r="AK195" s="147">
        <f t="shared" ref="AK195:AQ195" si="55">AK191</f>
        <v>17.532684421388993</v>
      </c>
      <c r="AL195" s="147">
        <f t="shared" si="55"/>
        <v>18.465090798956002</v>
      </c>
      <c r="AM195" s="147">
        <f t="shared" si="55"/>
        <v>20.099102071507261</v>
      </c>
      <c r="AN195" s="147">
        <f t="shared" si="55"/>
        <v>22.458383752342638</v>
      </c>
      <c r="AO195" s="147">
        <f t="shared" si="55"/>
        <v>25.129261624858437</v>
      </c>
      <c r="AP195" s="147">
        <f t="shared" si="55"/>
        <v>28.728229311843805</v>
      </c>
      <c r="AQ195" s="147">
        <f t="shared" si="55"/>
        <v>32.33971243412897</v>
      </c>
    </row>
    <row r="196" spans="2:47" s="195" customFormat="1" ht="15" customHeight="1">
      <c r="D196" s="149"/>
      <c r="E196" s="157" t="s">
        <v>795</v>
      </c>
      <c r="G196" s="195" t="s">
        <v>27</v>
      </c>
      <c r="AJ196" s="157">
        <f>((Input!AJ37*(1-AJ186)*(Input!AJ$57/Input!$AG57))-AJ178/(1/AJ186))*AJ189</f>
        <v>0</v>
      </c>
      <c r="AK196" s="157">
        <f>((Input!AK37*(1-AK186)*(Input!AK$57/Input!$AG57))-AK178/(1/AK186))*AK189</f>
        <v>0</v>
      </c>
      <c r="AL196" s="157">
        <f>((Input!AL37*(1-AL186)*(Input!AL$57/Input!$AG57))-AL178/(1/AL186))*AL189</f>
        <v>0</v>
      </c>
      <c r="AM196" s="157">
        <f>((Input!AM37*(1-AM186)*(Input!AM$57/Input!$AG57))-AM178/(1/AM186))*AM189</f>
        <v>0</v>
      </c>
      <c r="AN196" s="157">
        <f>((Input!AN37*(1-AN186)*(Input!AN$57/Input!$AG57))-AN178/(1/AN186))*AN189</f>
        <v>0</v>
      </c>
      <c r="AO196" s="157">
        <f>((Input!AO37*(1-AO186)*(Input!AO$57/Input!$AG57))-AO178/(1/AO186))*AO189</f>
        <v>0</v>
      </c>
      <c r="AP196" s="157">
        <f>((Input!AP37*(1-AP186)*(Input!AP$57/Input!$AG57))-AP178/(1/AP186))*AP189</f>
        <v>0</v>
      </c>
      <c r="AQ196" s="157">
        <f>((Input!AQ37*(1-AQ186)*(Input!AQ$57/Input!$AG57))-AQ178/(1/AQ186))*AQ189</f>
        <v>0</v>
      </c>
    </row>
    <row r="197" spans="2:47" s="195" customFormat="1" ht="15" customHeight="1">
      <c r="E197" s="149" t="s">
        <v>7</v>
      </c>
      <c r="G197" s="195" t="s">
        <v>27</v>
      </c>
      <c r="AJ197" s="167">
        <f t="shared" ref="AJ197:AQ197" si="56">SUM(AJ195:AJ196)</f>
        <v>16.743194485628024</v>
      </c>
      <c r="AK197" s="167">
        <f t="shared" si="56"/>
        <v>17.532684421388993</v>
      </c>
      <c r="AL197" s="167">
        <f t="shared" si="56"/>
        <v>18.465090798956002</v>
      </c>
      <c r="AM197" s="167">
        <f t="shared" si="56"/>
        <v>20.099102071507261</v>
      </c>
      <c r="AN197" s="167">
        <f t="shared" si="56"/>
        <v>22.458383752342638</v>
      </c>
      <c r="AO197" s="167">
        <f t="shared" si="56"/>
        <v>25.129261624858437</v>
      </c>
      <c r="AP197" s="167">
        <f t="shared" si="56"/>
        <v>28.728229311843805</v>
      </c>
      <c r="AQ197" s="167">
        <f t="shared" si="56"/>
        <v>32.33971243412897</v>
      </c>
    </row>
    <row r="198" spans="2:47" s="195" customFormat="1" ht="15" customHeight="1">
      <c r="E198" s="149"/>
      <c r="AJ198" s="157"/>
      <c r="AK198" s="157"/>
      <c r="AL198" s="157"/>
      <c r="AM198" s="157"/>
      <c r="AN198" s="157"/>
      <c r="AO198" s="157"/>
      <c r="AP198" s="157"/>
      <c r="AQ198" s="157"/>
    </row>
    <row r="199" spans="2:47" s="195" customFormat="1" ht="15" customHeight="1">
      <c r="B199" s="334" t="s">
        <v>772</v>
      </c>
      <c r="C199" s="334"/>
      <c r="D199" s="334"/>
      <c r="E199" s="334"/>
      <c r="F199" s="334"/>
      <c r="G199" s="334"/>
      <c r="H199" s="334"/>
      <c r="I199" s="334"/>
      <c r="J199" s="334"/>
      <c r="K199" s="334"/>
      <c r="L199" s="334"/>
      <c r="M199" s="334"/>
      <c r="N199" s="334"/>
      <c r="O199" s="334"/>
      <c r="P199" s="334"/>
      <c r="Q199" s="334"/>
      <c r="R199" s="334"/>
      <c r="S199" s="334"/>
      <c r="T199" s="334"/>
      <c r="U199" s="334"/>
      <c r="V199" s="334"/>
      <c r="W199" s="334"/>
      <c r="X199" s="334"/>
      <c r="Y199" s="334"/>
      <c r="Z199" s="334"/>
      <c r="AA199" s="334"/>
      <c r="AB199" s="334"/>
      <c r="AC199" s="334"/>
      <c r="AD199" s="334"/>
      <c r="AE199" s="334"/>
      <c r="AF199" s="334"/>
      <c r="AG199" s="334"/>
      <c r="AH199" s="376"/>
      <c r="AI199" s="376"/>
      <c r="AJ199" s="334"/>
      <c r="AK199" s="334"/>
      <c r="AL199" s="334"/>
      <c r="AM199" s="334"/>
      <c r="AN199" s="334"/>
      <c r="AO199" s="334"/>
      <c r="AP199" s="334"/>
      <c r="AQ199" s="334"/>
      <c r="AR199" s="113"/>
      <c r="AS199" s="113"/>
      <c r="AT199" s="113"/>
    </row>
    <row r="200" spans="2:47" s="195" customFormat="1" ht="15" customHeight="1">
      <c r="E200" s="149"/>
      <c r="AJ200" s="157"/>
      <c r="AK200" s="157"/>
      <c r="AL200" s="157"/>
      <c r="AM200" s="157"/>
      <c r="AN200" s="157"/>
      <c r="AO200" s="157"/>
      <c r="AP200" s="157"/>
      <c r="AQ200" s="157"/>
    </row>
    <row r="201" spans="2:47" s="195" customFormat="1" ht="15" customHeight="1">
      <c r="C201" s="332" t="s">
        <v>92</v>
      </c>
      <c r="D201" s="332"/>
      <c r="E201" s="332"/>
      <c r="F201" s="332"/>
      <c r="G201" s="332"/>
      <c r="H201" s="332"/>
      <c r="I201" s="332"/>
      <c r="J201" s="332"/>
      <c r="K201" s="332"/>
      <c r="L201" s="332"/>
      <c r="M201" s="332"/>
      <c r="N201" s="332"/>
      <c r="O201" s="332"/>
      <c r="P201" s="332"/>
      <c r="Q201" s="332"/>
      <c r="R201" s="332"/>
      <c r="S201" s="332"/>
      <c r="T201" s="332"/>
      <c r="U201" s="332"/>
      <c r="V201" s="332"/>
      <c r="W201" s="332"/>
      <c r="X201" s="332"/>
      <c r="Y201" s="332"/>
      <c r="Z201" s="332"/>
      <c r="AA201" s="332"/>
      <c r="AB201" s="332"/>
      <c r="AC201" s="332"/>
      <c r="AD201" s="332"/>
      <c r="AE201" s="332"/>
      <c r="AF201" s="332"/>
      <c r="AG201" s="332"/>
      <c r="AH201" s="354"/>
      <c r="AI201" s="354"/>
      <c r="AJ201" s="332"/>
      <c r="AK201" s="332"/>
      <c r="AL201" s="332"/>
      <c r="AM201" s="332"/>
      <c r="AN201" s="332"/>
      <c r="AO201" s="332"/>
      <c r="AP201" s="332"/>
      <c r="AQ201" s="332"/>
      <c r="AR201" s="113"/>
      <c r="AS201" s="113"/>
      <c r="AT201" s="113"/>
    </row>
    <row r="202" spans="2:47" s="157" customFormat="1" ht="15" customHeight="1">
      <c r="C202" s="197"/>
      <c r="D202" s="197"/>
      <c r="E202" s="197"/>
      <c r="F202" s="197"/>
      <c r="G202" s="197"/>
      <c r="H202" s="197"/>
      <c r="I202" s="197"/>
      <c r="J202" s="197"/>
      <c r="K202" s="197"/>
      <c r="L202" s="197"/>
      <c r="M202" s="197"/>
      <c r="N202" s="197"/>
      <c r="O202" s="197"/>
      <c r="P202" s="197"/>
      <c r="Q202" s="197"/>
      <c r="R202" s="197"/>
      <c r="S202" s="197"/>
      <c r="T202" s="197"/>
      <c r="U202" s="197"/>
      <c r="V202" s="197"/>
      <c r="W202" s="197"/>
      <c r="X202" s="197"/>
      <c r="Y202" s="197"/>
      <c r="Z202" s="197"/>
      <c r="AA202" s="197"/>
      <c r="AB202" s="197"/>
      <c r="AC202" s="197"/>
      <c r="AD202" s="197"/>
      <c r="AE202" s="197"/>
      <c r="AF202" s="199"/>
      <c r="AG202" s="199"/>
      <c r="AH202" s="199"/>
      <c r="AI202" s="199"/>
      <c r="AJ202" s="197"/>
      <c r="AK202" s="197"/>
      <c r="AL202" s="197"/>
      <c r="AM202" s="197"/>
      <c r="AN202" s="197"/>
      <c r="AO202" s="197"/>
      <c r="AP202" s="197"/>
      <c r="AQ202" s="197"/>
    </row>
    <row r="203" spans="2:47" s="195" customFormat="1" ht="15" customHeight="1">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3"/>
      <c r="AL203" s="113"/>
      <c r="AM203" s="113"/>
      <c r="AN203" s="113"/>
      <c r="AO203" s="113"/>
      <c r="AP203" s="113"/>
      <c r="AQ203" s="113"/>
      <c r="AR203" s="113"/>
      <c r="AS203" s="113"/>
      <c r="AT203" s="113"/>
    </row>
    <row r="204" spans="2:47" s="195" customFormat="1" ht="15" customHeight="1">
      <c r="E204" s="195" t="s">
        <v>773</v>
      </c>
      <c r="G204" s="195" t="s">
        <v>27</v>
      </c>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57"/>
      <c r="AI204" s="157"/>
      <c r="AJ204" s="157">
        <f>AJ162</f>
        <v>338.03704233920985</v>
      </c>
      <c r="AK204" s="157">
        <f t="shared" ref="AK204:AQ204" si="57">AK162</f>
        <v>358.04908680764697</v>
      </c>
      <c r="AL204" s="157">
        <f t="shared" si="57"/>
        <v>379.13573527897171</v>
      </c>
      <c r="AM204" s="157">
        <f t="shared" si="57"/>
        <v>400.8109729601523</v>
      </c>
      <c r="AN204" s="157">
        <f t="shared" si="57"/>
        <v>423.08066695398969</v>
      </c>
      <c r="AO204" s="157">
        <f t="shared" si="57"/>
        <v>446.55091670007033</v>
      </c>
      <c r="AP204" s="157">
        <f t="shared" si="57"/>
        <v>470.63351121747388</v>
      </c>
      <c r="AQ204" s="157">
        <f t="shared" si="57"/>
        <v>496.33101072747661</v>
      </c>
      <c r="AR204" s="113"/>
      <c r="AS204" s="113"/>
      <c r="AT204" s="564"/>
      <c r="AU204" s="114"/>
    </row>
    <row r="205" spans="2:47" s="195" customFormat="1" ht="15" customHeight="1">
      <c r="E205" s="195" t="s">
        <v>725</v>
      </c>
      <c r="G205" s="195" t="s">
        <v>27</v>
      </c>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57"/>
      <c r="AI205" s="157"/>
      <c r="AJ205" s="157">
        <f t="shared" ref="AJ205:AQ205" si="58">AJ163</f>
        <v>-36.382183489738587</v>
      </c>
      <c r="AK205" s="157">
        <f t="shared" si="58"/>
        <v>-37.615985862711902</v>
      </c>
      <c r="AL205" s="157">
        <f t="shared" si="58"/>
        <v>-38.8964873360284</v>
      </c>
      <c r="AM205" s="157">
        <f t="shared" si="58"/>
        <v>-40.225802923265022</v>
      </c>
      <c r="AN205" s="157">
        <f t="shared" si="58"/>
        <v>-41.606132060473044</v>
      </c>
      <c r="AO205" s="157">
        <f t="shared" si="58"/>
        <v>-43.03976484567314</v>
      </c>
      <c r="AP205" s="157">
        <f t="shared" si="58"/>
        <v>-44.529226989939545</v>
      </c>
      <c r="AQ205" s="157">
        <f t="shared" si="58"/>
        <v>-46.077150718237412</v>
      </c>
      <c r="AR205" s="113"/>
      <c r="AS205" s="113"/>
      <c r="AT205" s="564"/>
      <c r="AU205" s="114"/>
    </row>
    <row r="206" spans="2:47" s="195" customFormat="1" ht="15" customHeight="1">
      <c r="E206" s="195" t="s">
        <v>181</v>
      </c>
      <c r="G206" s="195" t="s">
        <v>27</v>
      </c>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57"/>
      <c r="AI206" s="157"/>
      <c r="AJ206" s="157">
        <f>AJ197</f>
        <v>16.743194485628024</v>
      </c>
      <c r="AK206" s="157">
        <f t="shared" ref="AK206:AQ206" si="59">AK197</f>
        <v>17.532684421388993</v>
      </c>
      <c r="AL206" s="157">
        <f t="shared" si="59"/>
        <v>18.465090798956002</v>
      </c>
      <c r="AM206" s="157">
        <f t="shared" si="59"/>
        <v>20.099102071507261</v>
      </c>
      <c r="AN206" s="157">
        <f t="shared" si="59"/>
        <v>22.458383752342638</v>
      </c>
      <c r="AO206" s="157">
        <f t="shared" si="59"/>
        <v>25.129261624858437</v>
      </c>
      <c r="AP206" s="157">
        <f t="shared" si="59"/>
        <v>28.728229311843805</v>
      </c>
      <c r="AQ206" s="157">
        <f t="shared" si="59"/>
        <v>32.33971243412897</v>
      </c>
      <c r="AR206" s="113"/>
      <c r="AS206" s="113"/>
      <c r="AT206" s="564"/>
      <c r="AU206" s="114"/>
    </row>
    <row r="207" spans="2:47" s="195" customFormat="1" ht="15" customHeight="1">
      <c r="E207" s="157" t="s">
        <v>551</v>
      </c>
      <c r="G207" s="195" t="s">
        <v>27</v>
      </c>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57"/>
      <c r="AI207" s="157"/>
      <c r="AJ207" s="157">
        <f>DARTs!AJ29*Input!AJ57/Input!$AG57</f>
        <v>2.1947044671211322</v>
      </c>
      <c r="AK207" s="157">
        <f>DARTs!AK29*Input!AK57/Input!$AG57</f>
        <v>2.3687462444548308</v>
      </c>
      <c r="AL207" s="157">
        <f>DARTs!AL29*Input!AL57/Input!$AG57</f>
        <v>2.556592724432611</v>
      </c>
      <c r="AM207" s="157">
        <f>DARTs!AM29*Input!AM57/Input!$AG57</f>
        <v>2.759338939307391</v>
      </c>
      <c r="AN207" s="157">
        <f>DARTs!AN29*Input!AN57/Input!$AG57</f>
        <v>2.9781643438064598</v>
      </c>
      <c r="AO207" s="157">
        <f>DARTs!AO29*Input!AO57/Input!$AG57</f>
        <v>3.2143390546264747</v>
      </c>
      <c r="AP207" s="157">
        <f>DARTs!AP29*Input!AP57/Input!$AG57</f>
        <v>3.4692413038521752</v>
      </c>
      <c r="AQ207" s="157">
        <f>DARTs!AQ29*Input!AQ57/Input!$AG57</f>
        <v>3.7443558374592061</v>
      </c>
      <c r="AR207" s="113"/>
      <c r="AS207" s="113"/>
      <c r="AT207" s="564"/>
      <c r="AU207" s="114"/>
    </row>
    <row r="208" spans="2:47" s="195" customFormat="1" ht="15" customHeight="1">
      <c r="E208" s="157" t="s">
        <v>727</v>
      </c>
      <c r="G208" s="195" t="s">
        <v>27</v>
      </c>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57"/>
      <c r="AI208" s="157"/>
      <c r="AJ208" s="157">
        <f>DARTs!AJ57*Input!AJ57/Input!$AG57</f>
        <v>0</v>
      </c>
      <c r="AK208" s="157">
        <f>DARTs!AK57*Input!AK57/Input!$AG57</f>
        <v>0</v>
      </c>
      <c r="AL208" s="157">
        <f>DARTs!AL57*Input!AL57/Input!$AG57</f>
        <v>0</v>
      </c>
      <c r="AM208" s="157">
        <f>DARTs!AM57*Input!AM57/Input!$AG57</f>
        <v>0</v>
      </c>
      <c r="AN208" s="157">
        <f>DARTs!AN57*Input!AN57/Input!$AG57</f>
        <v>0</v>
      </c>
      <c r="AO208" s="157">
        <f>DARTs!AO57*Input!AO57/Input!$AG57</f>
        <v>0</v>
      </c>
      <c r="AP208" s="157">
        <f>DARTs!AP57*Input!AP57/Input!$AG57</f>
        <v>0</v>
      </c>
      <c r="AQ208" s="157">
        <f>DARTs!AQ57*Input!AQ57/Input!$AG57</f>
        <v>0</v>
      </c>
      <c r="AR208" s="113"/>
      <c r="AS208" s="113"/>
      <c r="AT208" s="564"/>
      <c r="AU208" s="114"/>
    </row>
    <row r="209" spans="3:47" s="195" customFormat="1" ht="15" customHeight="1">
      <c r="E209" s="157" t="str">
        <f>Input!E255</f>
        <v>ES7 (Miscellaneous) net position</v>
      </c>
      <c r="G209" s="195" t="s">
        <v>27</v>
      </c>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57"/>
      <c r="AI209" s="157"/>
      <c r="AJ209" s="157">
        <f>DARTs!AJ45*Input!AJ57/Input!$AG57</f>
        <v>0</v>
      </c>
      <c r="AK209" s="157">
        <f>DARTs!AK45*Input!AK57/Input!$AG57</f>
        <v>0</v>
      </c>
      <c r="AL209" s="157">
        <f>DARTs!AL45*Input!AL57/Input!$AG57</f>
        <v>0</v>
      </c>
      <c r="AM209" s="157">
        <f>DARTs!AM45*Input!AM57/Input!$AG57</f>
        <v>0</v>
      </c>
      <c r="AN209" s="157">
        <f>DARTs!AN45*Input!AN57/Input!$AG57</f>
        <v>0</v>
      </c>
      <c r="AO209" s="157">
        <f>DARTs!AO45*Input!AO57/Input!$AG57</f>
        <v>0</v>
      </c>
      <c r="AP209" s="157">
        <f>DARTs!AP45*Input!AP57/Input!$AG57</f>
        <v>0</v>
      </c>
      <c r="AQ209" s="157">
        <f>DARTs!AQ45*Input!AQ57/Input!$AG57</f>
        <v>0</v>
      </c>
      <c r="AR209" s="113"/>
      <c r="AS209" s="113"/>
      <c r="AT209" s="564"/>
      <c r="AU209" s="114"/>
    </row>
    <row r="210" spans="3:47" s="195" customFormat="1" ht="15" customHeight="1">
      <c r="E210" s="157" t="str">
        <f>Input!E311</f>
        <v>Overall net income of Directly Remunerated Services</v>
      </c>
      <c r="G210" s="195" t="s">
        <v>27</v>
      </c>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57"/>
      <c r="AI210" s="157"/>
      <c r="AJ210" s="157">
        <f>DARTs!AJ51*Input!AJ57/Input!$AG57</f>
        <v>6.8798075555500535</v>
      </c>
      <c r="AK210" s="157">
        <f>DARTs!AK51*Input!AK57/Input!$AG57</f>
        <v>6.2142155007621973</v>
      </c>
      <c r="AL210" s="157">
        <f>DARTs!AL51*Input!AL57/Input!$AG57</f>
        <v>5.2639328142709623</v>
      </c>
      <c r="AM210" s="157">
        <f>DARTs!AM51*Input!AM57/Input!$AG57</f>
        <v>4.3886928975843214</v>
      </c>
      <c r="AN210" s="157">
        <f>DARTs!AN51*Input!AN57/Input!$AG57</f>
        <v>3.6117720423130071</v>
      </c>
      <c r="AO210" s="157">
        <f>DARTs!AO51*Input!AO57/Input!$AG57</f>
        <v>3.0441477975259157</v>
      </c>
      <c r="AP210" s="157">
        <f>DARTs!AP51*Input!AP57/Input!$AG57</f>
        <v>2.9757829977195187</v>
      </c>
      <c r="AQ210" s="157">
        <f>DARTs!AQ51*Input!AQ57/Input!$AG57</f>
        <v>3.0761987056127396</v>
      </c>
      <c r="AR210" s="113"/>
      <c r="AS210" s="113"/>
      <c r="AT210" s="564"/>
      <c r="AU210" s="114"/>
    </row>
    <row r="211" spans="3:47" s="195" customFormat="1" ht="15" customHeight="1">
      <c r="E211" s="157" t="s">
        <v>355</v>
      </c>
      <c r="G211" s="195" t="s">
        <v>27</v>
      </c>
      <c r="H211" s="157"/>
      <c r="I211" s="157"/>
      <c r="J211" s="157"/>
      <c r="K211" s="157"/>
      <c r="L211" s="157"/>
      <c r="M211" s="157"/>
      <c r="N211" s="157"/>
      <c r="O211" s="157"/>
      <c r="P211" s="157"/>
      <c r="Q211" s="157"/>
      <c r="R211" s="157"/>
      <c r="S211" s="157"/>
      <c r="T211" s="157"/>
      <c r="U211" s="157"/>
      <c r="V211" s="157"/>
      <c r="W211" s="157"/>
      <c r="X211" s="157"/>
      <c r="Y211" s="157"/>
      <c r="Z211" s="157"/>
      <c r="AA211" s="157"/>
      <c r="AB211" s="157"/>
      <c r="AC211" s="157"/>
      <c r="AD211" s="157"/>
      <c r="AE211" s="157"/>
      <c r="AF211" s="157"/>
      <c r="AG211" s="113"/>
      <c r="AH211" s="157"/>
      <c r="AI211" s="157"/>
      <c r="AJ211" s="157">
        <f t="shared" ref="AJ211:AQ211" si="60">AJ165</f>
        <v>-52.874982816179497</v>
      </c>
      <c r="AK211" s="157">
        <f t="shared" si="60"/>
        <v>-56.981248363900704</v>
      </c>
      <c r="AL211" s="157">
        <f t="shared" si="60"/>
        <v>-61.448333197978826</v>
      </c>
      <c r="AM211" s="157">
        <f t="shared" si="60"/>
        <v>-65.409928250982404</v>
      </c>
      <c r="AN211" s="157">
        <f t="shared" si="60"/>
        <v>-68.709690162181062</v>
      </c>
      <c r="AO211" s="157">
        <f t="shared" si="60"/>
        <v>-71.294790159277653</v>
      </c>
      <c r="AP211" s="157">
        <f t="shared" si="60"/>
        <v>-73.273915270778446</v>
      </c>
      <c r="AQ211" s="157">
        <f t="shared" si="60"/>
        <v>-74.563102167299434</v>
      </c>
      <c r="AR211" s="113"/>
      <c r="AS211" s="113"/>
      <c r="AT211" s="564"/>
      <c r="AU211" s="114"/>
    </row>
    <row r="212" spans="3:47" s="195" customFormat="1" ht="15" customHeight="1">
      <c r="E212" s="157" t="s">
        <v>354</v>
      </c>
      <c r="G212" s="195" t="s">
        <v>27</v>
      </c>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57"/>
      <c r="AI212" s="157"/>
      <c r="AJ212" s="157">
        <f t="shared" ref="AJ212:AQ212" si="61">AJ166</f>
        <v>-8.2398990475106899</v>
      </c>
      <c r="AK212" s="157">
        <f t="shared" si="61"/>
        <v>-8.8798615678963131</v>
      </c>
      <c r="AL212" s="157">
        <f t="shared" si="61"/>
        <v>-9.5762071045765431</v>
      </c>
      <c r="AM212" s="157">
        <f t="shared" si="61"/>
        <v>-10.19379257880124</v>
      </c>
      <c r="AN212" s="157">
        <f t="shared" si="61"/>
        <v>-10.708090687633302</v>
      </c>
      <c r="AO212" s="157">
        <f t="shared" si="61"/>
        <v>-11.110701789166335</v>
      </c>
      <c r="AP212" s="157">
        <f t="shared" si="61"/>
        <v>-11.419037940265053</v>
      </c>
      <c r="AQ212" s="157">
        <f t="shared" si="61"/>
        <v>-11.619842413731464</v>
      </c>
      <c r="AR212" s="113"/>
      <c r="AS212" s="113"/>
      <c r="AT212" s="564"/>
      <c r="AU212" s="114"/>
    </row>
    <row r="213" spans="3:47" s="195" customFormat="1" ht="15" customHeight="1">
      <c r="E213" s="195" t="s">
        <v>268</v>
      </c>
      <c r="G213" s="195" t="s">
        <v>27</v>
      </c>
      <c r="H213" s="157"/>
      <c r="I213" s="157"/>
      <c r="J213" s="157"/>
      <c r="K213" s="157"/>
      <c r="L213" s="157"/>
      <c r="M213" s="157"/>
      <c r="N213" s="157"/>
      <c r="O213" s="157"/>
      <c r="P213" s="157"/>
      <c r="Q213" s="157"/>
      <c r="R213" s="157"/>
      <c r="S213" s="157"/>
      <c r="T213" s="157"/>
      <c r="U213" s="157"/>
      <c r="V213" s="157"/>
      <c r="W213" s="157"/>
      <c r="X213" s="157"/>
      <c r="Y213" s="157"/>
      <c r="Z213" s="157"/>
      <c r="AA213" s="157"/>
      <c r="AB213" s="157"/>
      <c r="AC213" s="157"/>
      <c r="AD213" s="157"/>
      <c r="AE213" s="157"/>
      <c r="AF213" s="157"/>
      <c r="AG213" s="113"/>
      <c r="AH213" s="157"/>
      <c r="AI213" s="157"/>
      <c r="AJ213" s="157">
        <f t="shared" ref="AJ213:AQ213" si="62">AJ167</f>
        <v>-110.6135103763024</v>
      </c>
      <c r="AK213" s="157">
        <f t="shared" si="62"/>
        <v>-114.78829388141548</v>
      </c>
      <c r="AL213" s="157">
        <f t="shared" si="62"/>
        <v>-119.48580093633764</v>
      </c>
      <c r="AM213" s="157">
        <f t="shared" si="62"/>
        <v>-123.35706207410078</v>
      </c>
      <c r="AN213" s="157">
        <f t="shared" si="62"/>
        <v>-126.08656094986017</v>
      </c>
      <c r="AO213" s="157">
        <f t="shared" si="62"/>
        <v>-129.90838431382068</v>
      </c>
      <c r="AP213" s="157">
        <f t="shared" si="62"/>
        <v>-130.53318976119994</v>
      </c>
      <c r="AQ213" s="157">
        <f t="shared" si="62"/>
        <v>-133.91371047661013</v>
      </c>
      <c r="AR213" s="113"/>
      <c r="AS213" s="113"/>
      <c r="AT213" s="564"/>
      <c r="AU213" s="114"/>
    </row>
    <row r="214" spans="3:47" s="195" customFormat="1" ht="15" customHeight="1">
      <c r="E214" s="195" t="s">
        <v>128</v>
      </c>
      <c r="G214" s="195" t="s">
        <v>27</v>
      </c>
      <c r="H214" s="157"/>
      <c r="J214" s="157"/>
      <c r="K214" s="157"/>
      <c r="L214" s="157"/>
      <c r="M214" s="157"/>
      <c r="N214" s="157"/>
      <c r="O214" s="157"/>
      <c r="P214" s="157"/>
      <c r="Q214" s="157"/>
      <c r="R214" s="157"/>
      <c r="S214" s="157"/>
      <c r="T214" s="157"/>
      <c r="U214" s="157"/>
      <c r="V214" s="157"/>
      <c r="W214" s="157"/>
      <c r="X214" s="157"/>
      <c r="Y214" s="157"/>
      <c r="Z214" s="157"/>
      <c r="AA214" s="157"/>
      <c r="AB214" s="157"/>
      <c r="AC214" s="157"/>
      <c r="AD214" s="157"/>
      <c r="AE214" s="157"/>
      <c r="AF214" s="157"/>
      <c r="AG214" s="157"/>
      <c r="AH214" s="157"/>
      <c r="AI214" s="157"/>
      <c r="AJ214" s="157">
        <f t="shared" ref="AJ214:AQ214" si="63">AJ168</f>
        <v>-62.953688666966592</v>
      </c>
      <c r="AK214" s="157">
        <f t="shared" si="63"/>
        <v>-69.652959446166605</v>
      </c>
      <c r="AL214" s="157">
        <f t="shared" si="63"/>
        <v>-75.868543508226239</v>
      </c>
      <c r="AM214" s="157">
        <f t="shared" si="63"/>
        <v>-81.227978846973784</v>
      </c>
      <c r="AN214" s="157">
        <f t="shared" si="63"/>
        <v>-86.136658084471591</v>
      </c>
      <c r="AO214" s="157">
        <f t="shared" si="63"/>
        <v>-90.680229092698767</v>
      </c>
      <c r="AP214" s="157">
        <f t="shared" si="63"/>
        <v>-95.965224007915651</v>
      </c>
      <c r="AQ214" s="157">
        <f t="shared" si="63"/>
        <v>-100.79835521508228</v>
      </c>
      <c r="AR214" s="113"/>
      <c r="AS214" s="113"/>
      <c r="AT214" s="564"/>
      <c r="AU214" s="114"/>
    </row>
    <row r="215" spans="3:47" s="195" customFormat="1" ht="15" customHeight="1">
      <c r="E215" s="195" t="s">
        <v>776</v>
      </c>
      <c r="G215" s="195" t="s">
        <v>27</v>
      </c>
      <c r="H215" s="157"/>
      <c r="J215" s="157"/>
      <c r="K215" s="157"/>
      <c r="L215" s="157"/>
      <c r="M215" s="157"/>
      <c r="N215" s="157"/>
      <c r="O215" s="157"/>
      <c r="P215" s="157"/>
      <c r="Q215" s="157"/>
      <c r="R215" s="157"/>
      <c r="S215" s="157"/>
      <c r="T215" s="157"/>
      <c r="U215" s="157"/>
      <c r="V215" s="157"/>
      <c r="W215" s="157"/>
      <c r="X215" s="157"/>
      <c r="Y215" s="157"/>
      <c r="Z215" s="157"/>
      <c r="AA215" s="157"/>
      <c r="AB215" s="157"/>
      <c r="AC215" s="157"/>
      <c r="AD215" s="157"/>
      <c r="AE215" s="157"/>
      <c r="AF215" s="157"/>
      <c r="AG215" s="157"/>
      <c r="AH215" s="157"/>
      <c r="AI215" s="157"/>
      <c r="AJ215" s="167">
        <f t="shared" ref="AJ215:AQ215" si="64">SUM(AJ204:AJ214)</f>
        <v>92.790484450811277</v>
      </c>
      <c r="AK215" s="167">
        <f t="shared" si="64"/>
        <v>96.246383852161912</v>
      </c>
      <c r="AL215" s="167">
        <f t="shared" si="64"/>
        <v>100.14597953348358</v>
      </c>
      <c r="AM215" s="167">
        <f t="shared" si="64"/>
        <v>107.64354219442809</v>
      </c>
      <c r="AN215" s="167">
        <f t="shared" si="64"/>
        <v>118.88185514783258</v>
      </c>
      <c r="AO215" s="167">
        <f t="shared" si="64"/>
        <v>131.90479497644461</v>
      </c>
      <c r="AP215" s="167">
        <f t="shared" si="64"/>
        <v>150.08617086079073</v>
      </c>
      <c r="AQ215" s="167">
        <f t="shared" si="64"/>
        <v>168.51911671371676</v>
      </c>
      <c r="AR215" s="113"/>
      <c r="AS215" s="113"/>
      <c r="AT215" s="113"/>
      <c r="AU215" s="114"/>
    </row>
    <row r="216" spans="3:47" s="195" customFormat="1" ht="15" customHeight="1">
      <c r="H216" s="157"/>
      <c r="J216" s="157"/>
      <c r="K216" s="157"/>
      <c r="L216" s="157"/>
      <c r="M216" s="157"/>
      <c r="N216" s="157"/>
      <c r="O216" s="157"/>
      <c r="P216" s="157"/>
      <c r="Q216" s="157"/>
      <c r="R216" s="157"/>
      <c r="S216" s="157"/>
      <c r="T216" s="157"/>
      <c r="U216" s="157"/>
      <c r="V216" s="157"/>
      <c r="W216" s="157"/>
      <c r="X216" s="157"/>
      <c r="Y216" s="157"/>
      <c r="Z216" s="157"/>
      <c r="AA216" s="157"/>
      <c r="AB216" s="157"/>
      <c r="AC216" s="157"/>
      <c r="AD216" s="157"/>
      <c r="AE216" s="157"/>
      <c r="AF216" s="157"/>
      <c r="AG216" s="157"/>
      <c r="AH216" s="157"/>
      <c r="AI216" s="157"/>
      <c r="AJ216" s="157"/>
      <c r="AK216" s="157"/>
      <c r="AL216" s="157"/>
      <c r="AM216" s="157"/>
      <c r="AN216" s="157"/>
      <c r="AO216" s="157"/>
      <c r="AP216" s="157"/>
      <c r="AQ216" s="157"/>
      <c r="AR216" s="113"/>
      <c r="AS216" s="113"/>
      <c r="AT216" s="113"/>
      <c r="AU216" s="114"/>
    </row>
    <row r="217" spans="3:47" s="195" customFormat="1" ht="15" customHeight="1">
      <c r="C217" s="332" t="s">
        <v>93</v>
      </c>
      <c r="D217" s="332"/>
      <c r="E217" s="332"/>
      <c r="F217" s="332"/>
      <c r="G217" s="332"/>
      <c r="H217" s="332"/>
      <c r="I217" s="332"/>
      <c r="J217" s="332"/>
      <c r="K217" s="332"/>
      <c r="L217" s="332"/>
      <c r="M217" s="332"/>
      <c r="N217" s="332"/>
      <c r="O217" s="332"/>
      <c r="P217" s="332"/>
      <c r="Q217" s="332"/>
      <c r="R217" s="332"/>
      <c r="S217" s="332"/>
      <c r="T217" s="332"/>
      <c r="U217" s="332"/>
      <c r="V217" s="332"/>
      <c r="W217" s="332"/>
      <c r="X217" s="332"/>
      <c r="Y217" s="332"/>
      <c r="Z217" s="332"/>
      <c r="AA217" s="332"/>
      <c r="AB217" s="332"/>
      <c r="AC217" s="332"/>
      <c r="AD217" s="332"/>
      <c r="AE217" s="332"/>
      <c r="AF217" s="332"/>
      <c r="AG217" s="332"/>
      <c r="AH217" s="354"/>
      <c r="AI217" s="354"/>
      <c r="AJ217" s="354"/>
      <c r="AK217" s="354"/>
      <c r="AL217" s="354"/>
      <c r="AM217" s="354"/>
      <c r="AN217" s="354"/>
      <c r="AO217" s="354"/>
      <c r="AP217" s="354"/>
      <c r="AQ217" s="354"/>
      <c r="AR217" s="113"/>
      <c r="AS217" s="113"/>
      <c r="AT217" s="113"/>
      <c r="AU217" s="114"/>
    </row>
    <row r="218" spans="3:47" s="195" customFormat="1" ht="15" customHeight="1">
      <c r="H218" s="157"/>
      <c r="J218" s="157"/>
      <c r="K218" s="157"/>
      <c r="L218" s="157"/>
      <c r="M218" s="157"/>
      <c r="N218" s="157"/>
      <c r="O218" s="157"/>
      <c r="P218" s="157"/>
      <c r="Q218" s="157"/>
      <c r="R218" s="157"/>
      <c r="S218" s="157"/>
      <c r="T218" s="157"/>
      <c r="U218" s="157"/>
      <c r="V218" s="157"/>
      <c r="W218" s="157"/>
      <c r="X218" s="157"/>
      <c r="Y218" s="157"/>
      <c r="Z218" s="157"/>
      <c r="AA218" s="157"/>
      <c r="AB218" s="157"/>
      <c r="AC218" s="157"/>
      <c r="AD218" s="157"/>
      <c r="AE218" s="157"/>
      <c r="AF218" s="157"/>
      <c r="AG218" s="157"/>
      <c r="AH218" s="157"/>
      <c r="AI218" s="157"/>
      <c r="AJ218" s="157"/>
      <c r="AK218" s="157"/>
      <c r="AL218" s="157"/>
      <c r="AM218" s="157"/>
      <c r="AN218" s="157"/>
      <c r="AO218" s="157"/>
      <c r="AP218" s="157"/>
      <c r="AQ218" s="157"/>
      <c r="AR218" s="113"/>
      <c r="AS218" s="113"/>
      <c r="AT218" s="113"/>
      <c r="AU218" s="114"/>
    </row>
    <row r="219" spans="3:47" s="195" customFormat="1" ht="15" customHeight="1">
      <c r="E219" s="157" t="s">
        <v>512</v>
      </c>
      <c r="G219" s="195" t="s">
        <v>27</v>
      </c>
      <c r="AJ219" s="157">
        <f>AJ175</f>
        <v>0</v>
      </c>
      <c r="AK219" s="228">
        <f>SUM(AJ222)</f>
        <v>0</v>
      </c>
      <c r="AL219" s="157">
        <f t="shared" ref="AL219" si="65">SUM(AK222)</f>
        <v>0</v>
      </c>
      <c r="AM219" s="157">
        <f t="shared" ref="AM219" si="66">SUM(AL222)</f>
        <v>0</v>
      </c>
      <c r="AN219" s="157">
        <f t="shared" ref="AN219" si="67">SUM(AM222)</f>
        <v>0</v>
      </c>
      <c r="AO219" s="157">
        <f t="shared" ref="AO219" si="68">SUM(AN222)</f>
        <v>0</v>
      </c>
      <c r="AP219" s="157">
        <f t="shared" ref="AP219" si="69">SUM(AO222)</f>
        <v>0</v>
      </c>
      <c r="AQ219" s="157">
        <f t="shared" ref="AQ219" si="70">SUM(AP222)</f>
        <v>0</v>
      </c>
    </row>
    <row r="220" spans="3:47" s="195" customFormat="1" ht="15" customHeight="1">
      <c r="E220" s="157" t="s">
        <v>511</v>
      </c>
      <c r="G220" s="195" t="s">
        <v>27</v>
      </c>
      <c r="AJ220" s="157">
        <f>MIN(AJ215, 0)</f>
        <v>0</v>
      </c>
      <c r="AK220" s="157">
        <f>MIN(AK215, 0)</f>
        <v>0</v>
      </c>
      <c r="AL220" s="157">
        <f t="shared" ref="AL220:AQ220" si="71">MIN(AL215, 0)</f>
        <v>0</v>
      </c>
      <c r="AM220" s="157">
        <f t="shared" si="71"/>
        <v>0</v>
      </c>
      <c r="AN220" s="157">
        <f t="shared" si="71"/>
        <v>0</v>
      </c>
      <c r="AO220" s="157">
        <f t="shared" si="71"/>
        <v>0</v>
      </c>
      <c r="AP220" s="157">
        <f t="shared" si="71"/>
        <v>0</v>
      </c>
      <c r="AQ220" s="157">
        <f t="shared" si="71"/>
        <v>0</v>
      </c>
    </row>
    <row r="221" spans="3:47" s="195" customFormat="1" ht="15" customHeight="1">
      <c r="E221" s="195" t="s">
        <v>774</v>
      </c>
      <c r="G221" s="195" t="s">
        <v>27</v>
      </c>
      <c r="AJ221" s="157">
        <f t="shared" ref="AJ221:AQ221" si="72">IF(AJ215 &gt;= 0, MIN(AJ215, -AJ219), 0)</f>
        <v>0</v>
      </c>
      <c r="AK221" s="157">
        <f t="shared" si="72"/>
        <v>0</v>
      </c>
      <c r="AL221" s="157">
        <f t="shared" si="72"/>
        <v>0</v>
      </c>
      <c r="AM221" s="157">
        <f t="shared" si="72"/>
        <v>0</v>
      </c>
      <c r="AN221" s="157">
        <f t="shared" si="72"/>
        <v>0</v>
      </c>
      <c r="AO221" s="157">
        <f t="shared" si="72"/>
        <v>0</v>
      </c>
      <c r="AP221" s="157">
        <f t="shared" si="72"/>
        <v>0</v>
      </c>
      <c r="AQ221" s="157">
        <f t="shared" si="72"/>
        <v>0</v>
      </c>
    </row>
    <row r="222" spans="3:47" s="195" customFormat="1" ht="15" customHeight="1">
      <c r="E222" s="157" t="s">
        <v>76</v>
      </c>
      <c r="G222" s="195" t="s">
        <v>27</v>
      </c>
      <c r="AJ222" s="167">
        <f t="shared" ref="AJ222:AQ222" si="73">SUM(AJ219:AJ221)</f>
        <v>0</v>
      </c>
      <c r="AK222" s="167">
        <f t="shared" si="73"/>
        <v>0</v>
      </c>
      <c r="AL222" s="167">
        <f t="shared" si="73"/>
        <v>0</v>
      </c>
      <c r="AM222" s="167">
        <f t="shared" si="73"/>
        <v>0</v>
      </c>
      <c r="AN222" s="167">
        <f t="shared" si="73"/>
        <v>0</v>
      </c>
      <c r="AO222" s="167">
        <f t="shared" si="73"/>
        <v>0</v>
      </c>
      <c r="AP222" s="167">
        <f t="shared" si="73"/>
        <v>0</v>
      </c>
      <c r="AQ222" s="167">
        <f t="shared" si="73"/>
        <v>0</v>
      </c>
    </row>
    <row r="223" spans="3:47" s="195" customFormat="1" ht="15" customHeight="1">
      <c r="AJ223" s="157"/>
      <c r="AK223" s="157"/>
      <c r="AL223" s="157"/>
      <c r="AM223" s="157"/>
      <c r="AN223" s="157"/>
      <c r="AO223" s="157"/>
      <c r="AP223" s="157"/>
      <c r="AQ223" s="157"/>
    </row>
    <row r="224" spans="3:47" s="195" customFormat="1" ht="15" customHeight="1">
      <c r="C224" s="332"/>
      <c r="D224" s="332" t="s">
        <v>772</v>
      </c>
      <c r="E224" s="332"/>
      <c r="F224" s="332"/>
      <c r="G224" s="332"/>
      <c r="H224" s="332"/>
      <c r="I224" s="332"/>
      <c r="J224" s="332"/>
      <c r="K224" s="332"/>
      <c r="L224" s="332"/>
      <c r="M224" s="332"/>
      <c r="N224" s="332"/>
      <c r="O224" s="332"/>
      <c r="P224" s="332"/>
      <c r="Q224" s="332"/>
      <c r="R224" s="332"/>
      <c r="S224" s="332"/>
      <c r="T224" s="332"/>
      <c r="U224" s="332"/>
      <c r="V224" s="332"/>
      <c r="W224" s="332"/>
      <c r="X224" s="332"/>
      <c r="Y224" s="332"/>
      <c r="Z224" s="332"/>
      <c r="AA224" s="332"/>
      <c r="AB224" s="332"/>
      <c r="AC224" s="332"/>
      <c r="AD224" s="332"/>
      <c r="AE224" s="332"/>
      <c r="AF224" s="332"/>
      <c r="AG224" s="332"/>
      <c r="AH224" s="354"/>
      <c r="AI224" s="354"/>
      <c r="AJ224" s="354"/>
      <c r="AK224" s="354"/>
      <c r="AL224" s="354"/>
      <c r="AM224" s="354"/>
      <c r="AN224" s="354"/>
      <c r="AO224" s="354"/>
      <c r="AP224" s="354"/>
      <c r="AQ224" s="354"/>
      <c r="AR224" s="113"/>
      <c r="AS224" s="113"/>
      <c r="AT224" s="113"/>
      <c r="AU224" s="114"/>
    </row>
    <row r="225" spans="2:46" s="157" customFormat="1" ht="15" customHeight="1">
      <c r="D225" s="197"/>
      <c r="E225" s="197"/>
      <c r="F225" s="197"/>
      <c r="G225" s="197"/>
      <c r="H225" s="197"/>
      <c r="I225" s="197"/>
      <c r="J225" s="197"/>
      <c r="K225" s="197"/>
      <c r="L225" s="197"/>
      <c r="M225" s="197"/>
      <c r="N225" s="197"/>
      <c r="O225" s="197"/>
      <c r="P225" s="197"/>
      <c r="Q225" s="197"/>
      <c r="R225" s="197"/>
      <c r="S225" s="197"/>
      <c r="T225" s="197"/>
      <c r="U225" s="197"/>
      <c r="V225" s="197"/>
      <c r="W225" s="197"/>
      <c r="X225" s="197"/>
      <c r="Y225" s="197"/>
      <c r="Z225" s="197"/>
      <c r="AA225" s="197"/>
      <c r="AB225" s="197"/>
      <c r="AC225" s="197"/>
      <c r="AD225" s="197"/>
      <c r="AE225" s="197"/>
      <c r="AF225" s="199"/>
      <c r="AG225" s="199"/>
      <c r="AH225" s="199"/>
      <c r="AI225" s="199"/>
      <c r="AJ225" s="197"/>
      <c r="AK225" s="197"/>
      <c r="AL225" s="197"/>
      <c r="AM225" s="197"/>
      <c r="AN225" s="197"/>
      <c r="AO225" s="197"/>
      <c r="AP225" s="197"/>
      <c r="AQ225" s="197"/>
    </row>
    <row r="226" spans="2:46" s="157" customFormat="1" ht="15" customHeight="1">
      <c r="J226" s="33"/>
      <c r="K226" s="33"/>
      <c r="L226" s="33"/>
      <c r="M226" s="33"/>
      <c r="N226" s="33"/>
      <c r="O226" s="33"/>
      <c r="P226" s="33"/>
      <c r="Q226" s="33"/>
      <c r="R226" s="33"/>
      <c r="S226" s="33"/>
      <c r="T226" s="33"/>
      <c r="U226" s="33"/>
      <c r="V226" s="33"/>
      <c r="W226" s="33"/>
      <c r="X226" s="33"/>
    </row>
    <row r="227" spans="2:46" s="157" customFormat="1" ht="15" customHeight="1">
      <c r="E227" s="195" t="s">
        <v>513</v>
      </c>
      <c r="F227" s="195"/>
      <c r="G227" s="195" t="s">
        <v>27</v>
      </c>
      <c r="J227" s="33"/>
      <c r="K227" s="33"/>
      <c r="L227" s="33"/>
      <c r="M227" s="33"/>
      <c r="N227" s="33"/>
      <c r="O227" s="33"/>
      <c r="P227" s="33"/>
      <c r="Q227" s="33"/>
      <c r="R227" s="33"/>
      <c r="S227" s="33"/>
      <c r="T227" s="33"/>
      <c r="U227" s="33"/>
      <c r="V227" s="33"/>
      <c r="W227" s="33"/>
      <c r="X227" s="33"/>
      <c r="AJ227" s="157">
        <f t="shared" ref="AJ227:AQ227" si="74">MAX(AJ215 - AJ221,0)</f>
        <v>92.790484450811277</v>
      </c>
      <c r="AK227" s="157">
        <f t="shared" si="74"/>
        <v>96.246383852161912</v>
      </c>
      <c r="AL227" s="157">
        <f t="shared" si="74"/>
        <v>100.14597953348358</v>
      </c>
      <c r="AM227" s="157">
        <f t="shared" si="74"/>
        <v>107.64354219442809</v>
      </c>
      <c r="AN227" s="157">
        <f t="shared" si="74"/>
        <v>118.88185514783258</v>
      </c>
      <c r="AO227" s="157">
        <f t="shared" si="74"/>
        <v>131.90479497644461</v>
      </c>
      <c r="AP227" s="157">
        <f t="shared" si="74"/>
        <v>150.08617086079073</v>
      </c>
      <c r="AQ227" s="157">
        <f t="shared" si="74"/>
        <v>168.51911671371676</v>
      </c>
    </row>
    <row r="228" spans="2:46" s="157" customFormat="1" ht="15" customHeight="1">
      <c r="E228" s="157" t="s">
        <v>85</v>
      </c>
      <c r="F228" s="195"/>
      <c r="G228" s="157" t="s">
        <v>49</v>
      </c>
      <c r="J228" s="33"/>
      <c r="K228" s="33"/>
      <c r="L228" s="33"/>
      <c r="M228" s="33"/>
      <c r="N228" s="33"/>
      <c r="O228" s="33"/>
      <c r="P228" s="33"/>
      <c r="Q228" s="33"/>
      <c r="R228" s="33"/>
      <c r="S228" s="33"/>
      <c r="T228" s="33"/>
      <c r="U228" s="33"/>
      <c r="V228" s="33"/>
      <c r="W228" s="33"/>
      <c r="X228" s="33"/>
      <c r="AJ228" s="377">
        <f>TaxTrigger!AJ$96</f>
        <v>0.2</v>
      </c>
      <c r="AK228" s="377">
        <f>TaxTrigger!AK$96</f>
        <v>0.2</v>
      </c>
      <c r="AL228" s="377">
        <f>TaxTrigger!AL$96</f>
        <v>0.2</v>
      </c>
      <c r="AM228" s="377">
        <f>TaxTrigger!AM$96</f>
        <v>0.2</v>
      </c>
      <c r="AN228" s="377">
        <f>TaxTrigger!AN$96</f>
        <v>0.2</v>
      </c>
      <c r="AO228" s="377">
        <f>TaxTrigger!AO$96</f>
        <v>0.2</v>
      </c>
      <c r="AP228" s="377">
        <f>TaxTrigger!AP$96</f>
        <v>0.2</v>
      </c>
      <c r="AQ228" s="377">
        <f>TaxTrigger!AQ$96</f>
        <v>0.2</v>
      </c>
      <c r="AR228" s="377"/>
    </row>
    <row r="229" spans="2:46" s="195" customFormat="1" ht="15" customHeight="1">
      <c r="E229" s="195" t="s">
        <v>303</v>
      </c>
      <c r="G229" s="195" t="s">
        <v>27</v>
      </c>
      <c r="AJ229" s="157">
        <f t="shared" ref="AJ229:AQ229" si="75">AJ228*AJ227</f>
        <v>18.558096890162258</v>
      </c>
      <c r="AK229" s="157">
        <f t="shared" si="75"/>
        <v>19.249276770432385</v>
      </c>
      <c r="AL229" s="157">
        <f t="shared" si="75"/>
        <v>20.029195906696717</v>
      </c>
      <c r="AM229" s="157">
        <f t="shared" si="75"/>
        <v>21.528708438885619</v>
      </c>
      <c r="AN229" s="157">
        <f t="shared" si="75"/>
        <v>23.776371029566519</v>
      </c>
      <c r="AO229" s="157">
        <f t="shared" si="75"/>
        <v>26.380958995288921</v>
      </c>
      <c r="AP229" s="157">
        <f t="shared" si="75"/>
        <v>30.017234172158147</v>
      </c>
      <c r="AQ229" s="157">
        <f t="shared" si="75"/>
        <v>33.703823342743355</v>
      </c>
    </row>
    <row r="230" spans="2:46" s="195" customFormat="1" ht="15" customHeight="1">
      <c r="E230" s="149"/>
      <c r="AJ230" s="157"/>
      <c r="AK230" s="157"/>
      <c r="AL230" s="157"/>
      <c r="AM230" s="157"/>
      <c r="AN230" s="157"/>
      <c r="AO230" s="157"/>
      <c r="AP230" s="157"/>
      <c r="AQ230" s="157"/>
    </row>
    <row r="231" spans="2:46" s="195" customFormat="1" ht="15" customHeight="1">
      <c r="B231" s="334" t="str">
        <f>"Additional Information for purposes of "&amp;Input!E36</f>
        <v>Additional Information for purposes of Tax liability revenue allowance adjustments - gearing / debt interest costs</v>
      </c>
      <c r="C231" s="334"/>
      <c r="D231" s="334"/>
      <c r="E231" s="334"/>
      <c r="F231" s="334"/>
      <c r="G231" s="334"/>
      <c r="H231" s="334"/>
      <c r="I231" s="334"/>
      <c r="J231" s="334"/>
      <c r="K231" s="334"/>
      <c r="L231" s="334"/>
      <c r="M231" s="334"/>
      <c r="N231" s="334"/>
      <c r="O231" s="334"/>
      <c r="P231" s="334"/>
      <c r="Q231" s="334"/>
      <c r="R231" s="334"/>
      <c r="S231" s="334"/>
      <c r="T231" s="334"/>
      <c r="U231" s="334"/>
      <c r="V231" s="334"/>
      <c r="W231" s="334"/>
      <c r="X231" s="334"/>
      <c r="Y231" s="334"/>
      <c r="Z231" s="334"/>
      <c r="AA231" s="334"/>
      <c r="AB231" s="334"/>
      <c r="AC231" s="334"/>
      <c r="AD231" s="334"/>
      <c r="AE231" s="334"/>
      <c r="AF231" s="334"/>
      <c r="AG231" s="334"/>
      <c r="AH231" s="376"/>
      <c r="AI231" s="376"/>
      <c r="AJ231" s="334"/>
      <c r="AK231" s="334"/>
      <c r="AL231" s="334"/>
      <c r="AM231" s="334"/>
      <c r="AN231" s="334"/>
      <c r="AO231" s="334"/>
      <c r="AP231" s="334"/>
      <c r="AQ231" s="334"/>
      <c r="AR231" s="113"/>
      <c r="AS231" s="113"/>
      <c r="AT231" s="113"/>
    </row>
    <row r="232" spans="2:46" s="152" customFormat="1" ht="15" customHeight="1"/>
    <row r="233" spans="2:46" s="152" customFormat="1" ht="15" customHeight="1">
      <c r="E233" s="149" t="s">
        <v>35</v>
      </c>
      <c r="F233" s="149"/>
      <c r="G233" s="195" t="s">
        <v>27</v>
      </c>
      <c r="H233" s="149"/>
      <c r="I233" s="149"/>
      <c r="J233" s="149"/>
      <c r="K233" s="149"/>
      <c r="L233" s="149"/>
      <c r="M233" s="149"/>
      <c r="N233" s="149"/>
      <c r="O233" s="149"/>
      <c r="P233" s="149"/>
      <c r="Q233" s="149"/>
      <c r="R233" s="149"/>
      <c r="S233" s="149"/>
      <c r="T233" s="149"/>
      <c r="U233" s="149"/>
      <c r="V233" s="149"/>
      <c r="W233" s="149"/>
      <c r="X233" s="149"/>
      <c r="Y233" s="149"/>
      <c r="Z233" s="149"/>
      <c r="AA233" s="149"/>
      <c r="AB233" s="149"/>
      <c r="AC233" s="149"/>
      <c r="AD233" s="149"/>
      <c r="AE233" s="149"/>
      <c r="AF233" s="149"/>
      <c r="AG233" s="149"/>
      <c r="AH233" s="149"/>
      <c r="AI233" s="149"/>
      <c r="AJ233" s="149">
        <f>-AJ165-AJ166</f>
        <v>61.114881863690186</v>
      </c>
      <c r="AK233" s="149">
        <f t="shared" ref="AK233:AQ233" si="76">-AK165-AK166</f>
        <v>65.861109931797017</v>
      </c>
      <c r="AL233" s="149">
        <f t="shared" si="76"/>
        <v>71.024540302555366</v>
      </c>
      <c r="AM233" s="149">
        <f t="shared" si="76"/>
        <v>75.60372082978364</v>
      </c>
      <c r="AN233" s="149">
        <f t="shared" si="76"/>
        <v>79.417780849814363</v>
      </c>
      <c r="AO233" s="149">
        <f t="shared" si="76"/>
        <v>82.405491948443995</v>
      </c>
      <c r="AP233" s="149">
        <f t="shared" si="76"/>
        <v>84.692953211043502</v>
      </c>
      <c r="AQ233" s="149">
        <f t="shared" si="76"/>
        <v>86.182944581030895</v>
      </c>
    </row>
    <row r="234" spans="2:46" s="152" customFormat="1" ht="15" customHeight="1">
      <c r="E234" s="149" t="s">
        <v>29</v>
      </c>
      <c r="F234" s="149"/>
      <c r="G234" s="149" t="s">
        <v>844</v>
      </c>
      <c r="H234" s="149"/>
      <c r="I234" s="149"/>
      <c r="J234" s="149"/>
      <c r="K234" s="149"/>
      <c r="L234" s="149"/>
      <c r="M234" s="149"/>
      <c r="N234" s="149"/>
      <c r="O234" s="149"/>
      <c r="P234" s="149"/>
      <c r="Q234" s="149"/>
      <c r="R234" s="149"/>
      <c r="S234" s="149"/>
      <c r="T234" s="149"/>
      <c r="U234" s="149"/>
      <c r="V234" s="149"/>
      <c r="W234" s="149"/>
      <c r="X234" s="149"/>
      <c r="Y234" s="149"/>
      <c r="Z234" s="149"/>
      <c r="AA234" s="149"/>
      <c r="AB234" s="149"/>
      <c r="AC234" s="149"/>
      <c r="AD234" s="149"/>
      <c r="AE234" s="149"/>
      <c r="AF234" s="149"/>
      <c r="AG234" s="149"/>
      <c r="AH234" s="149"/>
      <c r="AI234" s="149"/>
      <c r="AJ234" s="149">
        <f>'Return&amp;RAV'!AJ47</f>
        <v>1524.8275770285732</v>
      </c>
      <c r="AK234" s="149">
        <f>'Return&amp;RAV'!AK47</f>
        <v>1568.1270216022474</v>
      </c>
      <c r="AL234" s="149">
        <f>'Return&amp;RAV'!AL47</f>
        <v>1603.764503068656</v>
      </c>
      <c r="AM234" s="149">
        <f>'Return&amp;RAV'!AM47</f>
        <v>1630.4292591463091</v>
      </c>
      <c r="AN234" s="149">
        <f>'Return&amp;RAV'!AN47</f>
        <v>1658.0061193574948</v>
      </c>
      <c r="AO234" s="149">
        <f>'Return&amp;RAV'!AO47</f>
        <v>1679.3086483328495</v>
      </c>
      <c r="AP234" s="149">
        <f>'Return&amp;RAV'!AP47</f>
        <v>1700.8869475648303</v>
      </c>
      <c r="AQ234" s="149">
        <f>'Return&amp;RAV'!AQ47</f>
        <v>1720.0762730197077</v>
      </c>
    </row>
    <row r="235" spans="2:46" s="152" customFormat="1" ht="15" customHeight="1"/>
    <row r="236" spans="2:46" s="152" customFormat="1" ht="15" customHeight="1"/>
    <row r="237" spans="2:46" s="152" customFormat="1" ht="15" customHeight="1"/>
    <row r="238" spans="2:46" ht="15" customHeight="1"/>
    <row r="239" spans="2:46" ht="15" customHeight="1"/>
    <row r="240" spans="2:46"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sheetData>
  <conditionalFormatting sqref="AK78:AQ78">
    <cfRule type="cellIs" dxfId="29" priority="1" operator="equal">
      <formula>FALSE()</formula>
    </cfRule>
  </conditionalFormatting>
  <pageMargins left="0.23622047244094491" right="0.23622047244094491" top="0.74803149606299213" bottom="0.74803149606299213" header="0.31496062992125984" footer="0.31496062992125984"/>
  <pageSetup paperSize="8" scale="71" fitToHeight="0" orientation="landscape" r:id="rId1"/>
  <headerFooter>
    <oddFooter>&amp;LDraft at &amp;D&amp;C&amp;P of &amp;N&amp;R"&amp;A" sheet</oddFooter>
  </headerFooter>
  <rowBreaks count="3" manualBreakCount="3">
    <brk id="42" max="41" man="1"/>
    <brk id="90" max="41" man="1"/>
    <brk id="146"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183297" r:id="rId4" name="Drop Down 1">
              <controlPr defaultSize="0" autoLine="0" autoPict="0">
                <anchor moveWithCells="1">
                  <from>
                    <xdr:col>4</xdr:col>
                    <xdr:colOff>561975</xdr:colOff>
                    <xdr:row>1</xdr:row>
                    <xdr:rowOff>0</xdr:rowOff>
                  </from>
                  <to>
                    <xdr:col>4</xdr:col>
                    <xdr:colOff>3000375</xdr:colOff>
                    <xdr:row>2</xdr:row>
                    <xdr:rowOff>9525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theme="7" tint="0.59999389629810485"/>
    <pageSetUpPr fitToPage="1"/>
  </sheetPr>
  <dimension ref="A1:AS83"/>
  <sheetViews>
    <sheetView zoomScale="75" zoomScaleNormal="75" workbookViewId="0">
      <pane xSplit="10" ySplit="7" topLeftCell="AJ8" activePane="bottomRight" state="frozen"/>
      <selection activeCell="F444" sqref="F444"/>
      <selection pane="topRight" activeCell="F444" sqref="F444"/>
      <selection pane="bottomLeft" activeCell="F444" sqref="F444"/>
      <selection pane="bottomRight" activeCell="AJ22" sqref="AJ22:AQ22"/>
    </sheetView>
  </sheetViews>
  <sheetFormatPr defaultColWidth="9" defaultRowHeight="12.75" zeroHeight="1" outlineLevelCol="1"/>
  <cols>
    <col min="1" max="4" width="1.625" style="195" customWidth="1"/>
    <col min="5" max="5" width="50.625" style="195" customWidth="1"/>
    <col min="6" max="6" width="1.625" style="195" customWidth="1"/>
    <col min="7" max="7" width="12.625" style="195" bestFit="1" customWidth="1"/>
    <col min="8" max="8" width="1.625" style="195" customWidth="1"/>
    <col min="9" max="9" width="10.625" style="195" customWidth="1"/>
    <col min="10" max="10" width="1.625" style="195" customWidth="1"/>
    <col min="11" max="35" width="10.625" style="195" hidden="1" customWidth="1" outlineLevel="1"/>
    <col min="36" max="36" width="10.625" style="195" customWidth="1" collapsed="1"/>
    <col min="37" max="43" width="10.625" style="195" customWidth="1"/>
    <col min="44" max="44" width="1.625" style="195" customWidth="1"/>
    <col min="45" max="45" width="9" style="195" customWidth="1"/>
    <col min="46" max="16384" width="9" style="195"/>
  </cols>
  <sheetData>
    <row r="1" spans="1:45" s="7" customFormat="1" ht="15">
      <c r="A1" s="349" t="s">
        <v>18</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c r="AJ1" s="355" t="s">
        <v>639</v>
      </c>
      <c r="AK1" s="10"/>
      <c r="AL1" s="10"/>
      <c r="AM1" s="10"/>
      <c r="AN1" s="10"/>
      <c r="AO1" s="10"/>
      <c r="AP1" s="10"/>
      <c r="AQ1" s="10"/>
      <c r="AR1" s="351"/>
    </row>
    <row r="2" spans="1:45" s="7" customFormat="1">
      <c r="A2" s="10"/>
      <c r="B2" s="10" t="str">
        <f>UserInterface!G24</f>
        <v>SPN</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5" s="7" customForma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5" s="7" customForma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5" s="7" customForma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5" s="7" customForma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5" s="7" customFormat="1">
      <c r="A7" s="10"/>
      <c r="B7" s="10"/>
      <c r="C7" s="10"/>
      <c r="D7" s="10"/>
      <c r="E7" s="10" t="s">
        <v>236</v>
      </c>
      <c r="F7" s="10"/>
      <c r="I7" s="352">
        <f>UserInterface!$G$17</f>
        <v>42460</v>
      </c>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c r="AS7" s="43"/>
    </row>
    <row r="8" spans="1:45" s="149" customFormat="1"/>
    <row r="9" spans="1:45">
      <c r="B9" s="334" t="s">
        <v>176</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c r="AR9" s="113"/>
      <c r="AS9" s="113"/>
    </row>
    <row r="10" spans="1:45">
      <c r="B10" s="197" t="s">
        <v>373</v>
      </c>
      <c r="C10" s="197"/>
      <c r="D10" s="197"/>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13"/>
      <c r="AS10" s="113"/>
    </row>
    <row r="11" spans="1:45">
      <c r="B11" s="197" t="s">
        <v>374</v>
      </c>
      <c r="C11" s="197"/>
      <c r="D11" s="197"/>
      <c r="E11" s="197"/>
      <c r="F11" s="197"/>
      <c r="G11" s="197"/>
      <c r="H11" s="197"/>
      <c r="I11" s="197"/>
      <c r="J11" s="197"/>
      <c r="K11" s="197"/>
      <c r="L11" s="197"/>
      <c r="M11" s="197"/>
      <c r="N11" s="197"/>
      <c r="O11" s="197"/>
      <c r="P11" s="197"/>
      <c r="Q11" s="197"/>
      <c r="R11" s="197"/>
      <c r="S11" s="197"/>
      <c r="T11" s="197"/>
      <c r="U11" s="197"/>
      <c r="V11" s="197"/>
      <c r="W11" s="197"/>
      <c r="X11" s="197"/>
      <c r="Y11" s="197"/>
      <c r="Z11" s="197"/>
      <c r="AA11" s="197"/>
      <c r="AB11" s="197"/>
      <c r="AC11" s="197"/>
      <c r="AD11" s="197"/>
      <c r="AE11" s="197"/>
      <c r="AF11" s="197"/>
      <c r="AG11" s="197"/>
      <c r="AH11" s="197"/>
      <c r="AI11" s="197"/>
      <c r="AJ11" s="197"/>
      <c r="AK11" s="197"/>
      <c r="AL11" s="197"/>
      <c r="AM11" s="197"/>
      <c r="AN11" s="197"/>
      <c r="AO11" s="197"/>
      <c r="AP11" s="197"/>
      <c r="AQ11" s="197"/>
      <c r="AR11" s="113"/>
      <c r="AS11" s="113"/>
    </row>
    <row r="12" spans="1:45">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57"/>
      <c r="AJ12" s="157"/>
      <c r="AK12" s="157"/>
      <c r="AL12" s="157"/>
      <c r="AM12" s="157"/>
      <c r="AN12" s="157"/>
      <c r="AO12" s="157"/>
      <c r="AP12" s="157"/>
      <c r="AQ12" s="157"/>
      <c r="AR12" s="113"/>
      <c r="AS12" s="113"/>
    </row>
    <row r="13" spans="1:45">
      <c r="E13" s="195" t="s">
        <v>100</v>
      </c>
      <c r="G13" s="195" t="s">
        <v>844</v>
      </c>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57">
        <f>TIM!AJ70</f>
        <v>73.990914493987702</v>
      </c>
      <c r="AK13" s="157">
        <f>TIM!AK70</f>
        <v>80.888013325399243</v>
      </c>
      <c r="AL13" s="157">
        <f>TIM!AL70</f>
        <v>78.884765794529727</v>
      </c>
      <c r="AM13" s="157">
        <f>TIM!AM70</f>
        <v>76.303699063604512</v>
      </c>
      <c r="AN13" s="157">
        <f>TIM!AN70</f>
        <v>73.984073338710544</v>
      </c>
      <c r="AO13" s="157">
        <f>TIM!AO70</f>
        <v>71.699642783345297</v>
      </c>
      <c r="AP13" s="157">
        <f>TIM!AP70</f>
        <v>71.905398021524775</v>
      </c>
      <c r="AQ13" s="157">
        <f>TIM!AQ70</f>
        <v>70.056262481492155</v>
      </c>
      <c r="AR13" s="113"/>
      <c r="AS13" s="113"/>
    </row>
    <row r="14" spans="1:45">
      <c r="E14" s="157" t="s">
        <v>740</v>
      </c>
      <c r="G14" s="157" t="s">
        <v>844</v>
      </c>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57">
        <f>Input!AJ235</f>
        <v>33.603943550905051</v>
      </c>
      <c r="AK14" s="157">
        <f>Input!AK235</f>
        <v>34.133943550905052</v>
      </c>
      <c r="AL14" s="157">
        <f>Input!AL235</f>
        <v>35.827276884238387</v>
      </c>
      <c r="AM14" s="157">
        <f>Input!AM235</f>
        <v>36.160610217571715</v>
      </c>
      <c r="AN14" s="157">
        <f>Input!AN235</f>
        <v>36.03394355090505</v>
      </c>
      <c r="AO14" s="157">
        <f>Input!AO235</f>
        <v>37.000610217571719</v>
      </c>
      <c r="AP14" s="157">
        <f>Input!AP235</f>
        <v>35.538164106782752</v>
      </c>
      <c r="AQ14" s="157">
        <f>Input!AQ235</f>
        <v>35.748164106782752</v>
      </c>
      <c r="AR14" s="113"/>
      <c r="AS14" s="113"/>
    </row>
    <row r="15" spans="1:45" s="157" customFormat="1">
      <c r="E15" s="157" t="s">
        <v>67</v>
      </c>
      <c r="G15" s="195" t="s">
        <v>844</v>
      </c>
      <c r="I15" s="195"/>
      <c r="AJ15" s="157">
        <f>-'Return&amp;RAV'!AJ46</f>
        <v>124.24582509195155</v>
      </c>
      <c r="AK15" s="157">
        <f>-'Return&amp;RAV'!AK46</f>
        <v>128.58758374279918</v>
      </c>
      <c r="AL15" s="157">
        <f>-'Return&amp;RAV'!AL46</f>
        <v>131.99264584696695</v>
      </c>
      <c r="AM15" s="157">
        <f>-'Return&amp;RAV'!AM46</f>
        <v>135.48060443250662</v>
      </c>
      <c r="AN15" s="157">
        <f>-'Return&amp;RAV'!AN46</f>
        <v>129.63929563357419</v>
      </c>
      <c r="AO15" s="157">
        <f>-'Return&amp;RAV'!AO46</f>
        <v>131.05921193925411</v>
      </c>
      <c r="AP15" s="157">
        <f>-'Return&amp;RAV'!AP46</f>
        <v>131.22067156375945</v>
      </c>
      <c r="AQ15" s="157">
        <f>-'Return&amp;RAV'!AQ46</f>
        <v>129.68023231829352</v>
      </c>
    </row>
    <row r="16" spans="1:45" s="157" customFormat="1">
      <c r="E16" s="157" t="s">
        <v>19</v>
      </c>
      <c r="G16" s="195" t="s">
        <v>844</v>
      </c>
      <c r="I16" s="195"/>
      <c r="AJ16" s="157">
        <f>'Return&amp;RAV'!AJ35</f>
        <v>57.244202154393761</v>
      </c>
      <c r="AK16" s="157">
        <f>'Return&amp;RAV'!AK35</f>
        <v>58.688355925656531</v>
      </c>
      <c r="AL16" s="157">
        <f>'Return&amp;RAV'!AL35</f>
        <v>60.189329485440837</v>
      </c>
      <c r="AM16" s="157">
        <f>'Return&amp;RAV'!AM35</f>
        <v>61.37505044630241</v>
      </c>
      <c r="AN16" s="157">
        <f>'Return&amp;RAV'!AN35</f>
        <v>62.404222082516519</v>
      </c>
      <c r="AO16" s="157">
        <f>'Return&amp;RAV'!AO35</f>
        <v>63.334207103676164</v>
      </c>
      <c r="AP16" s="157">
        <f>'Return&amp;RAV'!AP35</f>
        <v>64.147981342078268</v>
      </c>
      <c r="AQ16" s="157">
        <f>'Return&amp;RAV'!AQ35</f>
        <v>64.922606795195932</v>
      </c>
    </row>
    <row r="17" spans="2:45">
      <c r="D17" s="157"/>
      <c r="E17" s="195" t="s">
        <v>105</v>
      </c>
      <c r="G17" s="195" t="s">
        <v>844</v>
      </c>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57">
        <f>'Finance&amp;Tax'!AJ145*Input!$AG$57/Input!AJ$57</f>
        <v>0</v>
      </c>
      <c r="AK17" s="157">
        <f>'Finance&amp;Tax'!AK145*Input!$AG$57/Input!AK$57</f>
        <v>0</v>
      </c>
      <c r="AL17" s="157">
        <f>'Finance&amp;Tax'!AL145*Input!$AG$57/Input!AL$57</f>
        <v>0</v>
      </c>
      <c r="AM17" s="157">
        <f>'Finance&amp;Tax'!AM145*Input!$AG$57/Input!AM$57</f>
        <v>0</v>
      </c>
      <c r="AN17" s="157">
        <f>'Finance&amp;Tax'!AN145*Input!$AG$57/Input!AN$57</f>
        <v>0</v>
      </c>
      <c r="AO17" s="157">
        <f>'Finance&amp;Tax'!AO145*Input!$AG$57/Input!AO$57</f>
        <v>0</v>
      </c>
      <c r="AP17" s="157">
        <f>'Finance&amp;Tax'!AP145*Input!$AG$57/Input!AP$57</f>
        <v>0</v>
      </c>
      <c r="AQ17" s="157">
        <f>'Finance&amp;Tax'!AQ145*Input!$AG$57/Input!AQ$57</f>
        <v>0</v>
      </c>
      <c r="AR17" s="113"/>
      <c r="AS17" s="113"/>
    </row>
    <row r="18" spans="2:45">
      <c r="E18" s="157" t="s">
        <v>23</v>
      </c>
      <c r="G18" s="195" t="s">
        <v>844</v>
      </c>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57">
        <f>TIM!AJ84</f>
        <v>0</v>
      </c>
      <c r="AK18" s="157">
        <f>TIM!AK84</f>
        <v>0</v>
      </c>
      <c r="AL18" s="157">
        <f>TIM!AL84</f>
        <v>0</v>
      </c>
      <c r="AM18" s="157">
        <f>TIM!AM84</f>
        <v>0</v>
      </c>
      <c r="AN18" s="157">
        <f>TIM!AN84</f>
        <v>0</v>
      </c>
      <c r="AO18" s="157">
        <f>TIM!AO84</f>
        <v>0</v>
      </c>
      <c r="AP18" s="157">
        <f>TIM!AP84</f>
        <v>0</v>
      </c>
      <c r="AQ18" s="157">
        <f>TIM!AQ84</f>
        <v>0</v>
      </c>
      <c r="AR18" s="113"/>
      <c r="AS18" s="113"/>
    </row>
    <row r="19" spans="2:45">
      <c r="E19" s="157" t="s">
        <v>220</v>
      </c>
      <c r="G19" s="195" t="s">
        <v>844</v>
      </c>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57">
        <f>DARTs!AJ65</f>
        <v>19.368148304193433</v>
      </c>
      <c r="AK19" s="157">
        <f>DARTs!AK65</f>
        <v>14.592654196632846</v>
      </c>
      <c r="AL19" s="157">
        <f>DARTs!AL65</f>
        <v>18.56992898761159</v>
      </c>
      <c r="AM19" s="157">
        <f>DARTs!AM65</f>
        <v>24.405023279697769</v>
      </c>
      <c r="AN19" s="157">
        <f>DARTs!AN65</f>
        <v>39.613423928034422</v>
      </c>
      <c r="AO19" s="157">
        <f>DARTs!AO65</f>
        <v>46.69229918053248</v>
      </c>
      <c r="AP19" s="157">
        <f>DARTs!AP65</f>
        <v>54.753511361654773</v>
      </c>
      <c r="AQ19" s="157">
        <f>DARTs!AQ65</f>
        <v>65.344387923066535</v>
      </c>
      <c r="AR19" s="113"/>
      <c r="AS19" s="113"/>
    </row>
    <row r="20" spans="2:45">
      <c r="E20" s="195" t="s">
        <v>227</v>
      </c>
      <c r="G20" s="195" t="s">
        <v>844</v>
      </c>
      <c r="AJ20" s="167">
        <f t="shared" ref="AJ20:AQ20" si="0">SUM(AJ13:AJ19)</f>
        <v>308.45303359543146</v>
      </c>
      <c r="AK20" s="167">
        <f>SUM(AK13:AK19)</f>
        <v>316.89055074139287</v>
      </c>
      <c r="AL20" s="167">
        <f t="shared" si="0"/>
        <v>325.46394699878749</v>
      </c>
      <c r="AM20" s="167">
        <f t="shared" si="0"/>
        <v>333.72498743968305</v>
      </c>
      <c r="AN20" s="167">
        <f t="shared" si="0"/>
        <v>341.67495853374072</v>
      </c>
      <c r="AO20" s="167">
        <f t="shared" si="0"/>
        <v>349.78597122437975</v>
      </c>
      <c r="AP20" s="167">
        <f t="shared" si="0"/>
        <v>357.56572639580003</v>
      </c>
      <c r="AQ20" s="167">
        <f t="shared" si="0"/>
        <v>365.75165362483085</v>
      </c>
    </row>
    <row r="21" spans="2:45">
      <c r="E21" s="195" t="s">
        <v>7</v>
      </c>
      <c r="G21" s="195" t="s">
        <v>844</v>
      </c>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57">
        <f>'Finance&amp;Tax'!AJ197*Input!$AG$57/Input!AJ$57</f>
        <v>15.277879298174241</v>
      </c>
      <c r="AK21" s="157">
        <f>'Finance&amp;Tax'!AK197*Input!$AG$57/Input!AK$57</f>
        <v>15.517263489778957</v>
      </c>
      <c r="AL21" s="157">
        <f>'Finance&amp;Tax'!AL197*Input!$AG$57/Input!AL$57</f>
        <v>15.851107595271136</v>
      </c>
      <c r="AM21" s="157">
        <f>'Finance&amp;Tax'!AM197*Input!$AG$57/Input!AM$57</f>
        <v>16.735002379861289</v>
      </c>
      <c r="AN21" s="157">
        <f>'Finance&amp;Tax'!AN197*Input!$AG$57/Input!AN$57</f>
        <v>18.137125935255749</v>
      </c>
      <c r="AO21" s="157">
        <f>'Finance&amp;Tax'!AO197*Input!$AG$57/Input!AO$57</f>
        <v>19.683899091638025</v>
      </c>
      <c r="AP21" s="157">
        <f>'Finance&amp;Tax'!AP197*Input!$AG$57/Input!AP$57</f>
        <v>21.826389190564619</v>
      </c>
      <c r="AQ21" s="157">
        <f>'Finance&amp;Tax'!AQ197*Input!$AG$57/Input!AQ$57</f>
        <v>23.83148150101951</v>
      </c>
      <c r="AR21" s="113"/>
      <c r="AS21" s="113"/>
    </row>
    <row r="22" spans="2:45">
      <c r="E22" s="195" t="s">
        <v>176</v>
      </c>
      <c r="G22" s="195" t="s">
        <v>844</v>
      </c>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67">
        <f t="shared" ref="AJ22:AQ22" si="1">SUM(AJ20:AJ21)</f>
        <v>323.7309128936057</v>
      </c>
      <c r="AK22" s="167">
        <f t="shared" si="1"/>
        <v>332.40781423117181</v>
      </c>
      <c r="AL22" s="167">
        <f t="shared" si="1"/>
        <v>341.31505459405861</v>
      </c>
      <c r="AM22" s="167">
        <f t="shared" si="1"/>
        <v>350.45998981954432</v>
      </c>
      <c r="AN22" s="167">
        <f t="shared" si="1"/>
        <v>359.81208446899649</v>
      </c>
      <c r="AO22" s="167">
        <f t="shared" si="1"/>
        <v>369.46987031601776</v>
      </c>
      <c r="AP22" s="167">
        <f t="shared" si="1"/>
        <v>379.39211558636464</v>
      </c>
      <c r="AQ22" s="167">
        <f t="shared" si="1"/>
        <v>389.58313512585039</v>
      </c>
      <c r="AR22" s="113"/>
      <c r="AS22" s="113"/>
    </row>
    <row r="23" spans="2:45" s="157" customFormat="1"/>
    <row r="24" spans="2:45" s="149" customFormat="1">
      <c r="B24" s="334" t="s">
        <v>60</v>
      </c>
      <c r="C24" s="334"/>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4"/>
      <c r="AM24" s="334"/>
      <c r="AN24" s="334"/>
      <c r="AO24" s="334"/>
      <c r="AP24" s="334"/>
      <c r="AQ24" s="334"/>
    </row>
    <row r="25" spans="2:45" s="149" customFormat="1"/>
    <row r="26" spans="2:45" s="149" customFormat="1">
      <c r="C26" s="332" t="s">
        <v>113</v>
      </c>
      <c r="D26" s="332"/>
      <c r="E26" s="332"/>
      <c r="F26" s="332"/>
      <c r="G26" s="332"/>
      <c r="H26" s="332"/>
      <c r="I26" s="332"/>
      <c r="J26" s="332"/>
      <c r="K26" s="332"/>
      <c r="L26" s="332"/>
      <c r="M26" s="332"/>
      <c r="N26" s="332"/>
      <c r="O26" s="332"/>
      <c r="P26" s="332"/>
      <c r="Q26" s="332"/>
      <c r="R26" s="332"/>
      <c r="S26" s="332"/>
      <c r="T26" s="33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row>
    <row r="27" spans="2:45" s="149" customFormat="1">
      <c r="C27" s="197" t="s">
        <v>372</v>
      </c>
      <c r="D27" s="197"/>
      <c r="E27" s="197"/>
      <c r="F27" s="197"/>
      <c r="G27" s="197"/>
      <c r="H27" s="197"/>
      <c r="I27" s="197"/>
      <c r="J27" s="197"/>
      <c r="K27" s="197"/>
      <c r="L27" s="197"/>
      <c r="M27" s="197"/>
      <c r="N27" s="197"/>
      <c r="O27" s="197"/>
      <c r="P27" s="197"/>
      <c r="Q27" s="197"/>
      <c r="R27" s="197"/>
      <c r="S27" s="197"/>
      <c r="T27" s="197"/>
      <c r="U27" s="197"/>
      <c r="V27" s="197"/>
      <c r="W27" s="197"/>
      <c r="X27" s="197"/>
      <c r="Y27" s="197"/>
      <c r="Z27" s="197"/>
      <c r="AA27" s="197"/>
      <c r="AB27" s="197"/>
      <c r="AC27" s="197"/>
      <c r="AD27" s="197"/>
      <c r="AE27" s="197"/>
      <c r="AF27" s="197"/>
      <c r="AG27" s="197"/>
      <c r="AH27" s="197"/>
      <c r="AI27" s="197"/>
      <c r="AJ27" s="197"/>
      <c r="AK27" s="197"/>
      <c r="AL27" s="197"/>
      <c r="AM27" s="197"/>
      <c r="AN27" s="197"/>
      <c r="AO27" s="197"/>
      <c r="AP27" s="197"/>
      <c r="AQ27" s="197"/>
    </row>
    <row r="28" spans="2:45" s="149" customFormat="1"/>
    <row r="29" spans="2:45" s="149" customFormat="1">
      <c r="D29" s="198" t="s">
        <v>182</v>
      </c>
      <c r="E29" s="198"/>
      <c r="F29" s="198"/>
      <c r="G29" s="198"/>
      <c r="H29" s="198"/>
      <c r="I29" s="198"/>
      <c r="J29" s="198"/>
      <c r="K29" s="198"/>
      <c r="L29" s="198"/>
      <c r="M29" s="198"/>
      <c r="N29" s="198"/>
      <c r="O29" s="198"/>
      <c r="P29" s="198"/>
      <c r="Q29" s="198"/>
      <c r="R29" s="198"/>
      <c r="S29" s="198"/>
      <c r="T29" s="198"/>
      <c r="U29" s="198"/>
      <c r="V29" s="198"/>
      <c r="W29" s="198"/>
      <c r="X29" s="198"/>
      <c r="Y29" s="198"/>
      <c r="Z29" s="198"/>
      <c r="AA29" s="198"/>
      <c r="AB29" s="198"/>
      <c r="AC29" s="198"/>
      <c r="AD29" s="198"/>
      <c r="AE29" s="198"/>
      <c r="AF29" s="198"/>
      <c r="AG29" s="198"/>
      <c r="AH29" s="198"/>
      <c r="AI29" s="198"/>
      <c r="AJ29" s="198"/>
      <c r="AK29" s="198"/>
      <c r="AL29" s="198"/>
      <c r="AM29" s="198"/>
      <c r="AN29" s="198"/>
      <c r="AO29" s="198"/>
      <c r="AP29" s="198"/>
      <c r="AQ29" s="198"/>
    </row>
    <row r="30" spans="2:45" s="149" customFormat="1">
      <c r="D30" s="197" t="s">
        <v>365</v>
      </c>
      <c r="E30" s="197"/>
      <c r="F30" s="197"/>
      <c r="G30" s="197"/>
      <c r="H30" s="197"/>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c r="AF30" s="197"/>
      <c r="AG30" s="197"/>
      <c r="AH30" s="197"/>
      <c r="AI30" s="197"/>
      <c r="AJ30" s="197"/>
      <c r="AK30" s="197"/>
      <c r="AL30" s="197"/>
      <c r="AM30" s="197"/>
      <c r="AN30" s="197"/>
      <c r="AO30" s="197"/>
      <c r="AP30" s="197"/>
      <c r="AQ30" s="197"/>
    </row>
    <row r="31" spans="2:45" s="149" customFormat="1">
      <c r="D31" s="197" t="s">
        <v>369</v>
      </c>
      <c r="E31" s="197"/>
      <c r="F31" s="197"/>
      <c r="G31" s="197"/>
      <c r="H31" s="197"/>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197"/>
      <c r="AJ31" s="197"/>
      <c r="AK31" s="197"/>
      <c r="AL31" s="197"/>
      <c r="AM31" s="197"/>
      <c r="AN31" s="197"/>
      <c r="AO31" s="197"/>
      <c r="AP31" s="197"/>
      <c r="AQ31" s="197"/>
    </row>
    <row r="32" spans="2:45" s="149" customFormat="1"/>
    <row r="33" spans="4:43" s="149" customFormat="1">
      <c r="E33" s="149" t="s">
        <v>363</v>
      </c>
      <c r="G33" s="195" t="s">
        <v>844</v>
      </c>
      <c r="I33" s="143"/>
      <c r="AJ33" s="147">
        <f>IF(AJ$7 &lt; $I$7, AJ22, 0 )</f>
        <v>0</v>
      </c>
      <c r="AK33" s="147">
        <f t="shared" ref="AK33:AP33" si="2">IF(AK$7 &lt; $I$7, AK22, 0 )</f>
        <v>0</v>
      </c>
      <c r="AL33" s="147">
        <f t="shared" si="2"/>
        <v>0</v>
      </c>
      <c r="AM33" s="147">
        <f t="shared" si="2"/>
        <v>0</v>
      </c>
      <c r="AN33" s="147">
        <f t="shared" si="2"/>
        <v>0</v>
      </c>
      <c r="AO33" s="147">
        <f t="shared" si="2"/>
        <v>0</v>
      </c>
      <c r="AP33" s="107">
        <f t="shared" si="2"/>
        <v>0</v>
      </c>
    </row>
    <row r="34" spans="4:43" s="149" customFormat="1">
      <c r="E34" s="149" t="s">
        <v>364</v>
      </c>
      <c r="G34" s="195" t="s">
        <v>844</v>
      </c>
      <c r="I34" s="143"/>
      <c r="AJ34" s="108">
        <f>IF(AJ$7 &lt; $I$7, -LiveResults!F62, 0 )</f>
        <v>0</v>
      </c>
      <c r="AK34" s="108">
        <f>IF(AK$7 &lt; $I$7, -LiveResults!G62, 0 )</f>
        <v>0</v>
      </c>
      <c r="AL34" s="108">
        <f>IF(AL$7 &lt; $I$7, -LiveResults!H62, 0 )</f>
        <v>0</v>
      </c>
      <c r="AM34" s="108">
        <f>IF(AM$7 &lt; $I$7, -LiveResults!I62, 0 )</f>
        <v>0</v>
      </c>
      <c r="AN34" s="108">
        <f>IF(AN$7 &lt; $I$7, -LiveResults!J62, 0 )</f>
        <v>0</v>
      </c>
      <c r="AO34" s="108">
        <f>IF(AO$7 &lt; $I$7, -LiveResults!K62, 0 )</f>
        <v>0</v>
      </c>
      <c r="AP34" s="108">
        <f>IF(AP$7 &lt; $I$7, -LiveResults!L62, 0 )</f>
        <v>0</v>
      </c>
    </row>
    <row r="35" spans="4:43" s="149" customFormat="1">
      <c r="E35" s="149" t="s">
        <v>182</v>
      </c>
      <c r="G35" s="195" t="s">
        <v>844</v>
      </c>
      <c r="AJ35" s="168">
        <f t="shared" ref="AJ35:AP35" si="3">SUM(AJ33:AJ34)</f>
        <v>0</v>
      </c>
      <c r="AK35" s="168">
        <f t="shared" si="3"/>
        <v>0</v>
      </c>
      <c r="AL35" s="168">
        <f t="shared" si="3"/>
        <v>0</v>
      </c>
      <c r="AM35" s="168">
        <f t="shared" si="3"/>
        <v>0</v>
      </c>
      <c r="AN35" s="168">
        <f t="shared" si="3"/>
        <v>0</v>
      </c>
      <c r="AO35" s="168">
        <f t="shared" si="3"/>
        <v>0</v>
      </c>
      <c r="AP35" s="378">
        <f t="shared" si="3"/>
        <v>0</v>
      </c>
    </row>
    <row r="36" spans="4:43" s="149" customFormat="1"/>
    <row r="37" spans="4:43" s="149" customFormat="1">
      <c r="D37" s="198" t="s">
        <v>114</v>
      </c>
      <c r="E37" s="198"/>
      <c r="F37" s="198"/>
      <c r="G37" s="198"/>
      <c r="H37" s="198"/>
      <c r="I37" s="198"/>
      <c r="J37" s="198"/>
      <c r="K37" s="198"/>
      <c r="L37" s="198"/>
      <c r="M37" s="198"/>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c r="AM37" s="198"/>
      <c r="AN37" s="198"/>
      <c r="AO37" s="198"/>
      <c r="AP37" s="198"/>
      <c r="AQ37" s="198"/>
    </row>
    <row r="38" spans="4:43" s="149" customFormat="1">
      <c r="D38" s="197" t="s">
        <v>366</v>
      </c>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c r="AO38" s="197"/>
      <c r="AP38" s="197"/>
      <c r="AQ38" s="197"/>
    </row>
    <row r="39" spans="4:43" s="149" customFormat="1">
      <c r="D39" s="197" t="s">
        <v>519</v>
      </c>
      <c r="E39" s="197"/>
      <c r="F39" s="197"/>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197"/>
      <c r="AJ39" s="197"/>
      <c r="AK39" s="197"/>
      <c r="AL39" s="197"/>
      <c r="AM39" s="197"/>
      <c r="AN39" s="197"/>
      <c r="AO39" s="197"/>
      <c r="AP39" s="197"/>
      <c r="AQ39" s="197"/>
    </row>
    <row r="40" spans="4:43" s="149" customFormat="1">
      <c r="AJ40" s="340"/>
      <c r="AK40" s="340"/>
      <c r="AL40" s="340"/>
      <c r="AM40" s="340"/>
      <c r="AN40" s="340"/>
      <c r="AO40" s="340"/>
      <c r="AP40" s="340"/>
    </row>
    <row r="41" spans="4:43" s="149" customFormat="1">
      <c r="E41" s="149" t="s">
        <v>31</v>
      </c>
      <c r="G41" s="149" t="s">
        <v>66</v>
      </c>
      <c r="I41" s="143"/>
      <c r="AJ41" s="340">
        <f>Input!AJ$51</f>
        <v>3.8679999999999999E-2</v>
      </c>
      <c r="AK41" s="340">
        <f>Input!AK$51</f>
        <v>3.8679999999999999E-2</v>
      </c>
      <c r="AL41" s="340">
        <f>Input!AL$51</f>
        <v>3.8679999999999999E-2</v>
      </c>
      <c r="AM41" s="340">
        <f>Input!AM$51</f>
        <v>3.8679999999999999E-2</v>
      </c>
      <c r="AN41" s="340">
        <f>Input!AN$51</f>
        <v>3.8679999999999999E-2</v>
      </c>
      <c r="AO41" s="340">
        <f>Input!AO$51</f>
        <v>3.8679999999999999E-2</v>
      </c>
      <c r="AP41" s="304">
        <f>Input!AP$51</f>
        <v>3.8679999999999999E-2</v>
      </c>
    </row>
    <row r="42" spans="4:43" s="149" customFormat="1">
      <c r="E42" s="149" t="s">
        <v>62</v>
      </c>
      <c r="G42" s="149" t="s">
        <v>46</v>
      </c>
      <c r="AJ42" s="163">
        <f t="shared" ref="AJ42:AP42" si="4">1 + AJ41</f>
        <v>1.03868</v>
      </c>
      <c r="AK42" s="163">
        <f t="shared" si="4"/>
        <v>1.03868</v>
      </c>
      <c r="AL42" s="163">
        <f t="shared" si="4"/>
        <v>1.03868</v>
      </c>
      <c r="AM42" s="163">
        <f t="shared" si="4"/>
        <v>1.03868</v>
      </c>
      <c r="AN42" s="163">
        <f t="shared" si="4"/>
        <v>1.03868</v>
      </c>
      <c r="AO42" s="163">
        <f t="shared" si="4"/>
        <v>1.03868</v>
      </c>
      <c r="AP42" s="379">
        <f t="shared" si="4"/>
        <v>1.03868</v>
      </c>
    </row>
    <row r="43" spans="4:43" s="149" customFormat="1">
      <c r="E43" s="149" t="s">
        <v>520</v>
      </c>
      <c r="G43" s="149" t="s">
        <v>46</v>
      </c>
      <c r="AJ43" s="380">
        <f ca="1">IF(AJ$7 &lt; $I$7, PRODUCT(OFFSET(AJ42, 0, 0, 1, YEAR($I$7) - YEAR(AJ$7))), 0)</f>
        <v>0</v>
      </c>
      <c r="AK43" s="380">
        <f t="shared" ref="AK43:AP43" ca="1" si="5">IF(AK$7 &lt; $I$7, PRODUCT(OFFSET(AK42, 0, 0, 1, YEAR($I$7) - YEAR(AK$7))), 0)</f>
        <v>0</v>
      </c>
      <c r="AL43" s="380">
        <f t="shared" ca="1" si="5"/>
        <v>0</v>
      </c>
      <c r="AM43" s="380">
        <f t="shared" ca="1" si="5"/>
        <v>0</v>
      </c>
      <c r="AN43" s="380">
        <f t="shared" ca="1" si="5"/>
        <v>0</v>
      </c>
      <c r="AO43" s="380">
        <f t="shared" ca="1" si="5"/>
        <v>0</v>
      </c>
      <c r="AP43" s="381">
        <f t="shared" ca="1" si="5"/>
        <v>0</v>
      </c>
    </row>
    <row r="44" spans="4:43" s="149" customFormat="1"/>
    <row r="45" spans="4:43" s="149" customFormat="1">
      <c r="E45" s="149" t="s">
        <v>182</v>
      </c>
      <c r="G45" s="149" t="s">
        <v>844</v>
      </c>
      <c r="AJ45" s="147">
        <f t="shared" ref="AJ45:AP45" si="6">AJ35</f>
        <v>0</v>
      </c>
      <c r="AK45" s="147">
        <f t="shared" si="6"/>
        <v>0</v>
      </c>
      <c r="AL45" s="147">
        <f t="shared" si="6"/>
        <v>0</v>
      </c>
      <c r="AM45" s="147">
        <f t="shared" si="6"/>
        <v>0</v>
      </c>
      <c r="AN45" s="147">
        <f t="shared" si="6"/>
        <v>0</v>
      </c>
      <c r="AO45" s="147">
        <f t="shared" si="6"/>
        <v>0</v>
      </c>
      <c r="AP45" s="107">
        <f t="shared" si="6"/>
        <v>0</v>
      </c>
    </row>
    <row r="46" spans="4:43" s="149" customFormat="1"/>
    <row r="47" spans="4:43" s="149" customFormat="1">
      <c r="E47" s="149" t="s">
        <v>114</v>
      </c>
      <c r="G47" s="149" t="s">
        <v>844</v>
      </c>
      <c r="AJ47" s="107"/>
      <c r="AK47" s="32">
        <f>IF(AK$7 = $I$7, SUMPRODUCT($AJ45:AJ45, $AJ43:AJ43), 0)</f>
        <v>0</v>
      </c>
      <c r="AL47" s="32">
        <f>IF(AL$7 = $I$7, SUMPRODUCT($AJ45:AK45, $AJ43:AK43), 0)</f>
        <v>0</v>
      </c>
      <c r="AM47" s="32">
        <f>IF(AM$7 = $I$7, SUMPRODUCT($AJ45:AL45, $AJ43:AL43), 0)</f>
        <v>0</v>
      </c>
      <c r="AN47" s="32">
        <f>IF(AN$7 = $I$7, SUMPRODUCT($AJ45:AM45, $AJ43:AM43), 0)</f>
        <v>0</v>
      </c>
      <c r="AO47" s="32">
        <f>IF(AO$7 = $I$7, SUMPRODUCT($AJ45:AN45, $AJ43:AN43), 0)</f>
        <v>0</v>
      </c>
      <c r="AP47" s="32">
        <f>IF(AP$7 = $I$7, SUMPRODUCT($AJ45:AO45, $AJ43:AO43), 0)</f>
        <v>0</v>
      </c>
      <c r="AQ47" s="32">
        <f>IF(AQ$7 = $I$7, SUMPRODUCT($AJ45:AP45, $AJ43:AP43), 0)</f>
        <v>0</v>
      </c>
    </row>
    <row r="48" spans="4:43" s="149" customFormat="1">
      <c r="AJ48" s="267"/>
      <c r="AK48" s="267"/>
      <c r="AL48" s="267"/>
      <c r="AM48" s="267"/>
      <c r="AN48" s="267"/>
      <c r="AO48" s="267"/>
      <c r="AP48" s="267"/>
      <c r="AQ48" s="267"/>
    </row>
    <row r="49" spans="2:43" s="149" customFormat="1">
      <c r="C49" s="332" t="s">
        <v>37</v>
      </c>
      <c r="D49" s="332"/>
      <c r="E49" s="332"/>
      <c r="F49" s="332"/>
      <c r="G49" s="332"/>
      <c r="H49" s="332"/>
      <c r="I49" s="332"/>
      <c r="J49" s="332"/>
      <c r="K49" s="332"/>
      <c r="L49" s="332"/>
      <c r="M49" s="332"/>
      <c r="N49" s="332"/>
      <c r="O49" s="332"/>
      <c r="P49" s="332"/>
      <c r="Q49" s="332"/>
      <c r="R49" s="332"/>
      <c r="S49" s="332"/>
      <c r="T49" s="332"/>
      <c r="U49" s="332"/>
      <c r="V49" s="332"/>
      <c r="W49" s="332"/>
      <c r="X49" s="332"/>
      <c r="Y49" s="332"/>
      <c r="Z49" s="332"/>
      <c r="AA49" s="332"/>
      <c r="AB49" s="332"/>
      <c r="AC49" s="332"/>
      <c r="AD49" s="332"/>
      <c r="AE49" s="332"/>
      <c r="AF49" s="332"/>
      <c r="AG49" s="332"/>
      <c r="AH49" s="332"/>
      <c r="AI49" s="332"/>
      <c r="AJ49" s="332"/>
      <c r="AK49" s="332"/>
      <c r="AL49" s="332"/>
      <c r="AM49" s="332"/>
      <c r="AN49" s="332"/>
      <c r="AO49" s="332"/>
      <c r="AP49" s="332"/>
      <c r="AQ49" s="332"/>
    </row>
    <row r="50" spans="2:43" s="149" customFormat="1">
      <c r="C50" s="197" t="s">
        <v>368</v>
      </c>
      <c r="D50" s="197"/>
      <c r="E50" s="197"/>
      <c r="F50" s="197"/>
      <c r="G50" s="197"/>
      <c r="H50" s="197"/>
      <c r="I50" s="197"/>
      <c r="J50" s="197"/>
      <c r="K50" s="197"/>
      <c r="L50" s="197"/>
      <c r="M50" s="197"/>
      <c r="N50" s="197"/>
      <c r="O50" s="197"/>
      <c r="P50" s="197"/>
      <c r="Q50" s="197"/>
      <c r="R50" s="197"/>
      <c r="S50" s="197"/>
      <c r="T50" s="197"/>
      <c r="U50" s="197"/>
      <c r="V50" s="197"/>
      <c r="W50" s="197"/>
      <c r="X50" s="197"/>
      <c r="Y50" s="197"/>
      <c r="Z50" s="197"/>
      <c r="AA50" s="197"/>
      <c r="AB50" s="197"/>
      <c r="AC50" s="197"/>
      <c r="AD50" s="197"/>
      <c r="AE50" s="197"/>
      <c r="AF50" s="197"/>
      <c r="AG50" s="197"/>
      <c r="AH50" s="197"/>
      <c r="AI50" s="197"/>
      <c r="AJ50" s="197"/>
      <c r="AK50" s="197"/>
      <c r="AL50" s="197"/>
      <c r="AM50" s="197"/>
      <c r="AN50" s="197"/>
      <c r="AO50" s="197"/>
      <c r="AP50" s="197"/>
      <c r="AQ50" s="197"/>
    </row>
    <row r="51" spans="2:43" s="149" customFormat="1"/>
    <row r="52" spans="2:43" s="149" customFormat="1">
      <c r="E52" s="149" t="s">
        <v>179</v>
      </c>
      <c r="G52" s="149" t="s">
        <v>844</v>
      </c>
      <c r="AJ52" s="149">
        <f t="shared" ref="AJ52:AQ52" si="7">IF(AJ$7 = $I7, AJ22, 0 )</f>
        <v>323.7309128936057</v>
      </c>
      <c r="AK52" s="149">
        <f t="shared" si="7"/>
        <v>0</v>
      </c>
      <c r="AL52" s="149">
        <f>IF(AL$7 = $I7, AL22, 0 )</f>
        <v>0</v>
      </c>
      <c r="AM52" s="149">
        <f>IF(AM$7 = $I7, AM22, 0 )</f>
        <v>0</v>
      </c>
      <c r="AN52" s="149">
        <f t="shared" si="7"/>
        <v>0</v>
      </c>
      <c r="AO52" s="149">
        <f t="shared" si="7"/>
        <v>0</v>
      </c>
      <c r="AP52" s="149">
        <f t="shared" si="7"/>
        <v>0</v>
      </c>
      <c r="AQ52" s="149">
        <f t="shared" si="7"/>
        <v>0</v>
      </c>
    </row>
    <row r="53" spans="2:43" s="149" customFormat="1">
      <c r="E53" s="149" t="s">
        <v>114</v>
      </c>
      <c r="G53" s="149" t="s">
        <v>844</v>
      </c>
      <c r="AJ53" s="107"/>
      <c r="AK53" s="149">
        <f t="shared" ref="AK53:AQ53" si="8">AK47</f>
        <v>0</v>
      </c>
      <c r="AL53" s="149">
        <f t="shared" si="8"/>
        <v>0</v>
      </c>
      <c r="AM53" s="149">
        <f t="shared" si="8"/>
        <v>0</v>
      </c>
      <c r="AN53" s="149">
        <f t="shared" si="8"/>
        <v>0</v>
      </c>
      <c r="AO53" s="149">
        <f t="shared" si="8"/>
        <v>0</v>
      </c>
      <c r="AP53" s="149">
        <f t="shared" si="8"/>
        <v>0</v>
      </c>
      <c r="AQ53" s="149">
        <f t="shared" si="8"/>
        <v>0</v>
      </c>
    </row>
    <row r="54" spans="2:43" s="149" customFormat="1">
      <c r="E54" s="149" t="s">
        <v>367</v>
      </c>
      <c r="G54" s="149" t="s">
        <v>844</v>
      </c>
      <c r="I54" s="143"/>
      <c r="AJ54" s="167">
        <f t="shared" ref="AJ54:AQ54" si="9">SUM(AJ52:AJ53)</f>
        <v>323.7309128936057</v>
      </c>
      <c r="AK54" s="167">
        <f t="shared" si="9"/>
        <v>0</v>
      </c>
      <c r="AL54" s="167">
        <f t="shared" si="9"/>
        <v>0</v>
      </c>
      <c r="AM54" s="167">
        <f t="shared" si="9"/>
        <v>0</v>
      </c>
      <c r="AN54" s="167">
        <f t="shared" si="9"/>
        <v>0</v>
      </c>
      <c r="AO54" s="167">
        <f t="shared" si="9"/>
        <v>0</v>
      </c>
      <c r="AP54" s="167">
        <f t="shared" si="9"/>
        <v>0</v>
      </c>
      <c r="AQ54" s="167">
        <f t="shared" si="9"/>
        <v>0</v>
      </c>
    </row>
    <row r="55" spans="2:43" s="149" customFormat="1">
      <c r="AJ55" s="152"/>
      <c r="AK55" s="152"/>
      <c r="AL55" s="152"/>
      <c r="AM55" s="152"/>
      <c r="AN55" s="152"/>
      <c r="AO55" s="152"/>
      <c r="AP55" s="152"/>
      <c r="AQ55" s="152"/>
    </row>
    <row r="56" spans="2:43" s="149" customFormat="1">
      <c r="C56" s="332" t="s">
        <v>60</v>
      </c>
      <c r="D56" s="332"/>
      <c r="E56" s="332"/>
      <c r="F56" s="332"/>
      <c r="G56" s="332"/>
      <c r="H56" s="332"/>
      <c r="I56" s="332"/>
      <c r="J56" s="332"/>
      <c r="K56" s="332"/>
      <c r="L56" s="332"/>
      <c r="M56" s="332"/>
      <c r="N56" s="332"/>
      <c r="O56" s="332"/>
      <c r="P56" s="332"/>
      <c r="Q56" s="332"/>
      <c r="R56" s="332"/>
      <c r="S56" s="332"/>
      <c r="T56" s="332"/>
      <c r="U56" s="332"/>
      <c r="V56" s="332"/>
      <c r="W56" s="332"/>
      <c r="X56" s="332"/>
      <c r="Y56" s="332"/>
      <c r="Z56" s="332"/>
      <c r="AA56" s="332"/>
      <c r="AB56" s="332"/>
      <c r="AC56" s="332"/>
      <c r="AD56" s="332"/>
      <c r="AE56" s="332"/>
      <c r="AF56" s="332"/>
      <c r="AG56" s="332"/>
      <c r="AH56" s="332"/>
      <c r="AI56" s="332"/>
      <c r="AJ56" s="382"/>
      <c r="AK56" s="382"/>
      <c r="AL56" s="382"/>
      <c r="AM56" s="382"/>
      <c r="AN56" s="382"/>
      <c r="AO56" s="382"/>
      <c r="AP56" s="382"/>
      <c r="AQ56" s="382"/>
    </row>
    <row r="57" spans="2:43" s="149" customFormat="1">
      <c r="C57" s="197" t="s">
        <v>370</v>
      </c>
      <c r="D57" s="197"/>
      <c r="E57" s="197"/>
      <c r="F57" s="197"/>
      <c r="G57" s="197"/>
      <c r="H57" s="197"/>
      <c r="I57" s="197"/>
      <c r="J57" s="197"/>
      <c r="K57" s="197"/>
      <c r="L57" s="197"/>
      <c r="M57" s="197"/>
      <c r="N57" s="197"/>
      <c r="O57" s="197"/>
      <c r="P57" s="197"/>
      <c r="Q57" s="197"/>
      <c r="R57" s="197"/>
      <c r="S57" s="197"/>
      <c r="T57" s="197"/>
      <c r="U57" s="197"/>
      <c r="V57" s="197"/>
      <c r="W57" s="197"/>
      <c r="X57" s="197"/>
      <c r="Y57" s="197"/>
      <c r="Z57" s="197"/>
      <c r="AA57" s="197"/>
      <c r="AB57" s="197"/>
      <c r="AC57" s="197"/>
      <c r="AD57" s="197"/>
      <c r="AE57" s="197"/>
      <c r="AF57" s="197"/>
      <c r="AG57" s="197"/>
      <c r="AH57" s="197"/>
      <c r="AI57" s="197"/>
      <c r="AJ57" s="197"/>
      <c r="AK57" s="197"/>
      <c r="AL57" s="197"/>
      <c r="AM57" s="197"/>
      <c r="AN57" s="197"/>
      <c r="AO57" s="197"/>
      <c r="AP57" s="197"/>
      <c r="AQ57" s="197"/>
    </row>
    <row r="58" spans="2:43" s="149" customFormat="1">
      <c r="AJ58" s="152"/>
      <c r="AK58" s="152"/>
      <c r="AL58" s="152"/>
      <c r="AM58" s="152"/>
      <c r="AN58" s="152"/>
      <c r="AO58" s="152"/>
      <c r="AP58" s="152"/>
      <c r="AQ58" s="152"/>
    </row>
    <row r="59" spans="2:43" s="149" customFormat="1">
      <c r="E59" s="149" t="s">
        <v>180</v>
      </c>
      <c r="G59" s="149" t="s">
        <v>844</v>
      </c>
      <c r="AJ59" s="107"/>
      <c r="AK59" s="152">
        <f t="shared" ref="AK59:AQ59" si="10">AK54</f>
        <v>0</v>
      </c>
      <c r="AL59" s="152">
        <f>AL54</f>
        <v>0</v>
      </c>
      <c r="AM59" s="152">
        <f t="shared" si="10"/>
        <v>0</v>
      </c>
      <c r="AN59" s="152">
        <f t="shared" si="10"/>
        <v>0</v>
      </c>
      <c r="AO59" s="152">
        <f t="shared" si="10"/>
        <v>0</v>
      </c>
      <c r="AP59" s="152">
        <f t="shared" si="10"/>
        <v>0</v>
      </c>
      <c r="AQ59" s="152">
        <f t="shared" si="10"/>
        <v>0</v>
      </c>
    </row>
    <row r="60" spans="2:43" s="149" customFormat="1">
      <c r="E60" s="149" t="s">
        <v>592</v>
      </c>
      <c r="G60" s="149" t="s">
        <v>844</v>
      </c>
      <c r="I60" s="143"/>
      <c r="AJ60" s="107"/>
      <c r="AK60" s="152">
        <f>IF(AK$7 = $I$7, -AK67, 0 )</f>
        <v>0</v>
      </c>
      <c r="AL60" s="152">
        <f t="shared" ref="AL60:AQ60" si="11">IF(AL$7 = $I$7, -AL67, 0 )</f>
        <v>0</v>
      </c>
      <c r="AM60" s="152">
        <f t="shared" si="11"/>
        <v>0</v>
      </c>
      <c r="AN60" s="152">
        <f t="shared" si="11"/>
        <v>0</v>
      </c>
      <c r="AO60" s="152">
        <f t="shared" si="11"/>
        <v>0</v>
      </c>
      <c r="AP60" s="152">
        <f t="shared" si="11"/>
        <v>0</v>
      </c>
      <c r="AQ60" s="152">
        <f t="shared" si="11"/>
        <v>0</v>
      </c>
    </row>
    <row r="61" spans="2:43" s="149" customFormat="1">
      <c r="E61" s="149" t="s">
        <v>60</v>
      </c>
      <c r="G61" s="149" t="s">
        <v>844</v>
      </c>
      <c r="I61" s="143"/>
      <c r="AK61" s="167">
        <f t="shared" ref="AK61:AQ61" si="12">SUM(AK59:AK60)</f>
        <v>0</v>
      </c>
      <c r="AL61" s="167">
        <f t="shared" si="12"/>
        <v>0</v>
      </c>
      <c r="AM61" s="167">
        <f t="shared" si="12"/>
        <v>0</v>
      </c>
      <c r="AN61" s="167">
        <f t="shared" si="12"/>
        <v>0</v>
      </c>
      <c r="AO61" s="167">
        <f t="shared" si="12"/>
        <v>0</v>
      </c>
      <c r="AP61" s="167">
        <f t="shared" si="12"/>
        <v>0</v>
      </c>
      <c r="AQ61" s="167">
        <f t="shared" si="12"/>
        <v>0</v>
      </c>
    </row>
    <row r="62" spans="2:43" s="149" customFormat="1">
      <c r="AJ62" s="152"/>
      <c r="AK62" s="152"/>
      <c r="AL62" s="152"/>
      <c r="AM62" s="152"/>
      <c r="AN62" s="152"/>
      <c r="AO62" s="152"/>
      <c r="AP62" s="152"/>
      <c r="AQ62" s="152"/>
    </row>
    <row r="63" spans="2:43" s="157" customFormat="1">
      <c r="B63" s="343" t="s">
        <v>10</v>
      </c>
      <c r="C63" s="343"/>
      <c r="D63" s="343"/>
      <c r="E63" s="343"/>
      <c r="F63" s="343"/>
      <c r="G63" s="343"/>
      <c r="H63" s="343"/>
      <c r="I63" s="343"/>
      <c r="J63" s="343"/>
      <c r="K63" s="343"/>
      <c r="L63" s="343"/>
      <c r="M63" s="343"/>
      <c r="N63" s="343"/>
      <c r="O63" s="343"/>
      <c r="P63" s="343"/>
      <c r="Q63" s="343"/>
      <c r="R63" s="343"/>
      <c r="S63" s="343"/>
      <c r="T63" s="343"/>
      <c r="U63" s="343"/>
      <c r="V63" s="343"/>
      <c r="W63" s="343"/>
      <c r="X63" s="343"/>
      <c r="Y63" s="343"/>
      <c r="Z63" s="343"/>
      <c r="AA63" s="343"/>
      <c r="AB63" s="343"/>
      <c r="AC63" s="343"/>
      <c r="AD63" s="343"/>
      <c r="AE63" s="343"/>
      <c r="AF63" s="343"/>
      <c r="AG63" s="343"/>
      <c r="AH63" s="343"/>
      <c r="AI63" s="343"/>
      <c r="AJ63" s="383"/>
      <c r="AK63" s="383"/>
      <c r="AL63" s="383"/>
      <c r="AM63" s="383"/>
      <c r="AN63" s="383"/>
      <c r="AO63" s="383"/>
      <c r="AP63" s="383"/>
      <c r="AQ63" s="383"/>
    </row>
    <row r="64" spans="2:43" s="157" customFormat="1">
      <c r="B64" s="197" t="s">
        <v>371</v>
      </c>
      <c r="C64" s="197"/>
      <c r="D64" s="197"/>
      <c r="E64" s="197"/>
      <c r="F64" s="197"/>
      <c r="G64" s="197"/>
      <c r="H64" s="197"/>
      <c r="I64" s="197"/>
      <c r="J64" s="197"/>
      <c r="K64" s="197"/>
      <c r="L64" s="197"/>
      <c r="M64" s="197"/>
      <c r="N64" s="197"/>
      <c r="O64" s="197"/>
      <c r="P64" s="197"/>
      <c r="Q64" s="197"/>
      <c r="R64" s="197"/>
      <c r="S64" s="197"/>
      <c r="T64" s="197"/>
      <c r="U64" s="197"/>
      <c r="V64" s="197"/>
      <c r="W64" s="197"/>
      <c r="X64" s="197"/>
      <c r="Y64" s="197"/>
      <c r="Z64" s="197"/>
      <c r="AA64" s="197"/>
      <c r="AB64" s="197"/>
      <c r="AC64" s="197"/>
      <c r="AD64" s="197"/>
      <c r="AE64" s="197"/>
      <c r="AF64" s="197"/>
      <c r="AG64" s="197"/>
      <c r="AH64" s="197"/>
      <c r="AI64" s="197"/>
      <c r="AJ64" s="197"/>
      <c r="AK64" s="197"/>
      <c r="AL64" s="197"/>
      <c r="AM64" s="197"/>
      <c r="AN64" s="197"/>
      <c r="AO64" s="197"/>
      <c r="AP64" s="197"/>
      <c r="AQ64" s="197"/>
    </row>
    <row r="65" spans="1:43" s="149" customFormat="1">
      <c r="B65" s="197" t="s">
        <v>535</v>
      </c>
      <c r="C65" s="197"/>
      <c r="D65" s="197"/>
      <c r="E65" s="197"/>
      <c r="F65" s="197"/>
      <c r="G65" s="197"/>
      <c r="H65" s="197"/>
      <c r="I65" s="197"/>
      <c r="J65" s="197"/>
      <c r="K65" s="197"/>
      <c r="L65" s="197"/>
      <c r="M65" s="197"/>
      <c r="N65" s="197"/>
      <c r="O65" s="197"/>
      <c r="P65" s="197"/>
      <c r="Q65" s="197"/>
      <c r="R65" s="197"/>
      <c r="S65" s="197"/>
      <c r="T65" s="197"/>
      <c r="U65" s="197"/>
      <c r="V65" s="197"/>
      <c r="W65" s="197"/>
      <c r="X65" s="197"/>
      <c r="Y65" s="197"/>
      <c r="Z65" s="197"/>
      <c r="AA65" s="197"/>
      <c r="AB65" s="197"/>
      <c r="AC65" s="197"/>
      <c r="AD65" s="197"/>
      <c r="AE65" s="197"/>
      <c r="AF65" s="197"/>
      <c r="AG65" s="197"/>
      <c r="AH65" s="197"/>
      <c r="AI65" s="197"/>
      <c r="AJ65" s="197"/>
      <c r="AK65" s="197"/>
      <c r="AL65" s="197"/>
      <c r="AM65" s="197"/>
      <c r="AN65" s="197"/>
      <c r="AO65" s="197"/>
      <c r="AP65" s="197"/>
      <c r="AQ65" s="197"/>
    </row>
    <row r="66" spans="1:43" s="157" customFormat="1"/>
    <row r="67" spans="1:43" s="157" customFormat="1">
      <c r="E67" s="157" t="s">
        <v>536</v>
      </c>
      <c r="G67" s="195" t="s">
        <v>844</v>
      </c>
      <c r="I67" s="195"/>
      <c r="AJ67" s="157">
        <f ca="1">LiveResults!F53</f>
        <v>323.7309128936057</v>
      </c>
      <c r="AK67" s="157">
        <f ca="1">LiveResults!G53</f>
        <v>332.40781423117181</v>
      </c>
      <c r="AL67" s="157">
        <f ca="1">LiveResults!H53</f>
        <v>341.31505459405861</v>
      </c>
      <c r="AM67" s="157">
        <f ca="1">LiveResults!I53</f>
        <v>350.45998981954432</v>
      </c>
      <c r="AN67" s="157">
        <f ca="1">LiveResults!J53</f>
        <v>359.81208446899649</v>
      </c>
      <c r="AO67" s="157">
        <f ca="1">LiveResults!K53</f>
        <v>369.46987031601776</v>
      </c>
      <c r="AP67" s="157">
        <f ca="1">LiveResults!L53</f>
        <v>379.39211558636464</v>
      </c>
      <c r="AQ67" s="157">
        <f ca="1">LiveResults!M53</f>
        <v>389.58313512585039</v>
      </c>
    </row>
    <row r="68" spans="1:43" s="157" customFormat="1">
      <c r="E68" s="157" t="s">
        <v>60</v>
      </c>
      <c r="G68" s="195" t="s">
        <v>844</v>
      </c>
      <c r="I68" s="195"/>
      <c r="AJ68" s="42"/>
      <c r="AK68" s="157">
        <f ca="1">IF(AK$7 = $I$7, AK61, LiveResults!G54)</f>
        <v>0</v>
      </c>
      <c r="AL68" s="157">
        <f ca="1">IF(AL$7 = $I$7, AL61, LiveResults!H54)</f>
        <v>0</v>
      </c>
      <c r="AM68" s="157">
        <f ca="1">IF(AM$7 = $I$7, AM61, LiveResults!I54)</f>
        <v>0</v>
      </c>
      <c r="AN68" s="157">
        <f ca="1">IF(AN$7 = $I$7, AN61, LiveResults!J54)</f>
        <v>0</v>
      </c>
      <c r="AO68" s="157">
        <f ca="1">IF(AO$7 = $I$7, AO61, LiveResults!K54)</f>
        <v>0</v>
      </c>
      <c r="AP68" s="157">
        <f ca="1">IF(AP$7 = $I$7, AP61, LiveResults!L54)</f>
        <v>0</v>
      </c>
      <c r="AQ68" s="157">
        <f ca="1">IF(AQ$7 = $I$7, AQ61, LiveResults!M54)</f>
        <v>0</v>
      </c>
    </row>
    <row r="69" spans="1:43" s="157" customFormat="1">
      <c r="E69" s="157" t="s">
        <v>45</v>
      </c>
      <c r="G69" s="195" t="s">
        <v>844</v>
      </c>
      <c r="I69" s="195"/>
      <c r="AJ69" s="167">
        <f t="shared" ref="AJ69:AQ69" ca="1" si="13">SUM(AJ67:AJ68)</f>
        <v>323.7309128936057</v>
      </c>
      <c r="AK69" s="167">
        <f t="shared" ca="1" si="13"/>
        <v>332.40781423117181</v>
      </c>
      <c r="AL69" s="167">
        <f t="shared" ca="1" si="13"/>
        <v>341.31505459405861</v>
      </c>
      <c r="AM69" s="167">
        <f t="shared" ca="1" si="13"/>
        <v>350.45998981954432</v>
      </c>
      <c r="AN69" s="167">
        <f t="shared" ca="1" si="13"/>
        <v>359.81208446899649</v>
      </c>
      <c r="AO69" s="167">
        <f t="shared" ca="1" si="13"/>
        <v>369.46987031601776</v>
      </c>
      <c r="AP69" s="167">
        <f t="shared" ca="1" si="13"/>
        <v>379.39211558636464</v>
      </c>
      <c r="AQ69" s="167">
        <f t="shared" ca="1" si="13"/>
        <v>389.58313512585039</v>
      </c>
    </row>
    <row r="70" spans="1:43" s="157" customFormat="1">
      <c r="E70" s="157" t="s">
        <v>221</v>
      </c>
      <c r="G70" s="195" t="s">
        <v>844</v>
      </c>
      <c r="I70" s="195"/>
      <c r="AJ70" s="157">
        <f>DARTs!AJ67</f>
        <v>6.2777070121585181</v>
      </c>
      <c r="AK70" s="157">
        <f>DARTs!AK67</f>
        <v>5.4998776564961647</v>
      </c>
      <c r="AL70" s="157">
        <f>DARTs!AL67</f>
        <v>4.5187519694192337</v>
      </c>
      <c r="AM70" s="157">
        <f>DARTs!AM67</f>
        <v>3.6541326982796019</v>
      </c>
      <c r="AN70" s="157">
        <f>DARTs!AN67</f>
        <v>2.9168245187739217</v>
      </c>
      <c r="AO70" s="157">
        <f>DARTs!AO67</f>
        <v>2.3844989542891049</v>
      </c>
      <c r="AP70" s="157">
        <f>DARTs!AP67</f>
        <v>2.2608632488224418</v>
      </c>
      <c r="AQ70" s="157">
        <f>DARTs!AQ67</f>
        <v>2.2668838721306548</v>
      </c>
    </row>
    <row r="71" spans="1:43" s="157" customFormat="1">
      <c r="E71" s="157" t="s">
        <v>593</v>
      </c>
      <c r="G71" s="195" t="s">
        <v>844</v>
      </c>
      <c r="I71" s="195"/>
      <c r="AJ71" s="34">
        <f ca="1">SUM(AJ69:AJ70)</f>
        <v>330.00861990576425</v>
      </c>
      <c r="AK71" s="34">
        <f t="shared" ref="AK71:AQ71" ca="1" si="14">SUM(AK69:AK70)</f>
        <v>337.90769188766797</v>
      </c>
      <c r="AL71" s="34">
        <f t="shared" ca="1" si="14"/>
        <v>345.83380656347782</v>
      </c>
      <c r="AM71" s="34">
        <f t="shared" ca="1" si="14"/>
        <v>354.11412251782394</v>
      </c>
      <c r="AN71" s="34">
        <f t="shared" ca="1" si="14"/>
        <v>362.72890898777041</v>
      </c>
      <c r="AO71" s="34">
        <f t="shared" ca="1" si="14"/>
        <v>371.85436927030685</v>
      </c>
      <c r="AP71" s="34">
        <f t="shared" ca="1" si="14"/>
        <v>381.65297883518707</v>
      </c>
      <c r="AQ71" s="34">
        <f t="shared" ca="1" si="14"/>
        <v>391.85001899798107</v>
      </c>
    </row>
    <row r="72" spans="1:43" s="157" customFormat="1"/>
    <row r="73" spans="1:43">
      <c r="B73" s="334" t="s">
        <v>53</v>
      </c>
      <c r="C73" s="334"/>
      <c r="D73" s="334"/>
      <c r="E73" s="334"/>
      <c r="F73" s="334"/>
      <c r="G73" s="334"/>
      <c r="H73" s="334"/>
      <c r="I73" s="334"/>
      <c r="J73" s="334"/>
      <c r="K73" s="334"/>
      <c r="L73" s="334"/>
      <c r="M73" s="334"/>
      <c r="N73" s="334"/>
      <c r="O73" s="334"/>
      <c r="P73" s="334"/>
      <c r="Q73" s="334"/>
      <c r="R73" s="334"/>
      <c r="S73" s="334"/>
      <c r="T73" s="334"/>
      <c r="U73" s="334"/>
      <c r="V73" s="334"/>
      <c r="W73" s="334"/>
      <c r="X73" s="334"/>
      <c r="Y73" s="334"/>
      <c r="Z73" s="334"/>
      <c r="AA73" s="334"/>
      <c r="AB73" s="334"/>
      <c r="AC73" s="334"/>
      <c r="AD73" s="334"/>
      <c r="AE73" s="334"/>
      <c r="AF73" s="334"/>
      <c r="AG73" s="334"/>
      <c r="AH73" s="334"/>
      <c r="AI73" s="334"/>
      <c r="AJ73" s="334"/>
      <c r="AK73" s="334"/>
      <c r="AL73" s="334"/>
      <c r="AM73" s="334"/>
      <c r="AN73" s="334"/>
      <c r="AO73" s="334"/>
      <c r="AP73" s="334"/>
      <c r="AQ73" s="334"/>
    </row>
    <row r="74" spans="1:43"/>
    <row r="75" spans="1:43">
      <c r="A75" s="252"/>
      <c r="B75" s="195" t="s">
        <v>84</v>
      </c>
    </row>
    <row r="76" spans="1:43">
      <c r="A76" s="252"/>
      <c r="E76" s="195" t="s">
        <v>504</v>
      </c>
      <c r="AJ76" s="269" t="b">
        <f>AJ13+Depn!AJ15=SUM(TIM!AJ70:AJ72)</f>
        <v>1</v>
      </c>
      <c r="AK76" s="269" t="b">
        <f>AK13+Depn!AK15=SUM(TIM!AK70:AK72)</f>
        <v>1</v>
      </c>
      <c r="AL76" s="269" t="b">
        <f>AL13+Depn!AL15=SUM(TIM!AL70:AL72)</f>
        <v>1</v>
      </c>
      <c r="AM76" s="269" t="b">
        <f>AM13+Depn!AM15=SUM(TIM!AM70:AM72)</f>
        <v>1</v>
      </c>
      <c r="AN76" s="269" t="b">
        <f>AN13+Depn!AN15=SUM(TIM!AN70:AN72)</f>
        <v>1</v>
      </c>
      <c r="AO76" s="269" t="b">
        <f>AO13+Depn!AO15=SUM(TIM!AO70:AO72)</f>
        <v>1</v>
      </c>
      <c r="AP76" s="269" t="b">
        <f>AP13+Depn!AP15=SUM(TIM!AP70:AP72)</f>
        <v>1</v>
      </c>
      <c r="AQ76" s="269" t="b">
        <f>AQ13+Depn!AQ15=SUM(TIM!AQ70:AQ72)</f>
        <v>1</v>
      </c>
    </row>
    <row r="77" spans="1:43">
      <c r="A77" s="252"/>
    </row>
    <row r="78" spans="1:43">
      <c r="A78" s="252"/>
    </row>
    <row r="79" spans="1:43"/>
    <row r="80" spans="1:43" hidden="1"/>
    <row r="81" hidden="1"/>
    <row r="82" hidden="1"/>
    <row r="83"/>
  </sheetData>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cellWatches>
    <cellWatch r="AJ13"/>
    <cellWatch r="AK13"/>
    <cellWatch r="AL13"/>
    <cellWatch r="AM13"/>
    <cellWatch r="AN13"/>
    <cellWatch r="AO13"/>
    <cellWatch r="AP13"/>
    <cellWatch r="AQ13"/>
    <cellWatch r="AJ14"/>
    <cellWatch r="AK14"/>
    <cellWatch r="AL14"/>
    <cellWatch r="AM14"/>
    <cellWatch r="AN14"/>
    <cellWatch r="AO14"/>
    <cellWatch r="AP14"/>
    <cellWatch r="AQ14"/>
    <cellWatch r="AJ15"/>
    <cellWatch r="AK15"/>
    <cellWatch r="AL15"/>
    <cellWatch r="AM15"/>
    <cellWatch r="AN15"/>
    <cellWatch r="AO15"/>
    <cellWatch r="AP15"/>
    <cellWatch r="AQ15"/>
    <cellWatch r="AJ16"/>
    <cellWatch r="AK16"/>
    <cellWatch r="AL16"/>
    <cellWatch r="AM16"/>
    <cellWatch r="AN16"/>
    <cellWatch r="AO16"/>
    <cellWatch r="AP16"/>
    <cellWatch r="AQ16"/>
    <cellWatch r="AJ17"/>
    <cellWatch r="AK17"/>
    <cellWatch r="AL17"/>
    <cellWatch r="AM17"/>
    <cellWatch r="AN17"/>
    <cellWatch r="AO17"/>
    <cellWatch r="AP17"/>
    <cellWatch r="AQ17"/>
    <cellWatch r="AJ18"/>
    <cellWatch r="AK18"/>
    <cellWatch r="AL18"/>
    <cellWatch r="AM18"/>
    <cellWatch r="AN18"/>
    <cellWatch r="AO18"/>
    <cellWatch r="AP18"/>
    <cellWatch r="AQ18"/>
    <cellWatch r="AJ19"/>
    <cellWatch r="AK19"/>
    <cellWatch r="AL19"/>
    <cellWatch r="AM19"/>
    <cellWatch r="AN19"/>
    <cellWatch r="AO19"/>
    <cellWatch r="AP19"/>
    <cellWatch r="AQ19"/>
    <cellWatch r="AJ20"/>
    <cellWatch r="AK20"/>
    <cellWatch r="AL20"/>
    <cellWatch r="AM20"/>
    <cellWatch r="AN20"/>
    <cellWatch r="AO20"/>
    <cellWatch r="AP20"/>
    <cellWatch r="AQ20"/>
  </cellWatches>
  <ignoredErrors>
    <ignoredError sqref="AK70:AQ70"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20161" r:id="rId4" name="Drop Down 1">
              <controlPr defaultSize="0" autoLine="0" autoPict="0">
                <anchor moveWithCells="1">
                  <from>
                    <xdr:col>4</xdr:col>
                    <xdr:colOff>581025</xdr:colOff>
                    <xdr:row>1</xdr:row>
                    <xdr:rowOff>0</xdr:rowOff>
                  </from>
                  <to>
                    <xdr:col>4</xdr:col>
                    <xdr:colOff>3019425</xdr:colOff>
                    <xdr:row>2</xdr:row>
                    <xdr:rowOff>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5">
    <tabColor theme="7" tint="0.59999389629810485"/>
  </sheetPr>
  <dimension ref="A1:AU413"/>
  <sheetViews>
    <sheetView zoomScale="85" zoomScaleNormal="85" zoomScaleSheetLayoutView="70" workbookViewId="0">
      <selection activeCell="G249" sqref="G249"/>
    </sheetView>
  </sheetViews>
  <sheetFormatPr defaultColWidth="9" defaultRowHeight="15" customHeight="1" zeroHeight="1"/>
  <cols>
    <col min="1" max="3" width="1.625" style="149" customWidth="1"/>
    <col min="4" max="4" width="4.125" style="149" customWidth="1"/>
    <col min="5" max="5" width="45.125" style="149" customWidth="1"/>
    <col min="6" max="6" width="5" style="149" customWidth="1"/>
    <col min="7" max="7" width="12.625" style="149" customWidth="1"/>
    <col min="8" max="8" width="1.625" style="149" customWidth="1"/>
    <col min="9" max="9" width="10.625" style="149" customWidth="1"/>
    <col min="10" max="10" width="1.625" style="149" customWidth="1"/>
    <col min="11" max="35" width="10.625" style="149" hidden="1" customWidth="1"/>
    <col min="36" max="42" width="10.625" style="149" customWidth="1"/>
    <col min="43" max="43" width="11.125" style="149" customWidth="1"/>
    <col min="44" max="44" width="1.625" style="149" customWidth="1"/>
    <col min="45" max="47" width="9" style="149" customWidth="1"/>
    <col min="48" max="16384" width="9" style="149"/>
  </cols>
  <sheetData>
    <row r="1" spans="1:44" s="10" customFormat="1">
      <c r="A1" s="349" t="s">
        <v>347</v>
      </c>
      <c r="J1" s="350"/>
      <c r="K1" s="350"/>
      <c r="L1" s="350"/>
      <c r="M1" s="350"/>
      <c r="N1" s="350"/>
      <c r="O1" s="350"/>
      <c r="P1" s="350"/>
      <c r="Q1" s="350"/>
      <c r="R1" s="350"/>
      <c r="S1" s="350"/>
      <c r="T1" s="350"/>
      <c r="U1" s="350"/>
      <c r="V1" s="350"/>
      <c r="W1" s="350"/>
      <c r="X1" s="350"/>
      <c r="AJ1" s="355" t="s">
        <v>639</v>
      </c>
      <c r="AR1" s="351"/>
    </row>
    <row r="2" spans="1:44" s="10" customFormat="1" ht="15" customHeight="1">
      <c r="B2" s="10" t="str">
        <f>UserInterface!G24</f>
        <v>SPN</v>
      </c>
    </row>
    <row r="3" spans="1:44" s="10" customFormat="1" ht="15" customHeight="1"/>
    <row r="4" spans="1:44" s="10" customFormat="1" ht="15" customHeight="1"/>
    <row r="5" spans="1:44" s="10" customFormat="1" ht="15" customHeight="1"/>
    <row r="6" spans="1:44" s="10" customFormat="1" ht="15" customHeight="1">
      <c r="E6" s="9" t="s">
        <v>44</v>
      </c>
      <c r="F6" s="9"/>
      <c r="G6" s="9" t="s">
        <v>40</v>
      </c>
      <c r="H6" s="9"/>
      <c r="I6" s="9" t="s">
        <v>43</v>
      </c>
      <c r="AJ6" s="9" t="s">
        <v>41</v>
      </c>
    </row>
    <row r="7" spans="1:44" s="10" customFormat="1" ht="15" customHeight="1">
      <c r="E7" s="10" t="s">
        <v>236</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row>
    <row r="8" spans="1:44" ht="15" customHeight="1"/>
    <row r="9" spans="1:44" s="445" customFormat="1" ht="27" customHeight="1">
      <c r="B9" s="35"/>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row>
    <row r="10" spans="1:44" ht="30.75" customHeight="1">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row>
    <row r="11" spans="1:44" ht="15" customHeight="1">
      <c r="B11" s="157"/>
      <c r="C11" s="157"/>
      <c r="D11" s="157"/>
      <c r="E11" s="35"/>
      <c r="F11" s="157"/>
      <c r="G11" s="157"/>
      <c r="H11" s="157"/>
      <c r="I11" s="157"/>
      <c r="J11" s="33"/>
      <c r="K11" s="33"/>
      <c r="L11" s="33"/>
      <c r="M11" s="33"/>
      <c r="N11" s="33"/>
      <c r="O11" s="33"/>
      <c r="P11" s="33"/>
      <c r="Q11" s="33"/>
      <c r="R11" s="33"/>
      <c r="S11" s="33"/>
      <c r="T11" s="33"/>
      <c r="U11" s="33"/>
      <c r="V11" s="33"/>
      <c r="W11" s="33"/>
      <c r="X11" s="33"/>
      <c r="Y11" s="157"/>
      <c r="Z11" s="157"/>
      <c r="AA11" s="157"/>
      <c r="AB11" s="157"/>
      <c r="AC11" s="157"/>
      <c r="AD11" s="157"/>
      <c r="AE11" s="157"/>
      <c r="AF11" s="157"/>
      <c r="AG11" s="157"/>
      <c r="AH11" s="157"/>
      <c r="AI11" s="157"/>
      <c r="AJ11" s="157"/>
      <c r="AK11" s="157"/>
      <c r="AL11" s="157"/>
      <c r="AM11" s="157"/>
      <c r="AN11" s="157"/>
      <c r="AO11" s="157"/>
      <c r="AP11" s="157"/>
      <c r="AQ11" s="157"/>
    </row>
    <row r="12" spans="1:44" ht="15" customHeight="1">
      <c r="B12" s="157"/>
      <c r="C12" s="157"/>
      <c r="D12" s="157"/>
      <c r="E12" s="35"/>
      <c r="F12" s="157"/>
      <c r="G12" s="157"/>
      <c r="H12" s="157"/>
      <c r="I12" s="157"/>
      <c r="J12" s="33"/>
      <c r="K12" s="33"/>
      <c r="L12" s="33"/>
      <c r="M12" s="33"/>
      <c r="N12" s="33"/>
      <c r="O12" s="33"/>
      <c r="P12" s="33"/>
      <c r="Q12" s="33"/>
      <c r="R12" s="33"/>
      <c r="S12" s="33"/>
      <c r="T12" s="33"/>
      <c r="U12" s="33"/>
      <c r="V12" s="33"/>
      <c r="W12" s="33"/>
      <c r="X12" s="33"/>
      <c r="Y12" s="157"/>
      <c r="Z12" s="157"/>
      <c r="AA12" s="157"/>
      <c r="AB12" s="157"/>
      <c r="AC12" s="157"/>
      <c r="AD12" s="157"/>
      <c r="AE12" s="157"/>
      <c r="AF12" s="157"/>
      <c r="AG12" s="157"/>
      <c r="AH12" s="157"/>
      <c r="AI12" s="157"/>
      <c r="AJ12" s="157"/>
      <c r="AK12" s="157"/>
      <c r="AL12" s="157"/>
      <c r="AM12" s="157"/>
      <c r="AN12" s="157"/>
      <c r="AO12" s="157"/>
      <c r="AP12" s="157"/>
      <c r="AQ12" s="157"/>
    </row>
    <row r="13" spans="1:44" s="157" customFormat="1" ht="15" customHeight="1">
      <c r="E13" s="35"/>
      <c r="J13" s="33"/>
      <c r="K13" s="33"/>
      <c r="L13" s="33"/>
      <c r="M13" s="33"/>
      <c r="N13" s="33"/>
      <c r="O13" s="33"/>
      <c r="P13" s="33"/>
      <c r="Q13" s="33"/>
      <c r="R13" s="33"/>
      <c r="S13" s="33"/>
      <c r="T13" s="33"/>
      <c r="U13" s="33"/>
      <c r="V13" s="33"/>
      <c r="W13" s="33"/>
      <c r="X13" s="33"/>
    </row>
    <row r="14" spans="1:44" s="157" customFormat="1" ht="15" customHeight="1">
      <c r="E14" s="35"/>
      <c r="J14" s="33"/>
      <c r="K14" s="33"/>
      <c r="L14" s="33"/>
      <c r="M14" s="33"/>
      <c r="N14" s="33"/>
      <c r="O14" s="33"/>
      <c r="P14" s="33"/>
      <c r="Q14" s="33"/>
      <c r="R14" s="33"/>
      <c r="S14" s="33"/>
      <c r="T14" s="33"/>
      <c r="U14" s="33"/>
      <c r="V14" s="33"/>
      <c r="W14" s="33"/>
      <c r="X14" s="33"/>
    </row>
    <row r="15" spans="1:44" s="157" customFormat="1" ht="15" customHeight="1">
      <c r="E15" s="35"/>
      <c r="J15" s="33"/>
      <c r="K15" s="33"/>
      <c r="L15" s="33"/>
      <c r="M15" s="33"/>
      <c r="N15" s="33"/>
      <c r="O15" s="33"/>
      <c r="P15" s="33"/>
      <c r="Q15" s="33"/>
      <c r="R15" s="33"/>
      <c r="S15" s="33"/>
      <c r="T15" s="33"/>
      <c r="U15" s="33"/>
      <c r="V15" s="33"/>
      <c r="W15" s="33"/>
      <c r="X15" s="33"/>
      <c r="AM15" s="280"/>
    </row>
    <row r="16" spans="1:44" s="157" customFormat="1" ht="15" customHeight="1">
      <c r="E16" s="35"/>
      <c r="J16" s="33"/>
      <c r="K16" s="33"/>
      <c r="L16" s="33"/>
      <c r="M16" s="33"/>
      <c r="N16" s="33"/>
      <c r="O16" s="33"/>
      <c r="P16" s="33"/>
      <c r="Q16" s="33"/>
      <c r="R16" s="33"/>
      <c r="S16" s="33"/>
      <c r="T16" s="33"/>
      <c r="U16" s="33"/>
      <c r="V16" s="33"/>
      <c r="W16" s="33"/>
      <c r="X16" s="33"/>
    </row>
    <row r="17" spans="4:45" s="157" customFormat="1" ht="15" customHeight="1">
      <c r="E17" s="35"/>
      <c r="J17" s="33"/>
      <c r="K17" s="33"/>
      <c r="L17" s="33"/>
      <c r="M17" s="33"/>
      <c r="N17" s="33"/>
      <c r="O17" s="33"/>
      <c r="P17" s="33"/>
      <c r="Q17" s="33"/>
      <c r="R17" s="33"/>
      <c r="S17" s="33"/>
      <c r="T17" s="33"/>
      <c r="U17" s="33"/>
      <c r="V17" s="33"/>
      <c r="W17" s="33"/>
      <c r="X17" s="33"/>
    </row>
    <row r="18" spans="4:45" s="157" customFormat="1" ht="15" customHeight="1">
      <c r="E18" s="35"/>
      <c r="J18" s="33"/>
      <c r="K18" s="33"/>
      <c r="L18" s="33"/>
      <c r="M18" s="33"/>
      <c r="N18" s="33"/>
      <c r="O18" s="33"/>
      <c r="P18" s="33"/>
      <c r="Q18" s="33"/>
      <c r="R18" s="33"/>
      <c r="S18" s="33"/>
      <c r="T18" s="33"/>
      <c r="U18" s="33"/>
      <c r="V18" s="33"/>
      <c r="W18" s="33"/>
      <c r="X18" s="33"/>
    </row>
    <row r="19" spans="4:45" s="157" customFormat="1" ht="15" customHeight="1">
      <c r="E19" s="157" t="s">
        <v>259</v>
      </c>
      <c r="G19" s="157" t="s">
        <v>27</v>
      </c>
      <c r="J19" s="33"/>
      <c r="K19" s="33"/>
      <c r="L19" s="33"/>
      <c r="M19" s="33"/>
      <c r="N19" s="33"/>
      <c r="O19" s="33"/>
      <c r="P19" s="33"/>
      <c r="Q19" s="33"/>
      <c r="R19" s="33"/>
      <c r="S19" s="33"/>
      <c r="T19" s="33"/>
      <c r="U19" s="33"/>
      <c r="V19" s="33"/>
      <c r="W19" s="33"/>
      <c r="X19" s="33"/>
      <c r="AJ19" s="42"/>
      <c r="AK19" s="157">
        <f>AJ36</f>
        <v>-1118.0242537774518</v>
      </c>
      <c r="AL19" s="157">
        <f t="shared" ref="AL19:AQ19" si="0">AK36</f>
        <v>-1234.4388157396638</v>
      </c>
      <c r="AM19" s="157">
        <f t="shared" si="0"/>
        <v>-1340.5985382043195</v>
      </c>
      <c r="AN19" s="157">
        <f t="shared" si="0"/>
        <v>-1294.9618762309974</v>
      </c>
      <c r="AO19" s="157">
        <f t="shared" si="0"/>
        <v>-1343.2157137837371</v>
      </c>
      <c r="AP19" s="157">
        <f t="shared" si="0"/>
        <v>-1366.5961820119931</v>
      </c>
      <c r="AQ19" s="157">
        <f t="shared" si="0"/>
        <v>-1367.8842590595375</v>
      </c>
    </row>
    <row r="20" spans="4:45" s="157" customFormat="1" ht="15" customHeight="1">
      <c r="E20" s="157" t="s">
        <v>168</v>
      </c>
      <c r="G20" s="157" t="s">
        <v>27</v>
      </c>
      <c r="J20" s="33"/>
      <c r="K20" s="33"/>
      <c r="L20" s="33"/>
      <c r="M20" s="33"/>
      <c r="N20" s="33"/>
      <c r="O20" s="33"/>
      <c r="P20" s="33"/>
      <c r="Q20" s="33"/>
      <c r="R20" s="33"/>
      <c r="S20" s="33"/>
      <c r="T20" s="33"/>
      <c r="U20" s="33"/>
      <c r="V20" s="33"/>
      <c r="W20" s="33"/>
      <c r="X20" s="33"/>
      <c r="AJ20" s="42"/>
      <c r="AK20" s="157">
        <f>AK80</f>
        <v>0</v>
      </c>
      <c r="AL20" s="157">
        <f t="shared" ref="AL20:AQ20" si="1">AL80</f>
        <v>0</v>
      </c>
      <c r="AM20" s="157">
        <f t="shared" si="1"/>
        <v>126.24319777429439</v>
      </c>
      <c r="AN20" s="157">
        <f t="shared" si="1"/>
        <v>0</v>
      </c>
      <c r="AO20" s="157">
        <f t="shared" si="1"/>
        <v>0</v>
      </c>
      <c r="AP20" s="157">
        <f t="shared" si="1"/>
        <v>0</v>
      </c>
      <c r="AQ20" s="157">
        <f t="shared" si="1"/>
        <v>0</v>
      </c>
    </row>
    <row r="21" spans="4:45" s="157" customFormat="1" ht="15" customHeight="1">
      <c r="E21" s="157" t="s">
        <v>260</v>
      </c>
      <c r="G21" s="157" t="s">
        <v>27</v>
      </c>
      <c r="J21" s="33"/>
      <c r="K21" s="33"/>
      <c r="L21" s="33"/>
      <c r="M21" s="33"/>
      <c r="N21" s="33"/>
      <c r="O21" s="33"/>
      <c r="P21" s="33"/>
      <c r="Q21" s="33"/>
      <c r="R21" s="33"/>
      <c r="S21" s="33"/>
      <c r="T21" s="33"/>
      <c r="U21" s="33"/>
      <c r="V21" s="33"/>
      <c r="W21" s="33"/>
      <c r="X21" s="33"/>
      <c r="AJ21" s="42"/>
      <c r="AK21" s="159">
        <f>SUM(AK19:AK20)</f>
        <v>-1118.0242537774518</v>
      </c>
      <c r="AL21" s="167">
        <f t="shared" ref="AL21:AQ21" si="2">SUM(AL19:AL20)</f>
        <v>-1234.4388157396638</v>
      </c>
      <c r="AM21" s="167">
        <f t="shared" si="2"/>
        <v>-1214.3553404300251</v>
      </c>
      <c r="AN21" s="167">
        <f t="shared" si="2"/>
        <v>-1294.9618762309974</v>
      </c>
      <c r="AO21" s="167">
        <f t="shared" si="2"/>
        <v>-1343.2157137837371</v>
      </c>
      <c r="AP21" s="167">
        <f t="shared" si="2"/>
        <v>-1366.5961820119931</v>
      </c>
      <c r="AQ21" s="167">
        <f t="shared" si="2"/>
        <v>-1367.8842590595375</v>
      </c>
    </row>
    <row r="22" spans="4:45" s="157" customFormat="1" ht="15" customHeight="1">
      <c r="E22" s="157" t="s">
        <v>261</v>
      </c>
      <c r="G22" s="157" t="s">
        <v>27</v>
      </c>
      <c r="J22" s="33"/>
      <c r="K22" s="33"/>
      <c r="L22" s="33"/>
      <c r="M22" s="33"/>
      <c r="N22" s="33"/>
      <c r="O22" s="33"/>
      <c r="P22" s="33"/>
      <c r="Q22" s="33"/>
      <c r="R22" s="33"/>
      <c r="S22" s="33"/>
      <c r="T22" s="33"/>
      <c r="U22" s="33"/>
      <c r="V22" s="33"/>
      <c r="W22" s="33"/>
      <c r="X22" s="33"/>
      <c r="AJ22" s="110">
        <f>-AJ61 * (AJ50)</f>
        <v>-1030.750970109631</v>
      </c>
      <c r="AK22" s="167">
        <f t="shared" ref="AK22:AQ22" si="3">SUM(AK21:AK21)</f>
        <v>-1118.0242537774518</v>
      </c>
      <c r="AL22" s="167">
        <f t="shared" si="3"/>
        <v>-1234.4388157396638</v>
      </c>
      <c r="AM22" s="167">
        <f t="shared" si="3"/>
        <v>-1214.3553404300251</v>
      </c>
      <c r="AN22" s="167">
        <f t="shared" si="3"/>
        <v>-1294.9618762309974</v>
      </c>
      <c r="AO22" s="167">
        <f t="shared" si="3"/>
        <v>-1343.2157137837371</v>
      </c>
      <c r="AP22" s="167">
        <f t="shared" si="3"/>
        <v>-1366.5961820119931</v>
      </c>
      <c r="AQ22" s="167">
        <f t="shared" si="3"/>
        <v>-1367.8842590595375</v>
      </c>
    </row>
    <row r="23" spans="4:45" s="157" customFormat="1" ht="15" customHeight="1">
      <c r="E23" s="157" t="s">
        <v>228</v>
      </c>
      <c r="G23" s="157" t="s">
        <v>27</v>
      </c>
      <c r="AJ23" s="157">
        <f>(Revenue!AJ20+AJ254+AJ271)*Input!AJ$57/Input!$AG$57+(-AJ30+'Finance&amp;Tax'!AJ30)</f>
        <v>322.88062373179702</v>
      </c>
      <c r="AK23" s="157">
        <f>(Revenue!AK20+AK254+AK271)*Input!AK$57/Input!$AG$57+(-AK30+'Finance&amp;Tax'!AK30)</f>
        <v>336.92108550925894</v>
      </c>
      <c r="AL23" s="157">
        <f>(Revenue!AL20+AL254+AL271)*Input!AL$57/Input!$AG$57+(-AL30+'Finance&amp;Tax'!AL30)</f>
        <v>361.87151703363509</v>
      </c>
      <c r="AM23" s="157">
        <f>(Revenue!AM20+AM254+AM271)*Input!AM$57/Input!$AG$57+(-AM30+'Finance&amp;Tax'!AM30)</f>
        <v>396.20829402480291</v>
      </c>
      <c r="AN23" s="157">
        <f>(Revenue!AN20+AN254+AN271)*Input!AN$57/Input!$AG$57+(-AN30+'Finance&amp;Tax'!AN30)</f>
        <v>430.52604831939419</v>
      </c>
      <c r="AO23" s="157">
        <f>(Revenue!AO20+AO254+AO271)*Input!AO$57/Input!$AG$57+(-AO30+'Finance&amp;Tax'!AO30)</f>
        <v>463.12042929029991</v>
      </c>
      <c r="AP23" s="157">
        <f>(Revenue!AP20+AP254+AP271)*Input!AP$57/Input!$AG$57+(-AP30+'Finance&amp;Tax'!AP30)</f>
        <v>498.17169841559644</v>
      </c>
      <c r="AQ23" s="157">
        <f>(Revenue!AQ20+AQ254+AQ271)*Input!AQ$57/Input!$AG$57+(-AQ30+'Finance&amp;Tax'!AQ30)</f>
        <v>538.92726936172699</v>
      </c>
    </row>
    <row r="24" spans="4:45" s="157" customFormat="1" ht="15" customHeight="1">
      <c r="E24" s="157" t="s">
        <v>720</v>
      </c>
      <c r="G24" s="157" t="s">
        <v>27</v>
      </c>
      <c r="J24" s="33"/>
      <c r="K24" s="33"/>
      <c r="L24" s="33"/>
      <c r="M24" s="33"/>
      <c r="N24" s="33"/>
      <c r="O24" s="33"/>
      <c r="P24" s="33"/>
      <c r="Q24" s="33"/>
      <c r="R24" s="33"/>
      <c r="S24" s="33"/>
      <c r="T24" s="33"/>
      <c r="U24" s="33"/>
      <c r="V24" s="33"/>
      <c r="W24" s="33"/>
      <c r="X24" s="33"/>
      <c r="AJ24" s="157">
        <f>DARTs!AJ69 * Input!AJ$57 / Input!$AG$57</f>
        <v>-27.307671467067404</v>
      </c>
      <c r="AK24" s="157">
        <f>DARTs!AK69 * Input!AK$57 / Input!$AG$57</f>
        <v>-29.033024117494872</v>
      </c>
      <c r="AL24" s="157">
        <f>DARTs!AL69 * Input!AL$57 / Input!$AG$57</f>
        <v>-31.07596179732483</v>
      </c>
      <c r="AM24" s="157">
        <f>DARTs!AM69 * Input!AM$57 / Input!$AG$57</f>
        <v>-33.077771086373311</v>
      </c>
      <c r="AN24" s="157">
        <f>DARTs!AN69 * Input!AN$57 / Input!$AG$57</f>
        <v>-35.016195674353582</v>
      </c>
      <c r="AO24" s="157">
        <f>DARTs!AO69 * Input!AO$57 / Input!$AG$57</f>
        <v>-36.781277993520753</v>
      </c>
      <c r="AP24" s="157">
        <f>DARTs!AP69 * Input!AP$57 / Input!$AG$57</f>
        <v>-38.084202688367846</v>
      </c>
      <c r="AQ24" s="157">
        <f>DARTs!AQ69 * Input!AQ$57 / Input!$AG$57</f>
        <v>-39.25659617516547</v>
      </c>
    </row>
    <row r="25" spans="4:45" ht="15" customHeight="1">
      <c r="D25" s="157"/>
      <c r="E25" s="195" t="s">
        <v>183</v>
      </c>
      <c r="G25" s="195" t="s">
        <v>27</v>
      </c>
      <c r="AI25" s="157"/>
      <c r="AJ25" s="149">
        <f>-Totex!AJ90 * Input!AJ57 / Input!$AG57</f>
        <v>-253.39828080932423</v>
      </c>
      <c r="AK25" s="149">
        <f>-Totex!AK90 * Input!AK57 / Input!$AG57</f>
        <v>-285.60609527766331</v>
      </c>
      <c r="AL25" s="149">
        <f>-Totex!AL90 * Input!AL57 / Input!$AG57</f>
        <v>-287.16730721646115</v>
      </c>
      <c r="AM25" s="149">
        <f>-Totex!AM90 * Input!AM57 / Input!$AG57</f>
        <v>-286.38251004943834</v>
      </c>
      <c r="AN25" s="149">
        <f>-Totex!AN90 * Input!AN57 / Input!$AG57</f>
        <v>-286.28479998249134</v>
      </c>
      <c r="AO25" s="149">
        <f>-Totex!AO90 * Input!AO57 / Input!$AG57</f>
        <v>-286.04582378526749</v>
      </c>
      <c r="AP25" s="149">
        <f>-Totex!AP90 * Input!AP57 / Input!$AG57</f>
        <v>-295.75934793401899</v>
      </c>
      <c r="AQ25" s="149">
        <f>-Totex!AQ90 * Input!AQ57 / Input!$AG57</f>
        <v>-297.08593950144177</v>
      </c>
      <c r="AR25" s="157"/>
      <c r="AS25" s="157"/>
    </row>
    <row r="26" spans="4:45" ht="15" customHeight="1">
      <c r="D26" s="157"/>
      <c r="E26" s="195" t="s">
        <v>184</v>
      </c>
      <c r="G26" s="195" t="s">
        <v>27</v>
      </c>
      <c r="AI26" s="157"/>
      <c r="AJ26" s="152">
        <f>-(Input!AJ235) * Input!AJ57 / Input!$AG57</f>
        <v>-36.826928094929116</v>
      </c>
      <c r="AK26" s="152">
        <f>-(Input!AK235) * Input!AK57 / Input!$AG57</f>
        <v>-38.567345378244219</v>
      </c>
      <c r="AL26" s="152">
        <f>-(Input!AL235) * Input!AL57 / Input!$AG57</f>
        <v>-41.735501243090475</v>
      </c>
      <c r="AM26" s="152">
        <f>-(Input!AM235) * Input!AM57 / Input!$AG57</f>
        <v>-43.429679855055177</v>
      </c>
      <c r="AN26" s="152">
        <f>-(Input!AN235) * Input!AN57 / Input!$AG57</f>
        <v>-44.619204567764186</v>
      </c>
      <c r="AO26" s="152">
        <f>-(Input!AO235) * Input!AO57 / Input!$AG57</f>
        <v>-47.236475360298918</v>
      </c>
      <c r="AP26" s="152">
        <f>-(Input!AP235) * Input!AP57 / Input!$AG57</f>
        <v>-46.775878450061718</v>
      </c>
      <c r="AQ26" s="152">
        <f>-(Input!AQ235) * Input!AQ57 / Input!$AG57</f>
        <v>-48.510846764266333</v>
      </c>
      <c r="AR26" s="157"/>
      <c r="AS26" s="157"/>
    </row>
    <row r="27" spans="4:45" ht="15" customHeight="1">
      <c r="D27" s="157"/>
      <c r="E27" s="157" t="s">
        <v>177</v>
      </c>
      <c r="F27" s="152"/>
      <c r="G27" s="195" t="s">
        <v>27</v>
      </c>
      <c r="H27" s="152"/>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f t="shared" ref="AJ27:AQ27" si="4">-AJ155</f>
        <v>-29.2438153991741</v>
      </c>
      <c r="AK27" s="152">
        <f t="shared" si="4"/>
        <v>-31.006487313887746</v>
      </c>
      <c r="AL27" s="152">
        <f t="shared" si="4"/>
        <v>-32.694182242346834</v>
      </c>
      <c r="AM27" s="152">
        <f t="shared" si="4"/>
        <v>-34.268167923256776</v>
      </c>
      <c r="AN27" s="152">
        <f t="shared" si="4"/>
        <v>-35.92809643273916</v>
      </c>
      <c r="AO27" s="152">
        <f t="shared" si="4"/>
        <v>-37.517783346008159</v>
      </c>
      <c r="AP27" s="152">
        <f t="shared" si="4"/>
        <v>-39.17783753141525</v>
      </c>
      <c r="AQ27" s="152">
        <f t="shared" si="4"/>
        <v>-40.848006472333836</v>
      </c>
      <c r="AR27" s="157"/>
      <c r="AS27" s="157"/>
    </row>
    <row r="28" spans="4:45" ht="15" customHeight="1">
      <c r="D28" s="157"/>
      <c r="E28" s="157" t="s">
        <v>709</v>
      </c>
      <c r="F28" s="152"/>
      <c r="G28" s="195" t="s">
        <v>27</v>
      </c>
      <c r="H28" s="152"/>
      <c r="I28" s="152"/>
      <c r="J28" s="152"/>
      <c r="K28" s="152"/>
      <c r="L28" s="152"/>
      <c r="M28" s="152"/>
      <c r="N28" s="152"/>
      <c r="O28" s="152"/>
      <c r="P28" s="152"/>
      <c r="Q28" s="152"/>
      <c r="R28" s="152"/>
      <c r="S28" s="152"/>
      <c r="T28" s="152"/>
      <c r="U28" s="152"/>
      <c r="V28" s="152"/>
      <c r="W28" s="152"/>
      <c r="X28" s="152"/>
      <c r="Y28" s="152"/>
      <c r="Z28" s="152"/>
      <c r="AA28" s="152"/>
      <c r="AB28" s="152"/>
      <c r="AC28" s="152"/>
      <c r="AD28" s="152"/>
      <c r="AE28" s="152"/>
      <c r="AF28" s="152"/>
      <c r="AG28" s="152"/>
      <c r="AH28" s="152"/>
      <c r="AI28" s="152"/>
      <c r="AJ28" s="152">
        <f xml:space="preserve"> - ((Input!AJ332) * $AJ$61) * Input!AJ57 / Input!$AG57</f>
        <v>0</v>
      </c>
      <c r="AK28" s="152">
        <f xml:space="preserve"> - ((Input!AK332) * $AJ$61) * Input!AK57 / Input!$AG57</f>
        <v>0</v>
      </c>
      <c r="AL28" s="152">
        <f xml:space="preserve"> - ((Input!AL332) * $AJ$61) * Input!AL57 / Input!$AG57</f>
        <v>0</v>
      </c>
      <c r="AM28" s="152">
        <f xml:space="preserve"> - ((Input!AM332) * $AJ$61) * Input!AM57 / Input!$AG57</f>
        <v>0</v>
      </c>
      <c r="AN28" s="152">
        <f xml:space="preserve"> - ((Input!AN332) * $AJ$61) * Input!AN57 / Input!$AG57</f>
        <v>0</v>
      </c>
      <c r="AO28" s="152">
        <f xml:space="preserve"> - ((Input!AO332) * $AJ$61) * Input!AO57 / Input!$AG57</f>
        <v>0</v>
      </c>
      <c r="AP28" s="152">
        <f xml:space="preserve"> - ((Input!AP332) * $AJ$61) * Input!AP57 / Input!$AG57</f>
        <v>0</v>
      </c>
      <c r="AQ28" s="152">
        <f xml:space="preserve"> - ((Input!AQ332) * $AJ$61) * Input!AQ57 / Input!$AG57</f>
        <v>0</v>
      </c>
      <c r="AR28" s="157"/>
      <c r="AS28" s="157"/>
    </row>
    <row r="29" spans="4:45" ht="15" customHeight="1">
      <c r="D29" s="157"/>
      <c r="E29" s="157" t="s">
        <v>659</v>
      </c>
      <c r="F29" s="152"/>
      <c r="G29" s="195" t="s">
        <v>27</v>
      </c>
      <c r="H29" s="152"/>
      <c r="I29" s="152"/>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2"/>
      <c r="AH29" s="152"/>
      <c r="AI29" s="152"/>
      <c r="AJ29" s="152">
        <f>-(Input!AJ333) * Input!AJ57 / Input!$AG57</f>
        <v>0</v>
      </c>
      <c r="AK29" s="152">
        <f>-(Input!AK333) * Input!AK57 / Input!$AG57</f>
        <v>0</v>
      </c>
      <c r="AL29" s="152">
        <f>-(Input!AL333) * Input!AL57 / Input!$AG57</f>
        <v>0</v>
      </c>
      <c r="AM29" s="152">
        <f>-(Input!AM333) * Input!AM57 / Input!$AG57</f>
        <v>0</v>
      </c>
      <c r="AN29" s="152">
        <f>-(Input!AN333) * Input!AN57 / Input!$AG57</f>
        <v>0</v>
      </c>
      <c r="AO29" s="152">
        <f>-(Input!AO333) * Input!AO57 / Input!$AG57</f>
        <v>0</v>
      </c>
      <c r="AP29" s="152">
        <f>-(Input!AP333) * Input!AP57 / Input!$AG57</f>
        <v>0</v>
      </c>
      <c r="AQ29" s="152">
        <f>-(Input!AQ333) * Input!AQ57 / Input!$AG57</f>
        <v>0</v>
      </c>
      <c r="AR29" s="157"/>
      <c r="AS29" s="157"/>
    </row>
    <row r="30" spans="4:45" s="157" customFormat="1" ht="15" customHeight="1">
      <c r="E30" s="35" t="s">
        <v>421</v>
      </c>
      <c r="G30" s="157" t="s">
        <v>27</v>
      </c>
      <c r="J30" s="33"/>
      <c r="K30" s="33"/>
      <c r="L30" s="33"/>
      <c r="M30" s="33"/>
      <c r="N30" s="33"/>
      <c r="O30" s="33"/>
      <c r="P30" s="33"/>
      <c r="Q30" s="33"/>
      <c r="R30" s="33"/>
      <c r="S30" s="33"/>
      <c r="T30" s="33"/>
      <c r="U30" s="33"/>
      <c r="V30" s="33"/>
      <c r="W30" s="33"/>
      <c r="X30" s="33"/>
      <c r="AJ30" s="157">
        <f>-AJ145</f>
        <v>0</v>
      </c>
      <c r="AK30" s="157">
        <f t="shared" ref="AK30:AQ30" si="5">-AK145</f>
        <v>0</v>
      </c>
      <c r="AL30" s="157">
        <f t="shared" si="5"/>
        <v>0</v>
      </c>
      <c r="AM30" s="157">
        <f t="shared" si="5"/>
        <v>-6.3121598887147199</v>
      </c>
      <c r="AN30" s="157">
        <f t="shared" si="5"/>
        <v>0</v>
      </c>
      <c r="AO30" s="157">
        <f t="shared" si="5"/>
        <v>0</v>
      </c>
      <c r="AP30" s="157">
        <f t="shared" si="5"/>
        <v>0</v>
      </c>
      <c r="AQ30" s="157">
        <f t="shared" si="5"/>
        <v>0</v>
      </c>
    </row>
    <row r="31" spans="4:45" ht="15" customHeight="1">
      <c r="E31" s="195" t="s">
        <v>349</v>
      </c>
      <c r="F31" s="152"/>
      <c r="G31" s="157" t="s">
        <v>27</v>
      </c>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67">
        <f>SUM(AJ22:AJ30)</f>
        <v>-1054.6470421483289</v>
      </c>
      <c r="AK31" s="167">
        <f t="shared" ref="AK31:AQ31" si="6">SUM(AK22:AK30)</f>
        <v>-1165.3161203554828</v>
      </c>
      <c r="AL31" s="167">
        <f t="shared" si="6"/>
        <v>-1265.240251205252</v>
      </c>
      <c r="AM31" s="167">
        <f t="shared" si="6"/>
        <v>-1221.6173352080605</v>
      </c>
      <c r="AN31" s="167">
        <f t="shared" si="6"/>
        <v>-1266.2841245689515</v>
      </c>
      <c r="AO31" s="167">
        <f t="shared" si="6"/>
        <v>-1287.6766449785327</v>
      </c>
      <c r="AP31" s="167">
        <f t="shared" si="6"/>
        <v>-1288.2217502002604</v>
      </c>
      <c r="AQ31" s="167">
        <f t="shared" si="6"/>
        <v>-1254.6583786110177</v>
      </c>
      <c r="AR31" s="157"/>
      <c r="AS31" s="157"/>
    </row>
    <row r="32" spans="4:45" ht="15" customHeight="1">
      <c r="E32" s="157" t="s">
        <v>355</v>
      </c>
      <c r="F32" s="152"/>
      <c r="G32" s="157" t="s">
        <v>27</v>
      </c>
      <c r="H32" s="152"/>
      <c r="I32" s="152"/>
      <c r="J32" s="152"/>
      <c r="K32" s="152"/>
      <c r="L32" s="152"/>
      <c r="M32" s="152"/>
      <c r="N32" s="152"/>
      <c r="O32" s="152"/>
      <c r="P32" s="152"/>
      <c r="Q32" s="152"/>
      <c r="R32" s="152"/>
      <c r="S32" s="152"/>
      <c r="T32" s="152"/>
      <c r="U32" s="152"/>
      <c r="V32" s="152"/>
      <c r="W32" s="152"/>
      <c r="X32" s="152"/>
      <c r="Y32" s="152"/>
      <c r="Z32" s="152"/>
      <c r="AA32" s="152"/>
      <c r="AB32" s="152"/>
      <c r="AC32" s="152"/>
      <c r="AD32" s="152"/>
      <c r="AE32" s="152"/>
      <c r="AF32" s="152"/>
      <c r="AG32" s="152"/>
      <c r="AH32" s="152"/>
      <c r="AI32" s="152"/>
      <c r="AJ32" s="157">
        <f>AJ131</f>
        <v>-53.262085160118318</v>
      </c>
      <c r="AK32" s="157">
        <f t="shared" ref="AK32:AQ32" si="7">AK131</f>
        <v>-58.317934548405184</v>
      </c>
      <c r="AL32" s="157">
        <f t="shared" si="7"/>
        <v>-63.844545246107785</v>
      </c>
      <c r="AM32" s="157">
        <f t="shared" si="7"/>
        <v>-62.218508088838533</v>
      </c>
      <c r="AN32" s="157">
        <f t="shared" si="7"/>
        <v>-65.418437855891185</v>
      </c>
      <c r="AO32" s="157">
        <f t="shared" si="7"/>
        <v>-67.195913767064312</v>
      </c>
      <c r="AP32" s="157">
        <f t="shared" si="7"/>
        <v>-67.80650896874387</v>
      </c>
      <c r="AQ32" s="157">
        <f t="shared" si="7"/>
        <v>-66.981646965733304</v>
      </c>
      <c r="AR32" s="157"/>
      <c r="AS32" s="157"/>
    </row>
    <row r="33" spans="2:45" ht="15" customHeight="1">
      <c r="E33" s="157" t="s">
        <v>354</v>
      </c>
      <c r="F33" s="152"/>
      <c r="G33" s="157" t="s">
        <v>27</v>
      </c>
      <c r="H33" s="152"/>
      <c r="I33" s="152"/>
      <c r="J33" s="152"/>
      <c r="K33" s="152"/>
      <c r="L33" s="152"/>
      <c r="M33" s="152"/>
      <c r="N33" s="152"/>
      <c r="O33" s="152"/>
      <c r="P33" s="152"/>
      <c r="Q33" s="152"/>
      <c r="R33" s="152"/>
      <c r="S33" s="152"/>
      <c r="T33" s="152"/>
      <c r="U33" s="152"/>
      <c r="V33" s="152"/>
      <c r="W33" s="152"/>
      <c r="X33" s="152"/>
      <c r="Y33" s="152"/>
      <c r="Z33" s="152"/>
      <c r="AA33" s="152"/>
      <c r="AB33" s="152"/>
      <c r="AC33" s="152"/>
      <c r="AD33" s="152"/>
      <c r="AE33" s="152"/>
      <c r="AF33" s="152"/>
      <c r="AG33" s="152"/>
      <c r="AH33" s="152"/>
      <c r="AI33" s="152"/>
      <c r="AJ33" s="157">
        <f>AJ133</f>
        <v>-8.3002240644700258</v>
      </c>
      <c r="AK33" s="157">
        <f t="shared" ref="AK33:AQ33" si="8">AK133</f>
        <v>-9.0881684867324228</v>
      </c>
      <c r="AL33" s="157">
        <f t="shared" si="8"/>
        <v>-9.9496366452189768</v>
      </c>
      <c r="AM33" s="157">
        <f t="shared" si="8"/>
        <v>-9.6964265667201897</v>
      </c>
      <c r="AN33" s="157">
        <f t="shared" si="8"/>
        <v>-10.195164081670629</v>
      </c>
      <c r="AO33" s="157">
        <f t="shared" si="8"/>
        <v>-10.471925895965812</v>
      </c>
      <c r="AP33" s="157">
        <f t="shared" si="8"/>
        <v>-10.566995030219067</v>
      </c>
      <c r="AQ33" s="157">
        <f t="shared" si="8"/>
        <v>-10.438355697804583</v>
      </c>
      <c r="AR33" s="157"/>
      <c r="AS33" s="157"/>
    </row>
    <row r="34" spans="2:45" s="157" customFormat="1" ht="15" customHeight="1">
      <c r="E34" s="157" t="s">
        <v>181</v>
      </c>
      <c r="G34" s="157" t="s">
        <v>27</v>
      </c>
      <c r="J34" s="33"/>
      <c r="K34" s="33"/>
      <c r="L34" s="33"/>
      <c r="M34" s="33"/>
      <c r="N34" s="33"/>
      <c r="O34" s="33"/>
      <c r="P34" s="33"/>
      <c r="Q34" s="33"/>
      <c r="R34" s="33"/>
      <c r="S34" s="33"/>
      <c r="T34" s="33"/>
      <c r="U34" s="33"/>
      <c r="V34" s="33"/>
      <c r="W34" s="33"/>
      <c r="X34" s="33"/>
      <c r="AJ34" s="157">
        <f>AJ197</f>
        <v>12.842232993550278</v>
      </c>
      <c r="AK34" s="157">
        <f t="shared" ref="AK34:AQ34" si="9">AK197</f>
        <v>11.864435820956832</v>
      </c>
      <c r="AL34" s="157">
        <f>AL197</f>
        <v>13.456625840429018</v>
      </c>
      <c r="AM34" s="157">
        <f t="shared" si="9"/>
        <v>19.870628881226164</v>
      </c>
      <c r="AN34" s="157">
        <f t="shared" si="9"/>
        <v>25.270773821756904</v>
      </c>
      <c r="AO34" s="157">
        <f t="shared" si="9"/>
        <v>30.45605284376931</v>
      </c>
      <c r="AP34" s="157">
        <f t="shared" si="9"/>
        <v>37.192638414394594</v>
      </c>
      <c r="AQ34" s="157">
        <f t="shared" si="9"/>
        <v>45.179512572064809</v>
      </c>
    </row>
    <row r="35" spans="2:45" ht="15" customHeight="1">
      <c r="E35" s="157" t="s">
        <v>178</v>
      </c>
      <c r="F35" s="152"/>
      <c r="G35" s="195" t="s">
        <v>27</v>
      </c>
      <c r="H35" s="152"/>
      <c r="I35" s="157"/>
      <c r="J35" s="152"/>
      <c r="K35" s="152"/>
      <c r="L35" s="152"/>
      <c r="M35" s="152"/>
      <c r="N35" s="152"/>
      <c r="O35" s="152"/>
      <c r="P35" s="152"/>
      <c r="Q35" s="152"/>
      <c r="R35" s="152"/>
      <c r="S35" s="152"/>
      <c r="T35" s="152"/>
      <c r="U35" s="152"/>
      <c r="V35" s="152"/>
      <c r="W35" s="152"/>
      <c r="X35" s="152"/>
      <c r="Y35" s="152"/>
      <c r="Z35" s="152"/>
      <c r="AA35" s="152"/>
      <c r="AB35" s="152"/>
      <c r="AC35" s="152"/>
      <c r="AD35" s="152"/>
      <c r="AE35" s="152"/>
      <c r="AF35" s="152"/>
      <c r="AG35" s="152"/>
      <c r="AH35" s="152"/>
      <c r="AI35" s="152"/>
      <c r="AJ35" s="152">
        <f>-AJ229</f>
        <v>-14.657135398084513</v>
      </c>
      <c r="AK35" s="152">
        <f t="shared" ref="AK35:AQ35" si="10">-AK229</f>
        <v>-13.581028170000238</v>
      </c>
      <c r="AL35" s="152">
        <f t="shared" si="10"/>
        <v>-15.020730948169742</v>
      </c>
      <c r="AM35" s="152">
        <f t="shared" si="10"/>
        <v>-21.300235248604508</v>
      </c>
      <c r="AN35" s="152">
        <f t="shared" si="10"/>
        <v>-26.588761098980797</v>
      </c>
      <c r="AO35" s="152">
        <f t="shared" si="10"/>
        <v>-31.707750214199788</v>
      </c>
      <c r="AP35" s="152">
        <f t="shared" si="10"/>
        <v>-38.481643274708944</v>
      </c>
      <c r="AQ35" s="152">
        <f t="shared" si="10"/>
        <v>-46.543623480679223</v>
      </c>
      <c r="AR35" s="157"/>
      <c r="AS35" s="157"/>
    </row>
    <row r="36" spans="2:45" s="157" customFormat="1" ht="15" customHeight="1">
      <c r="E36" s="35" t="s">
        <v>255</v>
      </c>
      <c r="G36" s="157" t="s">
        <v>27</v>
      </c>
      <c r="J36" s="33"/>
      <c r="K36" s="33"/>
      <c r="L36" s="33"/>
      <c r="M36" s="33"/>
      <c r="N36" s="33"/>
      <c r="O36" s="33"/>
      <c r="P36" s="33"/>
      <c r="Q36" s="33"/>
      <c r="R36" s="33"/>
      <c r="S36" s="33"/>
      <c r="T36" s="33"/>
      <c r="U36" s="33"/>
      <c r="V36" s="33"/>
      <c r="W36" s="33"/>
      <c r="X36" s="33"/>
      <c r="AH36" s="34">
        <f t="shared" ref="AH36:AQ36" si="11">SUM(AH31:AH35)</f>
        <v>0</v>
      </c>
      <c r="AI36" s="34">
        <f t="shared" si="11"/>
        <v>0</v>
      </c>
      <c r="AJ36" s="34">
        <f t="shared" si="11"/>
        <v>-1118.0242537774518</v>
      </c>
      <c r="AK36" s="34">
        <f t="shared" si="11"/>
        <v>-1234.4388157396638</v>
      </c>
      <c r="AL36" s="34">
        <f t="shared" si="11"/>
        <v>-1340.5985382043195</v>
      </c>
      <c r="AM36" s="34">
        <f t="shared" si="11"/>
        <v>-1294.9618762309974</v>
      </c>
      <c r="AN36" s="34">
        <f t="shared" si="11"/>
        <v>-1343.2157137837371</v>
      </c>
      <c r="AO36" s="34">
        <f t="shared" si="11"/>
        <v>-1366.5961820119931</v>
      </c>
      <c r="AP36" s="34">
        <f t="shared" si="11"/>
        <v>-1367.8842590595375</v>
      </c>
      <c r="AQ36" s="34">
        <f t="shared" si="11"/>
        <v>-1333.4424921831699</v>
      </c>
    </row>
    <row r="37" spans="2:45" s="157" customFormat="1" ht="15" customHeight="1">
      <c r="E37" s="35"/>
      <c r="J37" s="33"/>
      <c r="K37" s="33"/>
      <c r="L37" s="33"/>
      <c r="M37" s="33"/>
      <c r="N37" s="33"/>
      <c r="O37" s="33"/>
      <c r="P37" s="33"/>
      <c r="Q37" s="33"/>
      <c r="R37" s="33"/>
      <c r="S37" s="33"/>
      <c r="T37" s="33"/>
      <c r="U37" s="33"/>
      <c r="V37" s="33"/>
      <c r="W37" s="33"/>
      <c r="X37" s="33"/>
    </row>
    <row r="38" spans="2:45" s="157" customFormat="1" ht="15" customHeight="1">
      <c r="C38" s="332" t="s">
        <v>251</v>
      </c>
      <c r="D38" s="332"/>
      <c r="E38" s="332"/>
      <c r="F38" s="332"/>
      <c r="G38" s="332"/>
      <c r="H38" s="332"/>
      <c r="I38" s="332"/>
      <c r="J38" s="332"/>
      <c r="K38" s="332"/>
      <c r="L38" s="332"/>
      <c r="M38" s="332"/>
      <c r="N38" s="332"/>
      <c r="O38" s="332"/>
      <c r="P38" s="332"/>
      <c r="Q38" s="332"/>
      <c r="R38" s="332"/>
      <c r="S38" s="332"/>
      <c r="T38" s="332"/>
      <c r="U38" s="332"/>
      <c r="V38" s="332"/>
      <c r="W38" s="332"/>
      <c r="X38" s="332"/>
      <c r="Y38" s="332"/>
      <c r="Z38" s="332"/>
      <c r="AA38" s="332"/>
      <c r="AB38" s="332"/>
      <c r="AC38" s="332"/>
      <c r="AD38" s="332"/>
      <c r="AE38" s="332"/>
      <c r="AF38" s="332"/>
      <c r="AG38" s="332"/>
      <c r="AH38" s="332"/>
      <c r="AI38" s="332"/>
      <c r="AJ38" s="332"/>
      <c r="AK38" s="332"/>
      <c r="AL38" s="332"/>
      <c r="AM38" s="332"/>
      <c r="AN38" s="332"/>
      <c r="AO38" s="332"/>
      <c r="AP38" s="332"/>
      <c r="AQ38" s="332"/>
    </row>
    <row r="39" spans="2:45" s="157" customFormat="1" ht="15" customHeight="1">
      <c r="J39" s="33"/>
      <c r="K39" s="33"/>
      <c r="L39" s="33"/>
      <c r="M39" s="33"/>
      <c r="N39" s="33"/>
      <c r="O39" s="33"/>
      <c r="P39" s="33"/>
      <c r="Q39" s="33"/>
      <c r="R39" s="33"/>
      <c r="S39" s="33"/>
      <c r="T39" s="33"/>
      <c r="U39" s="33"/>
      <c r="V39" s="33"/>
      <c r="W39" s="33"/>
      <c r="X39" s="33"/>
    </row>
    <row r="40" spans="2:45" s="157" customFormat="1" ht="15" customHeight="1">
      <c r="E40" s="157" t="s">
        <v>252</v>
      </c>
      <c r="G40" s="157" t="s">
        <v>27</v>
      </c>
      <c r="J40" s="33"/>
      <c r="K40" s="33"/>
      <c r="L40" s="33"/>
      <c r="M40" s="33"/>
      <c r="N40" s="33"/>
      <c r="O40" s="33"/>
      <c r="P40" s="33"/>
      <c r="Q40" s="33"/>
      <c r="R40" s="33"/>
      <c r="S40" s="33"/>
      <c r="T40" s="33"/>
      <c r="U40" s="33"/>
      <c r="V40" s="33"/>
      <c r="W40" s="33"/>
      <c r="X40" s="33"/>
      <c r="AJ40" s="42"/>
      <c r="AK40" s="157">
        <f>AK19</f>
        <v>-1118.0242537774518</v>
      </c>
      <c r="AL40" s="157">
        <f t="shared" ref="AL40:AQ40" si="12">AL19</f>
        <v>-1234.4388157396638</v>
      </c>
      <c r="AM40" s="157">
        <f t="shared" si="12"/>
        <v>-1340.5985382043195</v>
      </c>
      <c r="AN40" s="157">
        <f t="shared" si="12"/>
        <v>-1294.9618762309974</v>
      </c>
      <c r="AO40" s="157">
        <f t="shared" si="12"/>
        <v>-1343.2157137837371</v>
      </c>
      <c r="AP40" s="157">
        <f t="shared" si="12"/>
        <v>-1366.5961820119931</v>
      </c>
      <c r="AQ40" s="157">
        <f t="shared" si="12"/>
        <v>-1367.8842590595375</v>
      </c>
    </row>
    <row r="41" spans="2:45" s="157" customFormat="1" ht="15" customHeight="1">
      <c r="E41" s="157" t="s">
        <v>253</v>
      </c>
      <c r="G41" s="157" t="s">
        <v>27</v>
      </c>
      <c r="J41" s="33"/>
      <c r="K41" s="33"/>
      <c r="L41" s="33"/>
      <c r="M41" s="33"/>
      <c r="N41" s="33"/>
      <c r="O41" s="33"/>
      <c r="P41" s="33"/>
      <c r="Q41" s="33"/>
      <c r="R41" s="33"/>
      <c r="S41" s="33"/>
      <c r="T41" s="33"/>
      <c r="U41" s="33"/>
      <c r="V41" s="33"/>
      <c r="W41" s="33"/>
      <c r="X41" s="33"/>
      <c r="AJ41" s="157">
        <f>AJ22</f>
        <v>-1030.750970109631</v>
      </c>
      <c r="AK41" s="157">
        <f>AK21</f>
        <v>-1118.0242537774518</v>
      </c>
      <c r="AL41" s="157">
        <f t="shared" ref="AL41:AQ41" si="13">AL21</f>
        <v>-1234.4388157396638</v>
      </c>
      <c r="AM41" s="157">
        <f t="shared" si="13"/>
        <v>-1214.3553404300251</v>
      </c>
      <c r="AN41" s="157">
        <f t="shared" si="13"/>
        <v>-1294.9618762309974</v>
      </c>
      <c r="AO41" s="157">
        <f t="shared" si="13"/>
        <v>-1343.2157137837371</v>
      </c>
      <c r="AP41" s="157">
        <f t="shared" si="13"/>
        <v>-1366.5961820119931</v>
      </c>
      <c r="AQ41" s="157">
        <f t="shared" si="13"/>
        <v>-1367.8842590595375</v>
      </c>
    </row>
    <row r="42" spans="2:45" s="157" customFormat="1" ht="15" customHeight="1">
      <c r="J42" s="33"/>
      <c r="K42" s="33"/>
      <c r="L42" s="33"/>
      <c r="M42" s="33"/>
      <c r="N42" s="33"/>
      <c r="O42" s="33"/>
      <c r="P42" s="33"/>
      <c r="Q42" s="33"/>
      <c r="R42" s="33"/>
      <c r="S42" s="33"/>
      <c r="T42" s="33"/>
      <c r="U42" s="33"/>
      <c r="V42" s="33"/>
      <c r="W42" s="33"/>
      <c r="X42" s="33"/>
    </row>
    <row r="43" spans="2:45" s="157" customFormat="1" ht="15" customHeight="1">
      <c r="B43" s="334" t="s">
        <v>270</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4" spans="2:45" s="157" customFormat="1" ht="15" customHeight="1">
      <c r="E44" s="35"/>
      <c r="J44" s="33"/>
      <c r="K44" s="33"/>
      <c r="L44" s="33"/>
      <c r="M44" s="33"/>
      <c r="N44" s="33"/>
      <c r="O44" s="33"/>
      <c r="P44" s="33"/>
      <c r="Q44" s="33"/>
      <c r="R44" s="33"/>
      <c r="S44" s="33"/>
      <c r="T44" s="33"/>
      <c r="U44" s="33"/>
      <c r="V44" s="33"/>
      <c r="W44" s="33"/>
      <c r="X44" s="33"/>
    </row>
    <row r="45" spans="2:45" s="157" customFormat="1" ht="15" customHeight="1">
      <c r="C45" s="446"/>
      <c r="D45" s="446"/>
      <c r="E45" s="446"/>
      <c r="F45" s="446"/>
      <c r="G45" s="446"/>
      <c r="H45" s="446"/>
      <c r="I45" s="446"/>
      <c r="J45" s="446"/>
      <c r="K45" s="446"/>
      <c r="L45" s="446"/>
      <c r="M45" s="446"/>
      <c r="N45" s="446"/>
      <c r="O45" s="446"/>
      <c r="P45" s="446"/>
      <c r="Q45" s="446"/>
      <c r="R45" s="446"/>
      <c r="S45" s="446"/>
      <c r="T45" s="446"/>
      <c r="U45" s="446"/>
      <c r="V45" s="446"/>
      <c r="W45" s="446"/>
      <c r="X45" s="446"/>
      <c r="Y45" s="446"/>
      <c r="Z45" s="446"/>
      <c r="AA45" s="446"/>
      <c r="AB45" s="446"/>
      <c r="AC45" s="446"/>
      <c r="AD45" s="446"/>
      <c r="AE45" s="446"/>
      <c r="AF45" s="446"/>
      <c r="AG45" s="446"/>
      <c r="AH45" s="446"/>
      <c r="AI45" s="446"/>
      <c r="AJ45" s="446"/>
      <c r="AK45" s="446"/>
      <c r="AL45" s="446"/>
      <c r="AM45" s="446"/>
      <c r="AN45" s="446"/>
      <c r="AO45" s="446"/>
      <c r="AP45" s="446"/>
      <c r="AQ45" s="446"/>
    </row>
    <row r="46" spans="2:45" s="157" customFormat="1" ht="15" customHeight="1">
      <c r="C46" s="447"/>
      <c r="D46" s="447"/>
      <c r="E46" s="447"/>
      <c r="F46" s="447"/>
      <c r="G46" s="447"/>
      <c r="H46" s="447"/>
      <c r="I46" s="447"/>
      <c r="J46" s="447"/>
      <c r="K46" s="447"/>
      <c r="L46" s="447"/>
      <c r="M46" s="447"/>
      <c r="N46" s="447"/>
      <c r="O46" s="447"/>
      <c r="P46" s="447"/>
      <c r="Q46" s="447"/>
      <c r="R46" s="447"/>
      <c r="S46" s="447"/>
      <c r="T46" s="447"/>
      <c r="U46" s="447"/>
      <c r="V46" s="447"/>
      <c r="W46" s="447"/>
      <c r="X46" s="447"/>
      <c r="Y46" s="447"/>
      <c r="Z46" s="447"/>
      <c r="AA46" s="447"/>
      <c r="AB46" s="447"/>
      <c r="AC46" s="447"/>
      <c r="AD46" s="447"/>
      <c r="AE46" s="447"/>
      <c r="AF46" s="448"/>
      <c r="AG46" s="448"/>
      <c r="AH46" s="448"/>
      <c r="AI46" s="448"/>
      <c r="AJ46" s="447"/>
      <c r="AK46" s="447"/>
      <c r="AL46" s="447"/>
      <c r="AM46" s="447"/>
      <c r="AN46" s="447"/>
      <c r="AO46" s="447"/>
      <c r="AP46" s="447"/>
      <c r="AQ46" s="447"/>
    </row>
    <row r="47" spans="2:45" s="157" customFormat="1" ht="15" customHeight="1">
      <c r="E47" s="35"/>
      <c r="J47" s="33"/>
      <c r="K47" s="33"/>
      <c r="L47" s="33"/>
      <c r="M47" s="33"/>
      <c r="N47" s="33"/>
      <c r="O47" s="33"/>
      <c r="P47" s="33"/>
      <c r="Q47" s="33"/>
      <c r="R47" s="33"/>
      <c r="S47" s="33"/>
      <c r="T47" s="33"/>
      <c r="U47" s="33"/>
      <c r="V47" s="33"/>
      <c r="W47" s="33"/>
      <c r="X47" s="33"/>
    </row>
    <row r="48" spans="2:45" s="157" customFormat="1" ht="15" customHeight="1">
      <c r="E48" s="157" t="s">
        <v>252</v>
      </c>
      <c r="G48" s="157" t="s">
        <v>27</v>
      </c>
      <c r="J48" s="33"/>
      <c r="K48" s="33"/>
      <c r="L48" s="33"/>
      <c r="M48" s="33"/>
      <c r="N48" s="33"/>
      <c r="O48" s="33"/>
      <c r="P48" s="33"/>
      <c r="Q48" s="33"/>
      <c r="R48" s="33"/>
      <c r="S48" s="33"/>
      <c r="T48" s="33"/>
      <c r="U48" s="33"/>
      <c r="V48" s="33"/>
      <c r="W48" s="33"/>
      <c r="X48" s="33"/>
      <c r="AJ48" s="42"/>
      <c r="AK48" s="157">
        <f t="shared" ref="AK48:AQ48" si="14">AK40</f>
        <v>-1118.0242537774518</v>
      </c>
      <c r="AL48" s="157">
        <f t="shared" si="14"/>
        <v>-1234.4388157396638</v>
      </c>
      <c r="AM48" s="157">
        <f t="shared" si="14"/>
        <v>-1340.5985382043195</v>
      </c>
      <c r="AN48" s="157">
        <f t="shared" si="14"/>
        <v>-1294.9618762309974</v>
      </c>
      <c r="AO48" s="157">
        <f t="shared" si="14"/>
        <v>-1343.2157137837371</v>
      </c>
      <c r="AP48" s="157">
        <f t="shared" si="14"/>
        <v>-1366.5961820119931</v>
      </c>
      <c r="AQ48" s="157">
        <f t="shared" si="14"/>
        <v>-1367.8842590595375</v>
      </c>
    </row>
    <row r="49" spans="3:43" s="157" customFormat="1" ht="15" customHeight="1">
      <c r="E49" s="35"/>
      <c r="J49" s="33"/>
      <c r="K49" s="33"/>
      <c r="L49" s="33"/>
      <c r="M49" s="33"/>
      <c r="N49" s="33"/>
      <c r="O49" s="33"/>
      <c r="P49" s="33"/>
      <c r="Q49" s="33"/>
      <c r="R49" s="33"/>
      <c r="S49" s="33"/>
      <c r="T49" s="33"/>
      <c r="U49" s="33"/>
      <c r="V49" s="33"/>
      <c r="W49" s="33"/>
      <c r="X49" s="33"/>
    </row>
    <row r="50" spans="3:43" s="157" customFormat="1" ht="15" customHeight="1">
      <c r="E50" s="35" t="s">
        <v>243</v>
      </c>
      <c r="G50" s="157" t="s">
        <v>27</v>
      </c>
      <c r="J50" s="33"/>
      <c r="K50" s="33"/>
      <c r="L50" s="33"/>
      <c r="M50" s="33"/>
      <c r="N50" s="33"/>
      <c r="O50" s="33"/>
      <c r="P50" s="33"/>
      <c r="Q50" s="33"/>
      <c r="R50" s="33"/>
      <c r="S50" s="33"/>
      <c r="T50" s="33"/>
      <c r="U50" s="33"/>
      <c r="V50" s="33"/>
      <c r="W50" s="33"/>
      <c r="X50" s="33"/>
      <c r="AJ50" s="157">
        <f>('Return&amp;RAV'!AJ44)* Input!AI$57 / Input!$AG$57</f>
        <v>1585.7707232455862</v>
      </c>
      <c r="AK50" s="157">
        <f>('Return&amp;RAV'!AK44)* Input!AJ$57 / Input!$AG$57</f>
        <v>1671.0751656670916</v>
      </c>
      <c r="AL50" s="157">
        <f>('Return&amp;RAV'!AL44)* Input!AK$57 / Input!$AG$57</f>
        <v>1771.7992750792998</v>
      </c>
      <c r="AM50" s="157">
        <f>('Return&amp;RAV'!AM44)* Input!AL$57 / Input!$AG$57</f>
        <v>1868.2389852769618</v>
      </c>
      <c r="AN50" s="157">
        <f>('Return&amp;RAV'!AN44)* Input!AM$57 / Input!$AG$57</f>
        <v>1958.1810241861015</v>
      </c>
      <c r="AO50" s="157">
        <f>('Return&amp;RAV'!AO44)* Input!AN$57 / Input!$AG$57</f>
        <v>2053.0340818708091</v>
      </c>
      <c r="AP50" s="157">
        <f>('Return&amp;RAV'!AP44)* Input!AO$57 / Input!$AG$57</f>
        <v>2143.8733340576091</v>
      </c>
      <c r="AQ50" s="157">
        <f>('Return&amp;RAV'!AQ44)* Input!AP$57 / Input!$AG$57</f>
        <v>2238.7335732237284</v>
      </c>
    </row>
    <row r="51" spans="3:43" s="157" customFormat="1" ht="15" customHeight="1">
      <c r="E51" s="35" t="s">
        <v>263</v>
      </c>
      <c r="G51" s="157" t="s">
        <v>27</v>
      </c>
      <c r="J51" s="33"/>
      <c r="K51" s="33"/>
      <c r="L51" s="33"/>
      <c r="M51" s="33"/>
      <c r="N51" s="33"/>
      <c r="O51" s="33"/>
      <c r="P51" s="33"/>
      <c r="Q51" s="33"/>
      <c r="R51" s="33"/>
      <c r="S51" s="33"/>
      <c r="T51" s="33"/>
      <c r="U51" s="33"/>
      <c r="V51" s="33"/>
      <c r="W51" s="33"/>
      <c r="X51" s="33"/>
      <c r="AJ51" s="167">
        <f t="shared" ref="AJ51:AQ51" si="15">SUM(AJ50:AJ50)</f>
        <v>1585.7707232455862</v>
      </c>
      <c r="AK51" s="167">
        <f t="shared" si="15"/>
        <v>1671.0751656670916</v>
      </c>
      <c r="AL51" s="167">
        <f t="shared" si="15"/>
        <v>1771.7992750792998</v>
      </c>
      <c r="AM51" s="167">
        <f t="shared" si="15"/>
        <v>1868.2389852769618</v>
      </c>
      <c r="AN51" s="167">
        <f t="shared" si="15"/>
        <v>1958.1810241861015</v>
      </c>
      <c r="AO51" s="167">
        <f t="shared" si="15"/>
        <v>2053.0340818708091</v>
      </c>
      <c r="AP51" s="167">
        <f t="shared" si="15"/>
        <v>2143.8733340576091</v>
      </c>
      <c r="AQ51" s="167">
        <f t="shared" si="15"/>
        <v>2238.7335732237284</v>
      </c>
    </row>
    <row r="52" spans="3:43" s="157" customFormat="1" ht="15" customHeight="1">
      <c r="J52" s="33"/>
      <c r="K52" s="33"/>
      <c r="L52" s="33"/>
      <c r="M52" s="33"/>
      <c r="N52" s="33"/>
      <c r="O52" s="33"/>
      <c r="P52" s="33"/>
      <c r="Q52" s="33"/>
      <c r="R52" s="33"/>
      <c r="S52" s="33"/>
      <c r="T52" s="33"/>
      <c r="U52" s="33"/>
      <c r="V52" s="33"/>
      <c r="W52" s="33"/>
      <c r="X52" s="33"/>
    </row>
    <row r="53" spans="3:43" s="157" customFormat="1" ht="15" customHeight="1">
      <c r="E53" s="157" t="s">
        <v>262</v>
      </c>
      <c r="G53" s="157" t="s">
        <v>49</v>
      </c>
      <c r="J53" s="33"/>
      <c r="K53" s="33"/>
      <c r="L53" s="33"/>
      <c r="M53" s="33"/>
      <c r="N53" s="33"/>
      <c r="O53" s="33"/>
      <c r="P53" s="33"/>
      <c r="Q53" s="33"/>
      <c r="R53" s="33"/>
      <c r="S53" s="33"/>
      <c r="T53" s="33"/>
      <c r="U53" s="33"/>
      <c r="V53" s="33"/>
      <c r="W53" s="33"/>
      <c r="X53" s="33"/>
      <c r="AJ53" s="42"/>
      <c r="AK53" s="247">
        <f t="shared" ref="AK53:AQ53" si="16" xml:space="preserve"> - AK48 / AK$51</f>
        <v>0.66904486210297887</v>
      </c>
      <c r="AL53" s="248">
        <f t="shared" si="16"/>
        <v>0.69671482153892095</v>
      </c>
      <c r="AM53" s="248">
        <f t="shared" si="16"/>
        <v>0.71757336656026327</v>
      </c>
      <c r="AN53" s="248">
        <f t="shared" si="16"/>
        <v>0.66130856148462347</v>
      </c>
      <c r="AO53" s="248">
        <f t="shared" si="16"/>
        <v>0.65425884823097713</v>
      </c>
      <c r="AP53" s="248">
        <f t="shared" si="16"/>
        <v>0.63744259527940494</v>
      </c>
      <c r="AQ53" s="248">
        <f t="shared" si="16"/>
        <v>0.61100806072685709</v>
      </c>
    </row>
    <row r="54" spans="3:43" s="157" customFormat="1" ht="15" customHeight="1">
      <c r="E54" s="35"/>
      <c r="J54" s="33"/>
      <c r="K54" s="33"/>
      <c r="L54" s="33"/>
      <c r="M54" s="33"/>
      <c r="N54" s="33"/>
      <c r="O54" s="33"/>
      <c r="P54" s="33"/>
      <c r="Q54" s="33"/>
      <c r="R54" s="33"/>
      <c r="S54" s="33"/>
      <c r="T54" s="33"/>
      <c r="U54" s="33"/>
      <c r="V54" s="33"/>
      <c r="W54" s="33"/>
      <c r="X54" s="33"/>
      <c r="AJ54" s="41"/>
      <c r="AK54" s="41"/>
      <c r="AL54" s="41"/>
      <c r="AM54" s="41"/>
      <c r="AN54" s="41"/>
      <c r="AO54" s="41"/>
      <c r="AP54" s="41"/>
      <c r="AQ54" s="41"/>
    </row>
    <row r="55" spans="3:43" s="157" customFormat="1" ht="15" customHeight="1">
      <c r="C55" s="449"/>
      <c r="D55" s="449"/>
      <c r="E55" s="449"/>
      <c r="F55" s="449"/>
      <c r="G55" s="449"/>
      <c r="H55" s="449"/>
      <c r="I55" s="449"/>
      <c r="J55" s="449"/>
      <c r="K55" s="449"/>
      <c r="L55" s="449"/>
      <c r="M55" s="449"/>
      <c r="N55" s="449"/>
      <c r="O55" s="449"/>
      <c r="P55" s="449"/>
      <c r="Q55" s="449"/>
      <c r="R55" s="449"/>
      <c r="S55" s="449"/>
      <c r="T55" s="449"/>
      <c r="U55" s="449"/>
      <c r="V55" s="449"/>
      <c r="W55" s="449"/>
      <c r="X55" s="449"/>
      <c r="Y55" s="449"/>
      <c r="Z55" s="449"/>
      <c r="AA55" s="449"/>
      <c r="AB55" s="449"/>
      <c r="AC55" s="449"/>
      <c r="AD55" s="449"/>
      <c r="AE55" s="449"/>
      <c r="AF55" s="446"/>
      <c r="AG55" s="446"/>
      <c r="AH55" s="446"/>
      <c r="AI55" s="446"/>
      <c r="AJ55" s="449"/>
      <c r="AK55" s="449"/>
      <c r="AL55" s="449"/>
      <c r="AM55" s="449"/>
      <c r="AN55" s="449"/>
      <c r="AO55" s="449"/>
      <c r="AP55" s="449"/>
      <c r="AQ55" s="449"/>
    </row>
    <row r="56" spans="3:43" s="157" customFormat="1" ht="15" customHeight="1">
      <c r="C56" s="447"/>
      <c r="D56" s="447"/>
      <c r="E56" s="447"/>
      <c r="F56" s="447"/>
      <c r="G56" s="447"/>
      <c r="H56" s="447"/>
      <c r="I56" s="447"/>
      <c r="J56" s="447"/>
      <c r="K56" s="447"/>
      <c r="L56" s="447"/>
      <c r="M56" s="447"/>
      <c r="N56" s="447"/>
      <c r="O56" s="447"/>
      <c r="P56" s="447"/>
      <c r="Q56" s="447"/>
      <c r="R56" s="447"/>
      <c r="S56" s="447"/>
      <c r="T56" s="447"/>
      <c r="U56" s="447"/>
      <c r="V56" s="447"/>
      <c r="W56" s="447"/>
      <c r="X56" s="447"/>
      <c r="Y56" s="447"/>
      <c r="Z56" s="447"/>
      <c r="AA56" s="447"/>
      <c r="AB56" s="447"/>
      <c r="AC56" s="447"/>
      <c r="AD56" s="447"/>
      <c r="AE56" s="447"/>
      <c r="AF56" s="448"/>
      <c r="AG56" s="448"/>
      <c r="AH56" s="448"/>
      <c r="AI56" s="448"/>
      <c r="AJ56" s="447"/>
      <c r="AK56" s="447"/>
      <c r="AL56" s="447"/>
      <c r="AM56" s="447"/>
      <c r="AN56" s="447"/>
      <c r="AO56" s="447"/>
      <c r="AP56" s="447"/>
      <c r="AQ56" s="447"/>
    </row>
    <row r="57" spans="3:43" s="157" customFormat="1" ht="15" customHeight="1">
      <c r="C57" s="447"/>
      <c r="D57" s="447"/>
      <c r="E57" s="447"/>
      <c r="F57" s="447"/>
      <c r="G57" s="447"/>
      <c r="H57" s="447"/>
      <c r="I57" s="447"/>
      <c r="J57" s="447"/>
      <c r="K57" s="447"/>
      <c r="L57" s="447"/>
      <c r="M57" s="447"/>
      <c r="N57" s="447"/>
      <c r="O57" s="447"/>
      <c r="P57" s="447"/>
      <c r="Q57" s="447"/>
      <c r="R57" s="447"/>
      <c r="S57" s="447"/>
      <c r="T57" s="447"/>
      <c r="U57" s="447"/>
      <c r="V57" s="447"/>
      <c r="W57" s="447"/>
      <c r="X57" s="447"/>
      <c r="Y57" s="447"/>
      <c r="Z57" s="447"/>
      <c r="AA57" s="447"/>
      <c r="AB57" s="447"/>
      <c r="AC57" s="447"/>
      <c r="AD57" s="447"/>
      <c r="AE57" s="447"/>
      <c r="AF57" s="448"/>
      <c r="AG57" s="448"/>
      <c r="AH57" s="448"/>
      <c r="AI57" s="448"/>
      <c r="AJ57" s="447"/>
      <c r="AK57" s="447"/>
      <c r="AL57" s="447"/>
      <c r="AM57" s="447"/>
      <c r="AN57" s="447"/>
      <c r="AO57" s="447"/>
      <c r="AP57" s="447"/>
      <c r="AQ57" s="447"/>
    </row>
    <row r="58" spans="3:43" s="157" customFormat="1" ht="15" customHeight="1">
      <c r="E58" s="35"/>
      <c r="J58" s="33"/>
      <c r="K58" s="33"/>
      <c r="L58" s="33"/>
      <c r="M58" s="33"/>
      <c r="N58" s="33"/>
      <c r="O58" s="33"/>
      <c r="P58" s="33"/>
      <c r="Q58" s="33"/>
      <c r="R58" s="33"/>
      <c r="S58" s="33"/>
      <c r="T58" s="33"/>
      <c r="U58" s="33"/>
      <c r="V58" s="33"/>
      <c r="W58" s="33"/>
      <c r="X58" s="33"/>
    </row>
    <row r="59" spans="3:43" s="157" customFormat="1" ht="15" customHeight="1">
      <c r="E59" s="35"/>
      <c r="J59" s="33"/>
      <c r="K59" s="33"/>
      <c r="L59" s="33"/>
      <c r="M59" s="33"/>
      <c r="N59" s="33"/>
      <c r="O59" s="33"/>
      <c r="P59" s="33"/>
      <c r="Q59" s="33"/>
      <c r="R59" s="33"/>
      <c r="S59" s="33"/>
      <c r="T59" s="33"/>
      <c r="U59" s="33"/>
      <c r="V59" s="33"/>
      <c r="W59" s="33"/>
      <c r="X59" s="33"/>
      <c r="AI59" s="239"/>
    </row>
    <row r="60" spans="3:43" s="157" customFormat="1" ht="15" customHeight="1">
      <c r="E60" s="35"/>
      <c r="I60" s="239"/>
      <c r="J60" s="249"/>
      <c r="K60" s="249"/>
      <c r="L60" s="249"/>
      <c r="M60" s="249"/>
      <c r="N60" s="249"/>
      <c r="O60" s="249"/>
      <c r="P60" s="249"/>
      <c r="Q60" s="249"/>
      <c r="R60" s="249"/>
      <c r="S60" s="249"/>
      <c r="T60" s="249"/>
      <c r="U60" s="249"/>
      <c r="V60" s="249"/>
      <c r="W60" s="249"/>
      <c r="X60" s="249"/>
      <c r="Y60" s="239"/>
      <c r="Z60" s="239"/>
      <c r="AA60" s="239"/>
      <c r="AB60" s="239"/>
      <c r="AC60" s="239"/>
      <c r="AD60" s="239"/>
      <c r="AE60" s="239"/>
      <c r="AF60" s="239"/>
      <c r="AG60" s="239"/>
      <c r="AH60" s="239"/>
      <c r="AI60" s="239"/>
      <c r="AJ60" s="239"/>
    </row>
    <row r="61" spans="3:43" s="157" customFormat="1" ht="15" customHeight="1">
      <c r="E61" s="41" t="s">
        <v>415</v>
      </c>
      <c r="G61" s="41" t="s">
        <v>49</v>
      </c>
      <c r="I61" s="239"/>
      <c r="J61" s="249" t="s">
        <v>56</v>
      </c>
      <c r="K61" s="249"/>
      <c r="L61" s="249"/>
      <c r="M61" s="249"/>
      <c r="N61" s="249"/>
      <c r="O61" s="249"/>
      <c r="P61" s="249"/>
      <c r="Q61" s="249"/>
      <c r="R61" s="249"/>
      <c r="S61" s="249"/>
      <c r="T61" s="249"/>
      <c r="U61" s="249"/>
      <c r="V61" s="249"/>
      <c r="W61" s="249"/>
      <c r="X61" s="249"/>
      <c r="Y61" s="239"/>
      <c r="Z61" s="239"/>
      <c r="AA61" s="239"/>
      <c r="AB61" s="239"/>
      <c r="AC61" s="239"/>
      <c r="AD61" s="239"/>
      <c r="AE61" s="239"/>
      <c r="AF61" s="239"/>
      <c r="AG61" s="239"/>
      <c r="AH61" s="239"/>
      <c r="AI61" s="239">
        <f>Input!AI49</f>
        <v>0.65</v>
      </c>
      <c r="AJ61" s="371">
        <f>Input!AJ49</f>
        <v>0.65</v>
      </c>
      <c r="AK61" s="372"/>
      <c r="AL61" s="372"/>
      <c r="AM61" s="372"/>
      <c r="AN61" s="372"/>
      <c r="AO61" s="372"/>
      <c r="AP61" s="372"/>
      <c r="AQ61" s="372"/>
    </row>
    <row r="62" spans="3:43" s="157" customFormat="1" ht="15" customHeight="1">
      <c r="E62" s="35"/>
      <c r="I62" s="239"/>
      <c r="J62" s="249"/>
      <c r="K62" s="249"/>
      <c r="L62" s="249"/>
      <c r="M62" s="249"/>
      <c r="N62" s="249"/>
      <c r="O62" s="249"/>
      <c r="P62" s="249"/>
      <c r="Q62" s="249"/>
      <c r="R62" s="249"/>
      <c r="S62" s="249"/>
      <c r="T62" s="249"/>
      <c r="U62" s="249"/>
      <c r="V62" s="249"/>
      <c r="W62" s="249"/>
      <c r="X62" s="249"/>
      <c r="Y62" s="239"/>
      <c r="Z62" s="239"/>
      <c r="AA62" s="239"/>
      <c r="AB62" s="239"/>
      <c r="AC62" s="239"/>
      <c r="AD62" s="239"/>
      <c r="AE62" s="239"/>
      <c r="AF62" s="239"/>
      <c r="AG62" s="239"/>
      <c r="AH62" s="239"/>
      <c r="AI62" s="239"/>
      <c r="AJ62" s="239"/>
      <c r="AK62" s="41"/>
      <c r="AL62" s="41"/>
      <c r="AM62" s="41"/>
      <c r="AN62" s="41"/>
      <c r="AO62" s="41"/>
      <c r="AP62" s="41"/>
      <c r="AQ62" s="41"/>
    </row>
    <row r="63" spans="3:43" s="157" customFormat="1" ht="15" customHeight="1">
      <c r="E63" s="35" t="s">
        <v>147</v>
      </c>
      <c r="G63" s="157" t="s">
        <v>49</v>
      </c>
      <c r="I63" s="239"/>
      <c r="J63" s="249"/>
      <c r="K63" s="249"/>
      <c r="L63" s="249"/>
      <c r="M63" s="249"/>
      <c r="N63" s="249"/>
      <c r="O63" s="249"/>
      <c r="P63" s="249"/>
      <c r="Q63" s="249"/>
      <c r="R63" s="249"/>
      <c r="S63" s="249"/>
      <c r="T63" s="249"/>
      <c r="U63" s="249"/>
      <c r="V63" s="249"/>
      <c r="W63" s="249"/>
      <c r="X63" s="249"/>
      <c r="Y63" s="239"/>
      <c r="Z63" s="239"/>
      <c r="AA63" s="239"/>
      <c r="AB63" s="239"/>
      <c r="AC63" s="239"/>
      <c r="AD63" s="239"/>
      <c r="AE63" s="239"/>
      <c r="AF63" s="239"/>
      <c r="AG63" s="239"/>
      <c r="AH63" s="239"/>
      <c r="AI63" s="239"/>
      <c r="AJ63" s="250">
        <f>IF(AI61 &gt;= AJ61+ Input!$I$81, AI61 - AJ61, 0)</f>
        <v>0</v>
      </c>
    </row>
    <row r="64" spans="3:43" s="157" customFormat="1" ht="15" customHeight="1">
      <c r="E64" s="35" t="s">
        <v>263</v>
      </c>
      <c r="G64" s="157" t="s">
        <v>27</v>
      </c>
      <c r="J64" s="33"/>
      <c r="K64" s="33"/>
      <c r="L64" s="33"/>
      <c r="M64" s="33"/>
      <c r="N64" s="33"/>
      <c r="O64" s="33"/>
      <c r="P64" s="33"/>
      <c r="Q64" s="33"/>
      <c r="R64" s="33"/>
      <c r="S64" s="33"/>
      <c r="T64" s="33"/>
      <c r="U64" s="33"/>
      <c r="V64" s="33"/>
      <c r="W64" s="33"/>
      <c r="X64" s="33"/>
      <c r="AJ64" s="42">
        <f>AJ51</f>
        <v>1585.7707232455862</v>
      </c>
    </row>
    <row r="65" spans="3:44" s="157" customFormat="1" ht="15" customHeight="1">
      <c r="E65" s="35"/>
      <c r="J65" s="33"/>
      <c r="K65" s="33"/>
      <c r="L65" s="33"/>
      <c r="M65" s="33"/>
      <c r="N65" s="33"/>
      <c r="O65" s="33"/>
      <c r="P65" s="33"/>
      <c r="Q65" s="33"/>
      <c r="R65" s="33"/>
      <c r="S65" s="33"/>
      <c r="T65" s="33"/>
      <c r="U65" s="33"/>
      <c r="V65" s="33"/>
      <c r="W65" s="33"/>
      <c r="X65" s="33"/>
    </row>
    <row r="66" spans="3:44" s="157" customFormat="1" ht="15" customHeight="1">
      <c r="E66" s="157" t="s">
        <v>175</v>
      </c>
      <c r="G66" s="157" t="s">
        <v>27</v>
      </c>
      <c r="J66" s="33"/>
      <c r="K66" s="33"/>
      <c r="L66" s="33"/>
      <c r="M66" s="33"/>
      <c r="N66" s="33"/>
      <c r="O66" s="33"/>
      <c r="P66" s="33"/>
      <c r="Q66" s="33"/>
      <c r="R66" s="33"/>
      <c r="S66" s="33"/>
      <c r="T66" s="33"/>
      <c r="U66" s="33"/>
      <c r="V66" s="33"/>
      <c r="W66" s="33"/>
      <c r="X66" s="33"/>
      <c r="AJ66" s="105">
        <f xml:space="preserve"> AJ63 * AJ$64</f>
        <v>0</v>
      </c>
    </row>
    <row r="67" spans="3:44" s="157" customFormat="1" ht="15" customHeight="1">
      <c r="E67" s="35"/>
      <c r="J67" s="33"/>
      <c r="K67" s="33"/>
      <c r="L67" s="33"/>
      <c r="M67" s="33"/>
      <c r="N67" s="33"/>
      <c r="O67" s="33"/>
      <c r="P67" s="33"/>
      <c r="Q67" s="33"/>
      <c r="R67" s="33"/>
      <c r="S67" s="33"/>
      <c r="T67" s="33"/>
      <c r="U67" s="33"/>
      <c r="V67" s="33"/>
      <c r="W67" s="33"/>
      <c r="X67" s="33"/>
    </row>
    <row r="68" spans="3:44" s="157" customFormat="1" ht="15" customHeight="1">
      <c r="C68" s="332" t="s">
        <v>168</v>
      </c>
      <c r="D68" s="332"/>
      <c r="E68" s="332"/>
      <c r="F68" s="332"/>
      <c r="G68" s="332"/>
      <c r="H68" s="332"/>
      <c r="I68" s="332"/>
      <c r="J68" s="332"/>
      <c r="K68" s="332"/>
      <c r="L68" s="332"/>
      <c r="M68" s="332"/>
      <c r="N68" s="332"/>
      <c r="O68" s="332"/>
      <c r="P68" s="332"/>
      <c r="Q68" s="332"/>
      <c r="R68" s="332"/>
      <c r="S68" s="332"/>
      <c r="T68" s="332"/>
      <c r="U68" s="332"/>
      <c r="V68" s="332"/>
      <c r="W68" s="332"/>
      <c r="X68" s="332"/>
      <c r="Y68" s="332"/>
      <c r="Z68" s="332"/>
      <c r="AA68" s="332"/>
      <c r="AB68" s="332"/>
      <c r="AC68" s="332"/>
      <c r="AD68" s="332"/>
      <c r="AE68" s="332"/>
      <c r="AF68" s="354"/>
      <c r="AG68" s="354"/>
      <c r="AH68" s="354"/>
      <c r="AI68" s="354"/>
      <c r="AJ68" s="332"/>
      <c r="AK68" s="332"/>
      <c r="AL68" s="332"/>
      <c r="AM68" s="332"/>
      <c r="AN68" s="332"/>
      <c r="AO68" s="332"/>
      <c r="AP68" s="332"/>
      <c r="AQ68" s="332"/>
    </row>
    <row r="69" spans="3:44" s="157" customFormat="1" ht="15" customHeight="1">
      <c r="C69" s="197"/>
      <c r="D69" s="197"/>
      <c r="E69" s="197"/>
      <c r="F69" s="197"/>
      <c r="G69" s="197"/>
      <c r="H69" s="197"/>
      <c r="I69" s="197"/>
      <c r="J69" s="197"/>
      <c r="K69" s="197"/>
      <c r="L69" s="197"/>
      <c r="M69" s="197"/>
      <c r="N69" s="197"/>
      <c r="O69" s="197"/>
      <c r="P69" s="197"/>
      <c r="Q69" s="197"/>
      <c r="R69" s="197"/>
      <c r="S69" s="197"/>
      <c r="T69" s="197"/>
      <c r="U69" s="197"/>
      <c r="V69" s="197"/>
      <c r="W69" s="197"/>
      <c r="X69" s="197"/>
      <c r="Y69" s="197"/>
      <c r="Z69" s="197"/>
      <c r="AA69" s="197"/>
      <c r="AB69" s="197"/>
      <c r="AC69" s="197"/>
      <c r="AD69" s="197"/>
      <c r="AE69" s="197"/>
      <c r="AF69" s="199"/>
      <c r="AG69" s="199"/>
      <c r="AH69" s="199"/>
      <c r="AI69" s="199"/>
      <c r="AJ69" s="197"/>
      <c r="AK69" s="197"/>
      <c r="AL69" s="197"/>
      <c r="AM69" s="197"/>
      <c r="AN69" s="197"/>
      <c r="AO69" s="197"/>
      <c r="AP69" s="197"/>
      <c r="AQ69" s="197"/>
    </row>
    <row r="70" spans="3:44" s="157" customFormat="1" ht="15" customHeight="1">
      <c r="G70" s="195"/>
      <c r="J70" s="33"/>
      <c r="K70" s="33"/>
      <c r="L70" s="33"/>
      <c r="M70" s="33"/>
      <c r="N70" s="33"/>
      <c r="O70" s="33"/>
      <c r="P70" s="33"/>
      <c r="Q70" s="33"/>
      <c r="R70" s="33"/>
      <c r="S70" s="33"/>
      <c r="T70" s="33"/>
      <c r="U70" s="33"/>
      <c r="V70" s="33"/>
      <c r="W70" s="33"/>
      <c r="X70" s="33"/>
    </row>
    <row r="71" spans="3:44" s="157" customFormat="1" ht="15" customHeight="1">
      <c r="E71" s="157" t="s">
        <v>263</v>
      </c>
      <c r="G71" s="157" t="s">
        <v>27</v>
      </c>
      <c r="J71" s="33"/>
      <c r="K71" s="33"/>
      <c r="L71" s="33"/>
      <c r="M71" s="33"/>
      <c r="N71" s="33"/>
      <c r="O71" s="33"/>
      <c r="P71" s="33"/>
      <c r="Q71" s="33"/>
      <c r="R71" s="33"/>
      <c r="S71" s="33"/>
      <c r="T71" s="33"/>
      <c r="U71" s="33"/>
      <c r="V71" s="33"/>
      <c r="W71" s="33"/>
      <c r="X71" s="33"/>
      <c r="AK71" s="157">
        <f>AK51</f>
        <v>1671.0751656670916</v>
      </c>
      <c r="AL71" s="157">
        <f t="shared" ref="AL71:AQ71" si="17">AL51</f>
        <v>1771.7992750792998</v>
      </c>
      <c r="AM71" s="157">
        <f t="shared" si="17"/>
        <v>1868.2389852769618</v>
      </c>
      <c r="AN71" s="157">
        <f t="shared" si="17"/>
        <v>1958.1810241861015</v>
      </c>
      <c r="AO71" s="157">
        <f t="shared" si="17"/>
        <v>2053.0340818708091</v>
      </c>
      <c r="AP71" s="157">
        <f t="shared" si="17"/>
        <v>2143.8733340576091</v>
      </c>
      <c r="AQ71" s="157">
        <f t="shared" si="17"/>
        <v>2238.7335732237284</v>
      </c>
    </row>
    <row r="72" spans="3:44" s="157" customFormat="1" ht="15" customHeight="1">
      <c r="G72" s="195"/>
      <c r="J72" s="33"/>
      <c r="K72" s="33"/>
      <c r="L72" s="33"/>
      <c r="M72" s="33"/>
      <c r="N72" s="33"/>
      <c r="O72" s="33"/>
      <c r="P72" s="33"/>
      <c r="Q72" s="33"/>
      <c r="R72" s="33"/>
      <c r="S72" s="33"/>
      <c r="T72" s="33"/>
      <c r="U72" s="33"/>
      <c r="V72" s="33"/>
      <c r="W72" s="33"/>
      <c r="X72" s="33"/>
    </row>
    <row r="73" spans="3:44" s="157" customFormat="1" ht="15" customHeight="1">
      <c r="E73" s="157" t="s">
        <v>262</v>
      </c>
      <c r="G73" s="195" t="s">
        <v>49</v>
      </c>
      <c r="J73" s="33"/>
      <c r="K73" s="33"/>
      <c r="L73" s="33"/>
      <c r="M73" s="33"/>
      <c r="N73" s="33"/>
      <c r="O73" s="33"/>
      <c r="P73" s="33"/>
      <c r="Q73" s="33"/>
      <c r="R73" s="33"/>
      <c r="S73" s="33"/>
      <c r="T73" s="33"/>
      <c r="U73" s="33"/>
      <c r="V73" s="33"/>
      <c r="W73" s="33"/>
      <c r="X73" s="33"/>
      <c r="AJ73" s="42"/>
      <c r="AK73" s="373">
        <f>AK53</f>
        <v>0.66904486210297887</v>
      </c>
      <c r="AL73" s="373">
        <f t="shared" ref="AL73:AQ73" si="18">AL53</f>
        <v>0.69671482153892095</v>
      </c>
      <c r="AM73" s="373">
        <f t="shared" si="18"/>
        <v>0.71757336656026327</v>
      </c>
      <c r="AN73" s="373">
        <f t="shared" si="18"/>
        <v>0.66130856148462347</v>
      </c>
      <c r="AO73" s="373">
        <f t="shared" si="18"/>
        <v>0.65425884823097713</v>
      </c>
      <c r="AP73" s="373">
        <f t="shared" si="18"/>
        <v>0.63744259527940494</v>
      </c>
      <c r="AQ73" s="373">
        <f t="shared" si="18"/>
        <v>0.61100806072685709</v>
      </c>
      <c r="AR73" s="239"/>
    </row>
    <row r="74" spans="3:44" s="157" customFormat="1" ht="15" customHeight="1">
      <c r="E74" s="157" t="s">
        <v>170</v>
      </c>
      <c r="G74" s="195" t="s">
        <v>49</v>
      </c>
      <c r="J74" s="33"/>
      <c r="K74" s="33"/>
      <c r="L74" s="33"/>
      <c r="M74" s="33"/>
      <c r="N74" s="33"/>
      <c r="O74" s="33"/>
      <c r="P74" s="33"/>
      <c r="Q74" s="33"/>
      <c r="R74" s="33"/>
      <c r="S74" s="33"/>
      <c r="T74" s="33"/>
      <c r="U74" s="33"/>
      <c r="V74" s="33"/>
      <c r="W74" s="33"/>
      <c r="X74" s="33"/>
      <c r="AJ74" s="42"/>
      <c r="AK74" s="373">
        <f>-Input!AK85</f>
        <v>-0.65</v>
      </c>
      <c r="AL74" s="373">
        <f>-Input!AL85</f>
        <v>-0.65</v>
      </c>
      <c r="AM74" s="373">
        <f>-Input!AM85</f>
        <v>-0.65</v>
      </c>
      <c r="AN74" s="373">
        <f>-Input!AN85</f>
        <v>-0.65</v>
      </c>
      <c r="AO74" s="373">
        <f>-Input!AO85</f>
        <v>-0.65</v>
      </c>
      <c r="AP74" s="373">
        <f>-Input!AP85</f>
        <v>-0.65</v>
      </c>
      <c r="AQ74" s="373">
        <f>-Input!AQ85</f>
        <v>-0.65</v>
      </c>
      <c r="AR74" s="239"/>
    </row>
    <row r="75" spans="3:44" s="157" customFormat="1" ht="15" customHeight="1">
      <c r="E75" s="157" t="s">
        <v>171</v>
      </c>
      <c r="G75" s="195" t="s">
        <v>49</v>
      </c>
      <c r="J75" s="33"/>
      <c r="K75" s="33"/>
      <c r="L75" s="33"/>
      <c r="M75" s="33"/>
      <c r="N75" s="33"/>
      <c r="O75" s="33"/>
      <c r="P75" s="33"/>
      <c r="Q75" s="33"/>
      <c r="R75" s="33"/>
      <c r="S75" s="33"/>
      <c r="T75" s="33"/>
      <c r="U75" s="33"/>
      <c r="V75" s="33"/>
      <c r="W75" s="33"/>
      <c r="X75" s="33"/>
      <c r="AJ75" s="42"/>
      <c r="AK75" s="374">
        <f>SUM(AK73:AK74)</f>
        <v>1.9044862102978843E-2</v>
      </c>
      <c r="AL75" s="375">
        <f t="shared" ref="AL75:AQ75" si="19">SUM(AL73:AL74)</f>
        <v>4.6714821538920925E-2</v>
      </c>
      <c r="AM75" s="375">
        <f t="shared" si="19"/>
        <v>6.7573366560263248E-2</v>
      </c>
      <c r="AN75" s="375">
        <f t="shared" si="19"/>
        <v>1.1308561484623447E-2</v>
      </c>
      <c r="AO75" s="375">
        <f t="shared" si="19"/>
        <v>4.2588482309771081E-3</v>
      </c>
      <c r="AP75" s="375">
        <f t="shared" si="19"/>
        <v>-1.2557404720595078E-2</v>
      </c>
      <c r="AQ75" s="375">
        <f t="shared" si="19"/>
        <v>-3.8991939273142928E-2</v>
      </c>
      <c r="AR75" s="239"/>
    </row>
    <row r="76" spans="3:44" s="157" customFormat="1" ht="15" customHeight="1">
      <c r="G76" s="195"/>
      <c r="J76" s="33"/>
      <c r="K76" s="33"/>
      <c r="L76" s="33"/>
      <c r="M76" s="33"/>
      <c r="N76" s="33"/>
      <c r="O76" s="33"/>
      <c r="P76" s="33"/>
      <c r="Q76" s="33"/>
      <c r="R76" s="33"/>
      <c r="S76" s="33"/>
      <c r="T76" s="33"/>
      <c r="U76" s="33"/>
      <c r="V76" s="33"/>
      <c r="W76" s="33"/>
      <c r="X76" s="33"/>
    </row>
    <row r="77" spans="3:44" s="157" customFormat="1" ht="15" customHeight="1">
      <c r="E77" s="157" t="s">
        <v>172</v>
      </c>
      <c r="G77" s="195" t="s">
        <v>49</v>
      </c>
      <c r="I77" s="239">
        <f>Input!I81</f>
        <v>0.05</v>
      </c>
      <c r="J77" s="33"/>
      <c r="K77" s="33"/>
      <c r="L77" s="33"/>
      <c r="M77" s="33"/>
      <c r="N77" s="33"/>
      <c r="O77" s="33"/>
      <c r="P77" s="33"/>
      <c r="Q77" s="33"/>
      <c r="R77" s="33"/>
      <c r="S77" s="33"/>
      <c r="T77" s="33"/>
      <c r="U77" s="33"/>
      <c r="V77" s="33"/>
      <c r="W77" s="33"/>
      <c r="X77" s="33"/>
    </row>
    <row r="78" spans="3:44" s="157" customFormat="1" ht="15" customHeight="1">
      <c r="E78" s="157" t="s">
        <v>173</v>
      </c>
      <c r="G78" s="195" t="s">
        <v>61</v>
      </c>
      <c r="J78" s="33"/>
      <c r="K78" s="33"/>
      <c r="L78" s="33"/>
      <c r="M78" s="33"/>
      <c r="N78" s="33"/>
      <c r="O78" s="33"/>
      <c r="P78" s="33"/>
      <c r="Q78" s="33"/>
      <c r="R78" s="33"/>
      <c r="S78" s="33"/>
      <c r="T78" s="33"/>
      <c r="U78" s="33"/>
      <c r="V78" s="33"/>
      <c r="W78" s="33"/>
      <c r="X78" s="33"/>
      <c r="AJ78" s="42"/>
      <c r="AK78" s="147" t="b">
        <f>AK75 &gt;= $I77</f>
        <v>0</v>
      </c>
      <c r="AL78" s="147" t="b">
        <f t="shared" ref="AL78:AQ78" si="20">AL75 &gt;= $I77</f>
        <v>0</v>
      </c>
      <c r="AM78" s="147" t="b">
        <f t="shared" si="20"/>
        <v>1</v>
      </c>
      <c r="AN78" s="147" t="b">
        <f t="shared" si="20"/>
        <v>0</v>
      </c>
      <c r="AO78" s="147" t="b">
        <f t="shared" si="20"/>
        <v>0</v>
      </c>
      <c r="AP78" s="147" t="b">
        <f t="shared" si="20"/>
        <v>0</v>
      </c>
      <c r="AQ78" s="147" t="b">
        <f t="shared" si="20"/>
        <v>0</v>
      </c>
    </row>
    <row r="79" spans="3:44" s="157" customFormat="1" ht="15" customHeight="1">
      <c r="G79" s="195"/>
      <c r="J79" s="33"/>
      <c r="K79" s="33"/>
      <c r="L79" s="33"/>
      <c r="M79" s="33"/>
      <c r="N79" s="33"/>
      <c r="O79" s="33"/>
      <c r="P79" s="33"/>
      <c r="Q79" s="33"/>
      <c r="R79" s="33"/>
      <c r="S79" s="33"/>
      <c r="T79" s="33"/>
      <c r="U79" s="33"/>
      <c r="V79" s="33"/>
      <c r="W79" s="33"/>
      <c r="X79" s="33"/>
    </row>
    <row r="80" spans="3:44" s="157" customFormat="1" ht="15" customHeight="1">
      <c r="E80" s="157" t="s">
        <v>168</v>
      </c>
      <c r="G80" s="195" t="s">
        <v>27</v>
      </c>
      <c r="J80" s="33"/>
      <c r="K80" s="33"/>
      <c r="L80" s="33"/>
      <c r="M80" s="33"/>
      <c r="N80" s="33"/>
      <c r="O80" s="33"/>
      <c r="P80" s="33"/>
      <c r="Q80" s="33"/>
      <c r="R80" s="33"/>
      <c r="S80" s="33"/>
      <c r="T80" s="33"/>
      <c r="U80" s="33"/>
      <c r="V80" s="33"/>
      <c r="W80" s="33"/>
      <c r="X80" s="33"/>
      <c r="AJ80" s="42"/>
      <c r="AK80" s="38">
        <f>AK71 * AK75 * AK78</f>
        <v>0</v>
      </c>
      <c r="AL80" s="38">
        <f t="shared" ref="AL80:AQ80" si="21">AL71 * AL75 * AL78</f>
        <v>0</v>
      </c>
      <c r="AM80" s="38">
        <f t="shared" si="21"/>
        <v>126.24319777429439</v>
      </c>
      <c r="AN80" s="38">
        <f t="shared" si="21"/>
        <v>0</v>
      </c>
      <c r="AO80" s="38">
        <f>AO71 * AO75 * AO78</f>
        <v>0</v>
      </c>
      <c r="AP80" s="38">
        <f t="shared" si="21"/>
        <v>0</v>
      </c>
      <c r="AQ80" s="38">
        <f t="shared" si="21"/>
        <v>0</v>
      </c>
    </row>
    <row r="81" spans="2:43" s="157" customFormat="1" ht="15" customHeight="1">
      <c r="E81" s="35"/>
      <c r="J81" s="33"/>
      <c r="K81" s="33"/>
      <c r="L81" s="33"/>
      <c r="M81" s="33"/>
      <c r="N81" s="33"/>
      <c r="O81" s="33"/>
      <c r="P81" s="33"/>
      <c r="Q81" s="33"/>
      <c r="R81" s="33"/>
      <c r="S81" s="33"/>
      <c r="T81" s="33"/>
      <c r="U81" s="33"/>
      <c r="V81" s="33"/>
      <c r="W81" s="33"/>
      <c r="X81" s="33"/>
    </row>
    <row r="82" spans="2:43" s="157" customFormat="1" ht="15" customHeight="1">
      <c r="C82" s="331" t="s">
        <v>723</v>
      </c>
      <c r="D82" s="331"/>
      <c r="E82" s="331"/>
      <c r="F82" s="331"/>
      <c r="G82" s="331"/>
      <c r="H82" s="331"/>
      <c r="I82" s="331"/>
      <c r="J82" s="331"/>
      <c r="K82" s="331"/>
      <c r="L82" s="331"/>
      <c r="M82" s="331"/>
      <c r="N82" s="331"/>
      <c r="O82" s="331"/>
      <c r="P82" s="331"/>
      <c r="Q82" s="331"/>
      <c r="R82" s="331"/>
      <c r="S82" s="331"/>
      <c r="T82" s="331"/>
      <c r="U82" s="331"/>
      <c r="V82" s="331"/>
      <c r="W82" s="331"/>
      <c r="X82" s="331"/>
      <c r="Y82" s="331"/>
      <c r="Z82" s="331"/>
      <c r="AA82" s="331"/>
      <c r="AB82" s="331"/>
      <c r="AC82" s="331"/>
      <c r="AD82" s="331"/>
      <c r="AE82" s="331"/>
      <c r="AF82" s="331"/>
      <c r="AG82" s="331"/>
      <c r="AH82" s="331"/>
      <c r="AI82" s="331"/>
      <c r="AJ82" s="331"/>
      <c r="AK82" s="331"/>
      <c r="AL82" s="331"/>
      <c r="AM82" s="331"/>
      <c r="AN82" s="331"/>
      <c r="AO82" s="331"/>
      <c r="AP82" s="331"/>
      <c r="AQ82" s="331"/>
    </row>
    <row r="83" spans="2:43" s="157" customFormat="1" ht="15" customHeight="1">
      <c r="C83" s="447"/>
      <c r="D83" s="447"/>
      <c r="E83" s="447"/>
      <c r="F83" s="447"/>
      <c r="G83" s="447"/>
      <c r="H83" s="447"/>
      <c r="I83" s="447"/>
      <c r="J83" s="447"/>
      <c r="K83" s="447"/>
      <c r="L83" s="447"/>
      <c r="M83" s="447"/>
      <c r="N83" s="447"/>
      <c r="O83" s="447"/>
      <c r="P83" s="447"/>
      <c r="Q83" s="447"/>
      <c r="R83" s="447"/>
      <c r="S83" s="447"/>
      <c r="T83" s="447"/>
      <c r="U83" s="447"/>
      <c r="V83" s="447"/>
      <c r="W83" s="447"/>
      <c r="X83" s="447"/>
      <c r="Y83" s="447"/>
      <c r="Z83" s="447"/>
      <c r="AA83" s="447"/>
      <c r="AB83" s="447"/>
      <c r="AC83" s="447"/>
      <c r="AD83" s="447"/>
      <c r="AE83" s="447"/>
      <c r="AF83" s="448"/>
      <c r="AG83" s="448"/>
      <c r="AH83" s="448"/>
      <c r="AI83" s="448"/>
      <c r="AJ83" s="447"/>
      <c r="AK83" s="447"/>
      <c r="AL83" s="447"/>
      <c r="AM83" s="447"/>
      <c r="AN83" s="447"/>
      <c r="AO83" s="447"/>
      <c r="AP83" s="447"/>
      <c r="AQ83" s="447"/>
    </row>
    <row r="84" spans="2:43" s="157" customFormat="1" ht="15" customHeight="1">
      <c r="E84" s="35"/>
      <c r="J84" s="33"/>
      <c r="K84" s="33"/>
      <c r="L84" s="33"/>
      <c r="M84" s="33"/>
      <c r="N84" s="33"/>
      <c r="O84" s="33"/>
      <c r="P84" s="33"/>
      <c r="Q84" s="33"/>
      <c r="R84" s="33"/>
      <c r="S84" s="33"/>
      <c r="T84" s="33"/>
      <c r="U84" s="33"/>
      <c r="V84" s="33"/>
      <c r="W84" s="33"/>
      <c r="X84" s="33"/>
    </row>
    <row r="85" spans="2:43" s="157" customFormat="1" ht="15" customHeight="1">
      <c r="E85" s="35"/>
      <c r="J85" s="33"/>
      <c r="K85" s="33"/>
      <c r="L85" s="33"/>
      <c r="M85" s="33"/>
      <c r="N85" s="33"/>
      <c r="O85" s="33"/>
      <c r="P85" s="33"/>
      <c r="Q85" s="33"/>
      <c r="R85" s="33"/>
      <c r="S85" s="33"/>
      <c r="T85" s="33"/>
      <c r="U85" s="33"/>
      <c r="V85" s="33"/>
      <c r="W85" s="33"/>
      <c r="X85" s="33"/>
    </row>
    <row r="86" spans="2:43" s="157" customFormat="1" ht="15" customHeight="1">
      <c r="E86" s="157" t="s">
        <v>253</v>
      </c>
      <c r="G86" s="195" t="s">
        <v>27</v>
      </c>
      <c r="J86" s="33"/>
      <c r="K86" s="33"/>
      <c r="L86" s="33"/>
      <c r="M86" s="33"/>
      <c r="N86" s="33"/>
      <c r="O86" s="33"/>
      <c r="P86" s="33"/>
      <c r="Q86" s="33"/>
      <c r="R86" s="33"/>
      <c r="S86" s="33"/>
      <c r="T86" s="33"/>
      <c r="U86" s="33"/>
      <c r="V86" s="33"/>
      <c r="W86" s="33"/>
      <c r="X86" s="33"/>
      <c r="AJ86" s="157">
        <f>AJ41</f>
        <v>-1030.750970109631</v>
      </c>
      <c r="AK86" s="157">
        <f>AK41</f>
        <v>-1118.0242537774518</v>
      </c>
      <c r="AL86" s="157">
        <f t="shared" ref="AL86:AQ86" si="22">AL41</f>
        <v>-1234.4388157396638</v>
      </c>
      <c r="AM86" s="157">
        <f t="shared" si="22"/>
        <v>-1214.3553404300251</v>
      </c>
      <c r="AN86" s="157">
        <f t="shared" si="22"/>
        <v>-1294.9618762309974</v>
      </c>
      <c r="AO86" s="157">
        <f t="shared" si="22"/>
        <v>-1343.2157137837371</v>
      </c>
      <c r="AP86" s="157">
        <f t="shared" si="22"/>
        <v>-1366.5961820119931</v>
      </c>
      <c r="AQ86" s="157">
        <f t="shared" si="22"/>
        <v>-1367.8842590595375</v>
      </c>
    </row>
    <row r="87" spans="2:43" s="157" customFormat="1" ht="15" customHeight="1">
      <c r="E87" s="35" t="s">
        <v>263</v>
      </c>
      <c r="G87" s="195" t="s">
        <v>27</v>
      </c>
      <c r="J87" s="33"/>
      <c r="K87" s="33"/>
      <c r="L87" s="33"/>
      <c r="M87" s="33"/>
      <c r="N87" s="33"/>
      <c r="O87" s="33"/>
      <c r="P87" s="33"/>
      <c r="Q87" s="33"/>
      <c r="R87" s="33"/>
      <c r="S87" s="33"/>
      <c r="T87" s="33"/>
      <c r="U87" s="33"/>
      <c r="V87" s="33"/>
      <c r="W87" s="33"/>
      <c r="X87" s="33"/>
      <c r="AJ87" s="157">
        <f>AJ51</f>
        <v>1585.7707232455862</v>
      </c>
      <c r="AK87" s="157">
        <f t="shared" ref="AK87:AQ87" si="23">AK51</f>
        <v>1671.0751656670916</v>
      </c>
      <c r="AL87" s="157">
        <f t="shared" si="23"/>
        <v>1771.7992750792998</v>
      </c>
      <c r="AM87" s="157">
        <f t="shared" si="23"/>
        <v>1868.2389852769618</v>
      </c>
      <c r="AN87" s="157">
        <f t="shared" si="23"/>
        <v>1958.1810241861015</v>
      </c>
      <c r="AO87" s="157">
        <f t="shared" si="23"/>
        <v>2053.0340818708091</v>
      </c>
      <c r="AP87" s="157">
        <f t="shared" si="23"/>
        <v>2143.8733340576091</v>
      </c>
      <c r="AQ87" s="157">
        <f t="shared" si="23"/>
        <v>2238.7335732237284</v>
      </c>
    </row>
    <row r="88" spans="2:43" s="157" customFormat="1" ht="15" customHeight="1">
      <c r="E88" s="35"/>
      <c r="J88" s="33"/>
      <c r="K88" s="33"/>
      <c r="L88" s="33"/>
      <c r="M88" s="33"/>
      <c r="N88" s="33"/>
      <c r="O88" s="33"/>
      <c r="P88" s="33"/>
      <c r="Q88" s="33"/>
      <c r="R88" s="33"/>
      <c r="S88" s="33"/>
      <c r="T88" s="33"/>
      <c r="U88" s="33"/>
      <c r="V88" s="33"/>
      <c r="W88" s="33"/>
      <c r="X88" s="33"/>
    </row>
    <row r="89" spans="2:43" s="157" customFormat="1" ht="15" customHeight="1">
      <c r="E89" s="157" t="s">
        <v>264</v>
      </c>
      <c r="G89" s="157" t="s">
        <v>49</v>
      </c>
      <c r="J89" s="33"/>
      <c r="K89" s="33"/>
      <c r="L89" s="33"/>
      <c r="M89" s="33"/>
      <c r="N89" s="33"/>
      <c r="O89" s="33"/>
      <c r="P89" s="33"/>
      <c r="Q89" s="33"/>
      <c r="R89" s="33"/>
      <c r="S89" s="33"/>
      <c r="T89" s="33"/>
      <c r="U89" s="33"/>
      <c r="V89" s="33"/>
      <c r="W89" s="33"/>
      <c r="X89" s="33"/>
      <c r="AJ89" s="248">
        <f t="shared" ref="AJ89:AQ89" si="24">-AJ86/AJ87</f>
        <v>0.65</v>
      </c>
      <c r="AK89" s="248">
        <f t="shared" si="24"/>
        <v>0.66904486210297887</v>
      </c>
      <c r="AL89" s="248">
        <f t="shared" si="24"/>
        <v>0.69671482153892095</v>
      </c>
      <c r="AM89" s="248">
        <f t="shared" si="24"/>
        <v>0.64999999999999991</v>
      </c>
      <c r="AN89" s="248">
        <f t="shared" si="24"/>
        <v>0.66130856148462347</v>
      </c>
      <c r="AO89" s="248">
        <f t="shared" si="24"/>
        <v>0.65425884823097713</v>
      </c>
      <c r="AP89" s="248">
        <f t="shared" si="24"/>
        <v>0.63744259527940494</v>
      </c>
      <c r="AQ89" s="248">
        <f t="shared" si="24"/>
        <v>0.61100806072685709</v>
      </c>
    </row>
    <row r="90" spans="2:43" s="157" customFormat="1" ht="15" customHeight="1">
      <c r="E90" s="35"/>
      <c r="J90" s="33"/>
      <c r="K90" s="33"/>
      <c r="L90" s="33"/>
      <c r="M90" s="33"/>
      <c r="N90" s="33"/>
      <c r="O90" s="33"/>
      <c r="P90" s="33"/>
      <c r="Q90" s="33"/>
      <c r="R90" s="33"/>
      <c r="S90" s="33"/>
      <c r="T90" s="33"/>
      <c r="U90" s="33"/>
      <c r="V90" s="33"/>
      <c r="W90" s="33"/>
      <c r="X90" s="33"/>
    </row>
    <row r="91" spans="2:43" s="157" customFormat="1" ht="15" customHeight="1">
      <c r="B91" s="334" t="s">
        <v>101</v>
      </c>
      <c r="C91" s="334"/>
      <c r="D91" s="334"/>
      <c r="E91" s="334"/>
      <c r="F91" s="334"/>
      <c r="G91" s="334"/>
      <c r="H91" s="334"/>
      <c r="I91" s="334"/>
      <c r="J91" s="334"/>
      <c r="K91" s="334"/>
      <c r="L91" s="334"/>
      <c r="M91" s="334"/>
      <c r="N91" s="334"/>
      <c r="O91" s="334"/>
      <c r="P91" s="334"/>
      <c r="Q91" s="334"/>
      <c r="R91" s="334"/>
      <c r="S91" s="334"/>
      <c r="T91" s="334"/>
      <c r="U91" s="334"/>
      <c r="V91" s="334"/>
      <c r="W91" s="334"/>
      <c r="X91" s="334"/>
      <c r="Y91" s="334"/>
      <c r="Z91" s="334"/>
      <c r="AA91" s="334"/>
      <c r="AB91" s="334"/>
      <c r="AC91" s="334"/>
      <c r="AD91" s="334"/>
      <c r="AE91" s="334"/>
      <c r="AF91" s="376"/>
      <c r="AG91" s="376"/>
      <c r="AH91" s="376"/>
      <c r="AI91" s="376"/>
      <c r="AJ91" s="334"/>
      <c r="AK91" s="334"/>
      <c r="AL91" s="334"/>
      <c r="AM91" s="334"/>
      <c r="AN91" s="334"/>
      <c r="AO91" s="334"/>
      <c r="AP91" s="334"/>
      <c r="AQ91" s="334"/>
    </row>
    <row r="92" spans="2:43" s="157" customFormat="1" ht="15" customHeight="1">
      <c r="E92" s="35"/>
      <c r="J92" s="33"/>
      <c r="K92" s="33"/>
      <c r="L92" s="33"/>
      <c r="M92" s="33"/>
      <c r="N92" s="33"/>
      <c r="O92" s="33"/>
      <c r="P92" s="33"/>
      <c r="Q92" s="33"/>
      <c r="R92" s="33"/>
      <c r="S92" s="33"/>
      <c r="T92" s="33"/>
      <c r="U92" s="33"/>
      <c r="V92" s="33"/>
      <c r="W92" s="33"/>
      <c r="X92" s="33"/>
    </row>
    <row r="93" spans="2:43" s="157" customFormat="1" ht="15" customHeight="1">
      <c r="C93" s="332" t="s">
        <v>35</v>
      </c>
      <c r="D93" s="332"/>
      <c r="E93" s="332"/>
      <c r="F93" s="332"/>
      <c r="G93" s="332"/>
      <c r="H93" s="332"/>
      <c r="I93" s="332"/>
      <c r="J93" s="332"/>
      <c r="K93" s="332"/>
      <c r="L93" s="332"/>
      <c r="M93" s="332"/>
      <c r="N93" s="332"/>
      <c r="O93" s="332"/>
      <c r="P93" s="332"/>
      <c r="Q93" s="332"/>
      <c r="R93" s="332"/>
      <c r="S93" s="332"/>
      <c r="T93" s="332"/>
      <c r="U93" s="332"/>
      <c r="V93" s="332"/>
      <c r="W93" s="332"/>
      <c r="X93" s="332"/>
      <c r="Y93" s="332"/>
      <c r="Z93" s="332"/>
      <c r="AA93" s="332"/>
      <c r="AB93" s="332"/>
      <c r="AC93" s="332"/>
      <c r="AD93" s="332"/>
      <c r="AE93" s="332"/>
      <c r="AF93" s="354"/>
      <c r="AG93" s="354"/>
      <c r="AH93" s="354"/>
      <c r="AI93" s="354"/>
      <c r="AJ93" s="332"/>
      <c r="AK93" s="332"/>
      <c r="AL93" s="332"/>
      <c r="AM93" s="332"/>
      <c r="AN93" s="332"/>
      <c r="AO93" s="332"/>
      <c r="AP93" s="332"/>
      <c r="AQ93" s="332"/>
    </row>
    <row r="94" spans="2:43" s="157" customFormat="1" ht="15" customHeight="1">
      <c r="E94" s="35"/>
      <c r="J94" s="33"/>
      <c r="K94" s="33"/>
      <c r="L94" s="33"/>
      <c r="M94" s="33"/>
      <c r="N94" s="33"/>
      <c r="O94" s="33"/>
      <c r="P94" s="33"/>
      <c r="Q94" s="33"/>
      <c r="R94" s="33"/>
      <c r="S94" s="33"/>
      <c r="T94" s="33"/>
      <c r="U94" s="33"/>
      <c r="V94" s="33"/>
      <c r="W94" s="33"/>
      <c r="X94" s="33"/>
    </row>
    <row r="95" spans="2:43" s="157" customFormat="1" ht="15" customHeight="1">
      <c r="D95" s="198" t="s">
        <v>351</v>
      </c>
      <c r="E95" s="198"/>
      <c r="F95" s="198"/>
      <c r="G95" s="198"/>
      <c r="H95" s="198"/>
      <c r="I95" s="198"/>
      <c r="J95" s="198"/>
      <c r="K95" s="198"/>
      <c r="L95" s="198"/>
      <c r="M95" s="198"/>
      <c r="N95" s="198"/>
      <c r="O95" s="198"/>
      <c r="P95" s="198"/>
      <c r="Q95" s="198"/>
      <c r="R95" s="198"/>
      <c r="S95" s="198"/>
      <c r="T95" s="198"/>
      <c r="U95" s="198"/>
      <c r="V95" s="198"/>
      <c r="W95" s="198"/>
      <c r="X95" s="198"/>
      <c r="Y95" s="198"/>
      <c r="Z95" s="198"/>
      <c r="AA95" s="198"/>
      <c r="AB95" s="198"/>
      <c r="AC95" s="198"/>
      <c r="AD95" s="198"/>
      <c r="AE95" s="198"/>
      <c r="AF95" s="198"/>
      <c r="AG95" s="198"/>
      <c r="AH95" s="198"/>
      <c r="AI95" s="198"/>
      <c r="AJ95" s="198"/>
      <c r="AK95" s="198"/>
      <c r="AL95" s="198"/>
      <c r="AM95" s="198"/>
      <c r="AN95" s="198"/>
      <c r="AO95" s="198"/>
      <c r="AP95" s="198"/>
      <c r="AQ95" s="198"/>
    </row>
    <row r="96" spans="2:43" s="157" customFormat="1" ht="15" customHeight="1">
      <c r="D96" s="447"/>
      <c r="E96" s="447"/>
      <c r="F96" s="447"/>
      <c r="G96" s="447"/>
      <c r="H96" s="447"/>
      <c r="I96" s="447"/>
      <c r="J96" s="447"/>
      <c r="K96" s="447"/>
      <c r="L96" s="447"/>
      <c r="M96" s="447"/>
      <c r="N96" s="447"/>
      <c r="O96" s="447"/>
      <c r="P96" s="447"/>
      <c r="Q96" s="447"/>
      <c r="R96" s="447"/>
      <c r="S96" s="447"/>
      <c r="T96" s="447"/>
      <c r="U96" s="447"/>
      <c r="V96" s="447"/>
      <c r="W96" s="447"/>
      <c r="X96" s="447"/>
      <c r="Y96" s="447"/>
      <c r="Z96" s="447"/>
      <c r="AA96" s="447"/>
      <c r="AB96" s="447"/>
      <c r="AC96" s="447"/>
      <c r="AD96" s="447"/>
      <c r="AE96" s="447"/>
      <c r="AF96" s="448"/>
      <c r="AG96" s="448"/>
      <c r="AH96" s="448"/>
      <c r="AI96" s="448"/>
      <c r="AJ96" s="447"/>
      <c r="AK96" s="447"/>
      <c r="AL96" s="447"/>
      <c r="AM96" s="447"/>
      <c r="AN96" s="447"/>
      <c r="AO96" s="447"/>
      <c r="AP96" s="447"/>
      <c r="AQ96" s="447"/>
    </row>
    <row r="97" spans="4:43" s="157" customFormat="1" ht="15" customHeight="1">
      <c r="E97" s="35"/>
      <c r="J97" s="33"/>
      <c r="K97" s="33"/>
      <c r="L97" s="33"/>
      <c r="M97" s="33"/>
      <c r="N97" s="33"/>
      <c r="O97" s="33"/>
      <c r="P97" s="33"/>
      <c r="Q97" s="33"/>
      <c r="R97" s="33"/>
      <c r="S97" s="33"/>
      <c r="T97" s="33"/>
      <c r="U97" s="33"/>
      <c r="V97" s="33"/>
      <c r="W97" s="33"/>
      <c r="X97" s="33"/>
      <c r="AJ97" s="218"/>
      <c r="AK97" s="19"/>
    </row>
    <row r="98" spans="4:43" s="157" customFormat="1" ht="15" customHeight="1">
      <c r="E98" s="157" t="s">
        <v>34</v>
      </c>
      <c r="G98" s="157" t="s">
        <v>42</v>
      </c>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239">
        <f>Input!AJ47</f>
        <v>2.7199999999999998E-2</v>
      </c>
      <c r="AK98" s="239">
        <f>Input!AK47</f>
        <v>2.7199999999999998E-2</v>
      </c>
      <c r="AL98" s="239">
        <f>Input!AL47</f>
        <v>2.7199999999999998E-2</v>
      </c>
      <c r="AM98" s="239">
        <f>Input!AM47</f>
        <v>2.7199999999999998E-2</v>
      </c>
      <c r="AN98" s="239">
        <f>Input!AN47</f>
        <v>2.7199999999999998E-2</v>
      </c>
      <c r="AO98" s="239">
        <f>Input!AO47</f>
        <v>2.7199999999999998E-2</v>
      </c>
      <c r="AP98" s="239">
        <f>Input!AP47</f>
        <v>2.7199999999999998E-2</v>
      </c>
      <c r="AQ98" s="239">
        <f>Input!AQ47</f>
        <v>2.7199999999999998E-2</v>
      </c>
    </row>
    <row r="99" spans="4:43" s="157" customFormat="1" ht="15" customHeight="1">
      <c r="E99" s="157" t="s">
        <v>563</v>
      </c>
      <c r="G99" s="157" t="s">
        <v>55</v>
      </c>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239">
        <f>Input!AJ58/Input!AI58-1</f>
        <v>3.0998154414026535E-2</v>
      </c>
      <c r="AK99" s="239">
        <f>Input!AK58/Input!AJ58-1</f>
        <v>3.0998500794355177E-2</v>
      </c>
      <c r="AL99" s="239">
        <f>Input!AL58/Input!AK58-1</f>
        <v>3.0999732324364926E-2</v>
      </c>
      <c r="AM99" s="239">
        <f>Input!AM58/Input!AL58-1</f>
        <v>3.1000898169978752E-2</v>
      </c>
      <c r="AN99" s="239">
        <f>Input!AN58/Input!AM58-1</f>
        <v>3.1001157013544001E-2</v>
      </c>
      <c r="AO99" s="239">
        <f>Input!AO58/Input!AN58-1</f>
        <v>3.0999768954021789E-2</v>
      </c>
      <c r="AP99" s="239">
        <f>Input!AP58/Input!AO58-1</f>
        <v>3.0999289286148812E-2</v>
      </c>
      <c r="AQ99" s="239">
        <f>Input!AQ58/Input!AP58-1</f>
        <v>3.0998773463335905E-2</v>
      </c>
    </row>
    <row r="100" spans="4:43" s="157" customFormat="1" ht="15" customHeight="1">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246"/>
      <c r="AK100" s="239"/>
      <c r="AL100" s="239"/>
      <c r="AM100" s="239"/>
      <c r="AN100" s="239"/>
      <c r="AO100" s="239"/>
      <c r="AP100" s="239"/>
      <c r="AQ100" s="239"/>
    </row>
    <row r="101" spans="4:43" s="157" customFormat="1" ht="15" customHeight="1">
      <c r="E101" s="157" t="s">
        <v>351</v>
      </c>
      <c r="G101" s="157" t="s">
        <v>254</v>
      </c>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248">
        <f>(((1 + AJ98) * (1 + AJ99)) - 1)</f>
        <v>5.9041304214088042E-2</v>
      </c>
      <c r="AK101" s="248">
        <f t="shared" ref="AK101:AQ101" si="25">((1 + AK98) * (1 + AK99)) - 1</f>
        <v>5.9041660015961561E-2</v>
      </c>
      <c r="AL101" s="248">
        <f t="shared" si="25"/>
        <v>5.9042925043587546E-2</v>
      </c>
      <c r="AM101" s="248">
        <f t="shared" si="25"/>
        <v>5.9044122600202087E-2</v>
      </c>
      <c r="AN101" s="248">
        <f t="shared" si="25"/>
        <v>5.9044388484312371E-2</v>
      </c>
      <c r="AO101" s="248">
        <f t="shared" si="25"/>
        <v>5.9042962669570986E-2</v>
      </c>
      <c r="AP101" s="248">
        <f t="shared" si="25"/>
        <v>5.9042469954732058E-2</v>
      </c>
      <c r="AQ101" s="248">
        <f t="shared" si="25"/>
        <v>5.9041940101538515E-2</v>
      </c>
    </row>
    <row r="102" spans="4:43" s="157" customFormat="1" ht="15" customHeight="1">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19"/>
    </row>
    <row r="103" spans="4:43" s="157" customFormat="1" ht="15" customHeight="1">
      <c r="D103" s="198" t="s">
        <v>407</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157" customFormat="1" ht="15" customHeight="1">
      <c r="E104" s="35"/>
      <c r="J104" s="33"/>
      <c r="K104" s="33"/>
      <c r="L104" s="33"/>
      <c r="M104" s="33"/>
      <c r="N104" s="33"/>
      <c r="O104" s="33"/>
      <c r="P104" s="33"/>
      <c r="Q104" s="33"/>
      <c r="R104" s="33"/>
      <c r="S104" s="33"/>
      <c r="T104" s="33"/>
      <c r="U104" s="33"/>
      <c r="V104" s="33"/>
      <c r="W104" s="33"/>
      <c r="X104" s="33"/>
    </row>
    <row r="105" spans="4:43" s="157" customFormat="1" ht="15" customHeight="1">
      <c r="E105" s="35" t="s">
        <v>174</v>
      </c>
      <c r="G105" s="157" t="s">
        <v>27</v>
      </c>
      <c r="J105" s="33"/>
      <c r="K105" s="33"/>
      <c r="L105" s="33"/>
      <c r="M105" s="33"/>
      <c r="N105" s="33"/>
      <c r="O105" s="33"/>
      <c r="P105" s="33"/>
      <c r="Q105" s="33"/>
      <c r="R105" s="33"/>
      <c r="S105" s="33"/>
      <c r="T105" s="33"/>
      <c r="U105" s="33"/>
      <c r="V105" s="33"/>
      <c r="W105" s="33"/>
      <c r="X105" s="33"/>
      <c r="AJ105" s="157">
        <f>AJ22</f>
        <v>-1030.750970109631</v>
      </c>
      <c r="AK105" s="157">
        <f>AK22</f>
        <v>-1118.0242537774518</v>
      </c>
      <c r="AL105" s="157">
        <f t="shared" ref="AL105:AQ105" si="26">AL22</f>
        <v>-1234.4388157396638</v>
      </c>
      <c r="AM105" s="157">
        <f t="shared" si="26"/>
        <v>-1214.3553404300251</v>
      </c>
      <c r="AN105" s="157">
        <f t="shared" si="26"/>
        <v>-1294.9618762309974</v>
      </c>
      <c r="AO105" s="157">
        <f t="shared" si="26"/>
        <v>-1343.2157137837371</v>
      </c>
      <c r="AP105" s="157">
        <f t="shared" si="26"/>
        <v>-1366.5961820119931</v>
      </c>
      <c r="AQ105" s="157">
        <f t="shared" si="26"/>
        <v>-1367.8842590595375</v>
      </c>
    </row>
    <row r="106" spans="4:43" s="157" customFormat="1" ht="15" customHeight="1">
      <c r="E106" s="35" t="s">
        <v>406</v>
      </c>
      <c r="G106" s="157" t="s">
        <v>27</v>
      </c>
      <c r="J106" s="33"/>
      <c r="K106" s="33"/>
      <c r="L106" s="33"/>
      <c r="M106" s="33"/>
      <c r="N106" s="33"/>
      <c r="O106" s="33"/>
      <c r="P106" s="33"/>
      <c r="Q106" s="33"/>
      <c r="R106" s="33"/>
      <c r="S106" s="33"/>
      <c r="T106" s="33"/>
      <c r="U106" s="33"/>
      <c r="V106" s="33"/>
      <c r="W106" s="33"/>
      <c r="X106" s="33"/>
      <c r="AJ106" s="145">
        <f>AJ31</f>
        <v>-1054.6470421483289</v>
      </c>
      <c r="AK106" s="145">
        <f t="shared" ref="AK106:AQ106" si="27">AK31</f>
        <v>-1165.3161203554828</v>
      </c>
      <c r="AL106" s="145">
        <f t="shared" si="27"/>
        <v>-1265.240251205252</v>
      </c>
      <c r="AM106" s="145">
        <f t="shared" si="27"/>
        <v>-1221.6173352080605</v>
      </c>
      <c r="AN106" s="145">
        <f t="shared" si="27"/>
        <v>-1266.2841245689515</v>
      </c>
      <c r="AO106" s="145">
        <f t="shared" si="27"/>
        <v>-1287.6766449785327</v>
      </c>
      <c r="AP106" s="145">
        <f t="shared" si="27"/>
        <v>-1288.2217502002604</v>
      </c>
      <c r="AQ106" s="145">
        <f t="shared" si="27"/>
        <v>-1254.6583786110177</v>
      </c>
    </row>
    <row r="107" spans="4:43" s="157" customFormat="1" ht="15" customHeight="1">
      <c r="E107" s="35"/>
      <c r="J107" s="33"/>
      <c r="K107" s="33"/>
      <c r="L107" s="33"/>
      <c r="M107" s="33"/>
      <c r="N107" s="33"/>
      <c r="O107" s="33"/>
      <c r="P107" s="33"/>
      <c r="Q107" s="33"/>
      <c r="R107" s="33"/>
      <c r="S107" s="33"/>
      <c r="T107" s="33"/>
      <c r="U107" s="33"/>
      <c r="V107" s="33"/>
      <c r="W107" s="33"/>
      <c r="X107" s="33"/>
    </row>
    <row r="108" spans="4:43" s="157" customFormat="1" ht="15" customHeight="1">
      <c r="E108" s="35" t="s">
        <v>407</v>
      </c>
      <c r="G108" s="157" t="s">
        <v>27</v>
      </c>
      <c r="J108" s="33"/>
      <c r="K108" s="33"/>
      <c r="L108" s="33"/>
      <c r="M108" s="33"/>
      <c r="N108" s="33"/>
      <c r="O108" s="33"/>
      <c r="P108" s="33"/>
      <c r="Q108" s="33"/>
      <c r="R108" s="33"/>
      <c r="S108" s="33"/>
      <c r="T108" s="33"/>
      <c r="U108" s="33"/>
      <c r="V108" s="33"/>
      <c r="W108" s="33"/>
      <c r="X108" s="33"/>
      <c r="AJ108" s="38">
        <f t="shared" ref="AJ108:AQ108" si="28">AVERAGE(AJ105:AJ106)</f>
        <v>-1042.6990061289798</v>
      </c>
      <c r="AK108" s="38">
        <f t="shared" si="28"/>
        <v>-1141.6701870664674</v>
      </c>
      <c r="AL108" s="38">
        <f t="shared" si="28"/>
        <v>-1249.8395334724578</v>
      </c>
      <c r="AM108" s="38">
        <f t="shared" si="28"/>
        <v>-1217.9863378190428</v>
      </c>
      <c r="AN108" s="38">
        <f t="shared" si="28"/>
        <v>-1280.6230003999744</v>
      </c>
      <c r="AO108" s="38">
        <f t="shared" si="28"/>
        <v>-1315.4461793811349</v>
      </c>
      <c r="AP108" s="38">
        <f t="shared" si="28"/>
        <v>-1327.4089661061266</v>
      </c>
      <c r="AQ108" s="38">
        <f t="shared" si="28"/>
        <v>-1311.2713188352777</v>
      </c>
    </row>
    <row r="109" spans="4:43" s="157" customFormat="1" ht="15" customHeight="1">
      <c r="E109" s="35"/>
      <c r="J109" s="33"/>
      <c r="K109" s="33"/>
      <c r="L109" s="33"/>
      <c r="M109" s="33"/>
      <c r="N109" s="33"/>
      <c r="O109" s="33"/>
      <c r="P109" s="33"/>
      <c r="Q109" s="33"/>
      <c r="R109" s="33"/>
      <c r="S109" s="33"/>
      <c r="T109" s="33"/>
      <c r="U109" s="33"/>
      <c r="V109" s="33"/>
      <c r="W109" s="33"/>
      <c r="X109" s="33"/>
    </row>
    <row r="110" spans="4:43" s="157" customFormat="1" ht="15" customHeight="1">
      <c r="D110" s="198" t="s">
        <v>350</v>
      </c>
      <c r="E110" s="198"/>
      <c r="F110" s="198"/>
      <c r="G110" s="198"/>
      <c r="H110" s="198"/>
      <c r="I110" s="198"/>
      <c r="J110" s="198"/>
      <c r="K110" s="198"/>
      <c r="L110" s="198"/>
      <c r="M110" s="198"/>
      <c r="N110" s="198"/>
      <c r="O110" s="198"/>
      <c r="P110" s="198"/>
      <c r="Q110" s="198"/>
      <c r="R110" s="198"/>
      <c r="S110" s="198"/>
      <c r="T110" s="198"/>
      <c r="U110" s="198"/>
      <c r="V110" s="198"/>
      <c r="W110" s="198"/>
      <c r="X110" s="198"/>
      <c r="Y110" s="198"/>
      <c r="Z110" s="198"/>
      <c r="AA110" s="198"/>
      <c r="AB110" s="198"/>
      <c r="AC110" s="198"/>
      <c r="AD110" s="198"/>
      <c r="AE110" s="198"/>
      <c r="AF110" s="198"/>
      <c r="AG110" s="198"/>
      <c r="AH110" s="198"/>
      <c r="AI110" s="198"/>
      <c r="AJ110" s="198"/>
      <c r="AK110" s="198"/>
      <c r="AL110" s="198"/>
      <c r="AM110" s="198"/>
      <c r="AN110" s="198"/>
      <c r="AO110" s="198"/>
      <c r="AP110" s="198"/>
      <c r="AQ110" s="198"/>
    </row>
    <row r="111" spans="4:43" s="157" customFormat="1" ht="15" customHeight="1">
      <c r="E111" s="35"/>
      <c r="J111" s="33"/>
      <c r="K111" s="33"/>
      <c r="L111" s="33"/>
      <c r="M111" s="33"/>
      <c r="N111" s="33"/>
      <c r="O111" s="33"/>
      <c r="P111" s="33"/>
      <c r="Q111" s="33"/>
      <c r="R111" s="33"/>
      <c r="S111" s="33"/>
      <c r="T111" s="33"/>
      <c r="U111" s="33"/>
      <c r="V111" s="33"/>
      <c r="W111" s="33"/>
      <c r="X111" s="33"/>
      <c r="AI111" s="145"/>
      <c r="AJ111" s="217"/>
      <c r="AK111" s="217"/>
      <c r="AL111" s="217"/>
      <c r="AM111" s="217"/>
      <c r="AN111" s="217"/>
      <c r="AO111" s="217"/>
      <c r="AP111" s="217"/>
      <c r="AQ111" s="217"/>
    </row>
    <row r="112" spans="4:43" s="157" customFormat="1" ht="15" customHeight="1">
      <c r="E112" s="35" t="s">
        <v>407</v>
      </c>
      <c r="G112" s="157" t="s">
        <v>27</v>
      </c>
      <c r="J112" s="33"/>
      <c r="K112" s="33"/>
      <c r="L112" s="33"/>
      <c r="M112" s="33"/>
      <c r="N112" s="33"/>
      <c r="O112" s="33"/>
      <c r="P112" s="33"/>
      <c r="Q112" s="33"/>
      <c r="R112" s="33"/>
      <c r="S112" s="33"/>
      <c r="T112" s="33"/>
      <c r="U112" s="33"/>
      <c r="V112" s="33"/>
      <c r="W112" s="33"/>
      <c r="X112" s="33"/>
      <c r="AI112" s="145"/>
      <c r="AJ112" s="157">
        <f>AJ108</f>
        <v>-1042.6990061289798</v>
      </c>
      <c r="AK112" s="157">
        <f t="shared" ref="AK112:AQ112" si="29">AK108</f>
        <v>-1141.6701870664674</v>
      </c>
      <c r="AL112" s="157">
        <f t="shared" si="29"/>
        <v>-1249.8395334724578</v>
      </c>
      <c r="AM112" s="157">
        <f t="shared" si="29"/>
        <v>-1217.9863378190428</v>
      </c>
      <c r="AN112" s="157">
        <f t="shared" si="29"/>
        <v>-1280.6230003999744</v>
      </c>
      <c r="AO112" s="157">
        <f t="shared" si="29"/>
        <v>-1315.4461793811349</v>
      </c>
      <c r="AP112" s="157">
        <f t="shared" si="29"/>
        <v>-1327.4089661061266</v>
      </c>
      <c r="AQ112" s="157">
        <f t="shared" si="29"/>
        <v>-1311.2713188352777</v>
      </c>
    </row>
    <row r="113" spans="4:43" s="157" customFormat="1" ht="15" customHeight="1">
      <c r="E113" s="157" t="s">
        <v>351</v>
      </c>
      <c r="G113" s="165" t="s">
        <v>49</v>
      </c>
      <c r="J113" s="33"/>
      <c r="K113" s="33"/>
      <c r="L113" s="33"/>
      <c r="M113" s="33"/>
      <c r="N113" s="33"/>
      <c r="O113" s="33"/>
      <c r="P113" s="33"/>
      <c r="Q113" s="33"/>
      <c r="R113" s="33"/>
      <c r="S113" s="33"/>
      <c r="T113" s="33"/>
      <c r="U113" s="33"/>
      <c r="V113" s="33"/>
      <c r="W113" s="33"/>
      <c r="X113" s="33"/>
      <c r="AJ113" s="239">
        <f>AJ101</f>
        <v>5.9041304214088042E-2</v>
      </c>
      <c r="AK113" s="239">
        <f t="shared" ref="AK113:AQ113" si="30">AK101</f>
        <v>5.9041660015961561E-2</v>
      </c>
      <c r="AL113" s="239">
        <f t="shared" si="30"/>
        <v>5.9042925043587546E-2</v>
      </c>
      <c r="AM113" s="239">
        <f t="shared" si="30"/>
        <v>5.9044122600202087E-2</v>
      </c>
      <c r="AN113" s="239">
        <f t="shared" si="30"/>
        <v>5.9044388484312371E-2</v>
      </c>
      <c r="AO113" s="239">
        <f t="shared" si="30"/>
        <v>5.9042962669570986E-2</v>
      </c>
      <c r="AP113" s="239">
        <f t="shared" si="30"/>
        <v>5.9042469954732058E-2</v>
      </c>
      <c r="AQ113" s="239">
        <f t="shared" si="30"/>
        <v>5.9041940101538515E-2</v>
      </c>
    </row>
    <row r="114" spans="4:43" s="157" customFormat="1" ht="15" customHeight="1">
      <c r="E114" s="35"/>
      <c r="J114" s="33"/>
      <c r="K114" s="33"/>
      <c r="L114" s="33"/>
      <c r="M114" s="33"/>
      <c r="N114" s="33"/>
      <c r="O114" s="33"/>
      <c r="P114" s="33"/>
      <c r="Q114" s="33"/>
      <c r="R114" s="33"/>
      <c r="S114" s="33"/>
      <c r="T114" s="33"/>
      <c r="U114" s="33"/>
      <c r="V114" s="33"/>
      <c r="W114" s="33"/>
      <c r="X114" s="33"/>
      <c r="AJ114" s="217"/>
      <c r="AK114" s="19"/>
      <c r="AL114" s="19"/>
      <c r="AM114" s="19"/>
      <c r="AN114" s="19"/>
      <c r="AO114" s="19"/>
      <c r="AP114" s="19"/>
      <c r="AQ114" s="19"/>
    </row>
    <row r="115" spans="4:43" s="157" customFormat="1" ht="15" customHeight="1">
      <c r="E115" s="35" t="s">
        <v>350</v>
      </c>
      <c r="G115" s="157" t="s">
        <v>27</v>
      </c>
      <c r="J115" s="33"/>
      <c r="K115" s="33"/>
      <c r="L115" s="33"/>
      <c r="M115" s="33"/>
      <c r="N115" s="33"/>
      <c r="O115" s="33"/>
      <c r="P115" s="33"/>
      <c r="Q115" s="33"/>
      <c r="R115" s="33"/>
      <c r="S115" s="33"/>
      <c r="T115" s="33"/>
      <c r="U115" s="33"/>
      <c r="V115" s="33"/>
      <c r="W115" s="33"/>
      <c r="X115" s="33"/>
      <c r="AJ115" s="38">
        <f>AJ112 * AJ113</f>
        <v>-61.562309224588347</v>
      </c>
      <c r="AK115" s="38">
        <f t="shared" ref="AK115:AQ115" si="31">AK112 * AK113</f>
        <v>-67.406103035137605</v>
      </c>
      <c r="AL115" s="38">
        <f t="shared" si="31"/>
        <v>-73.794181891326758</v>
      </c>
      <c r="AM115" s="38">
        <f t="shared" si="31"/>
        <v>-71.914934655558724</v>
      </c>
      <c r="AN115" s="38">
        <f t="shared" si="31"/>
        <v>-75.61360193756181</v>
      </c>
      <c r="AO115" s="38">
        <f t="shared" si="31"/>
        <v>-77.667839663030122</v>
      </c>
      <c r="AP115" s="38">
        <f t="shared" si="31"/>
        <v>-78.373503998962931</v>
      </c>
      <c r="AQ115" s="38">
        <f t="shared" si="31"/>
        <v>-77.420002663537886</v>
      </c>
    </row>
    <row r="116" spans="4:43" s="157" customFormat="1" ht="15" customHeight="1">
      <c r="E116" s="35"/>
      <c r="J116" s="33"/>
      <c r="K116" s="33"/>
      <c r="L116" s="33"/>
      <c r="M116" s="33"/>
      <c r="N116" s="33"/>
      <c r="O116" s="33"/>
      <c r="P116" s="33"/>
      <c r="Q116" s="33"/>
      <c r="R116" s="33"/>
      <c r="S116" s="33"/>
      <c r="T116" s="33"/>
      <c r="U116" s="33"/>
      <c r="V116" s="33"/>
      <c r="W116" s="33"/>
      <c r="X116" s="33"/>
    </row>
    <row r="117" spans="4:43" s="157" customFormat="1" ht="15" customHeight="1">
      <c r="D117" s="198" t="s">
        <v>361</v>
      </c>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row>
    <row r="118" spans="4:43" s="157" customFormat="1" ht="15" customHeight="1">
      <c r="D118" s="447"/>
      <c r="E118" s="447"/>
      <c r="F118" s="447"/>
      <c r="G118" s="447"/>
      <c r="H118" s="447"/>
      <c r="I118" s="447"/>
      <c r="J118" s="447"/>
      <c r="K118" s="447"/>
      <c r="L118" s="447"/>
      <c r="M118" s="447"/>
      <c r="N118" s="447"/>
      <c r="O118" s="447"/>
      <c r="P118" s="447"/>
      <c r="Q118" s="447"/>
      <c r="R118" s="447"/>
      <c r="S118" s="447"/>
      <c r="T118" s="447"/>
      <c r="U118" s="447"/>
      <c r="V118" s="447"/>
      <c r="W118" s="447"/>
      <c r="X118" s="447"/>
      <c r="Y118" s="447"/>
      <c r="Z118" s="447"/>
      <c r="AA118" s="447"/>
      <c r="AB118" s="447"/>
      <c r="AC118" s="447"/>
      <c r="AD118" s="447"/>
      <c r="AE118" s="447"/>
      <c r="AF118" s="448"/>
      <c r="AG118" s="448"/>
      <c r="AH118" s="448"/>
      <c r="AI118" s="448"/>
      <c r="AJ118" s="447"/>
      <c r="AK118" s="447"/>
      <c r="AL118" s="447"/>
      <c r="AM118" s="447"/>
      <c r="AN118" s="447"/>
      <c r="AO118" s="447"/>
      <c r="AP118" s="447"/>
      <c r="AQ118" s="447"/>
    </row>
    <row r="119" spans="4:43" s="157" customFormat="1" ht="15" customHeight="1">
      <c r="E119" s="35"/>
      <c r="J119" s="33"/>
      <c r="K119" s="33"/>
      <c r="L119" s="33"/>
      <c r="M119" s="33"/>
      <c r="N119" s="33"/>
      <c r="O119" s="33"/>
      <c r="P119" s="33"/>
      <c r="Q119" s="33"/>
      <c r="R119" s="33"/>
      <c r="S119" s="33"/>
      <c r="T119" s="33"/>
      <c r="U119" s="33"/>
      <c r="V119" s="33"/>
      <c r="W119" s="33"/>
      <c r="X119" s="33"/>
      <c r="AJ119" s="217"/>
    </row>
    <row r="120" spans="4:43" s="157" customFormat="1" ht="15" customHeight="1">
      <c r="E120" s="165" t="s">
        <v>256</v>
      </c>
      <c r="G120" s="165" t="s">
        <v>49</v>
      </c>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239">
        <f>Input!AJ87</f>
        <v>0.25</v>
      </c>
      <c r="AK120" s="239">
        <f>Input!AK87</f>
        <v>0.25</v>
      </c>
      <c r="AL120" s="239">
        <f>Input!AL87</f>
        <v>0.25</v>
      </c>
      <c r="AM120" s="239">
        <f>Input!AM87</f>
        <v>0.25</v>
      </c>
      <c r="AN120" s="239">
        <f>Input!AN87</f>
        <v>0.25</v>
      </c>
      <c r="AO120" s="239">
        <f>Input!AO87</f>
        <v>0.25</v>
      </c>
      <c r="AP120" s="239">
        <f>Input!AP87</f>
        <v>0.25</v>
      </c>
      <c r="AQ120" s="239">
        <f>Input!AQ87</f>
        <v>0.25</v>
      </c>
    </row>
    <row r="121" spans="4:43" s="157" customFormat="1" ht="15" customHeight="1">
      <c r="E121" s="157" t="s">
        <v>34</v>
      </c>
      <c r="G121" s="157" t="s">
        <v>42</v>
      </c>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239">
        <f>AJ98</f>
        <v>2.7199999999999998E-2</v>
      </c>
      <c r="AK121" s="239">
        <f t="shared" ref="AK121:AQ121" si="32">AK98</f>
        <v>2.7199999999999998E-2</v>
      </c>
      <c r="AL121" s="239">
        <f t="shared" si="32"/>
        <v>2.7199999999999998E-2</v>
      </c>
      <c r="AM121" s="239">
        <f t="shared" si="32"/>
        <v>2.7199999999999998E-2</v>
      </c>
      <c r="AN121" s="239">
        <f t="shared" si="32"/>
        <v>2.7199999999999998E-2</v>
      </c>
      <c r="AO121" s="239">
        <f t="shared" si="32"/>
        <v>2.7199999999999998E-2</v>
      </c>
      <c r="AP121" s="239">
        <f t="shared" si="32"/>
        <v>2.7199999999999998E-2</v>
      </c>
      <c r="AQ121" s="239">
        <f t="shared" si="32"/>
        <v>2.7199999999999998E-2</v>
      </c>
    </row>
    <row r="122" spans="4:43" s="157" customFormat="1" ht="15" customHeight="1">
      <c r="E122" s="157" t="s">
        <v>351</v>
      </c>
      <c r="G122" s="157" t="s">
        <v>254</v>
      </c>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239">
        <f>AJ101</f>
        <v>5.9041304214088042E-2</v>
      </c>
      <c r="AK122" s="239">
        <f t="shared" ref="AK122:AQ122" si="33">AK101</f>
        <v>5.9041660015961561E-2</v>
      </c>
      <c r="AL122" s="239">
        <f t="shared" si="33"/>
        <v>5.9042925043587546E-2</v>
      </c>
      <c r="AM122" s="239">
        <f t="shared" si="33"/>
        <v>5.9044122600202087E-2</v>
      </c>
      <c r="AN122" s="239">
        <f t="shared" si="33"/>
        <v>5.9044388484312371E-2</v>
      </c>
      <c r="AO122" s="239">
        <f t="shared" si="33"/>
        <v>5.9042962669570986E-2</v>
      </c>
      <c r="AP122" s="239">
        <f t="shared" si="33"/>
        <v>5.9042469954732058E-2</v>
      </c>
      <c r="AQ122" s="239">
        <f t="shared" si="33"/>
        <v>5.9041940101538515E-2</v>
      </c>
    </row>
    <row r="123" spans="4:43" s="157" customFormat="1" ht="15" customHeight="1">
      <c r="E123" s="35"/>
      <c r="J123" s="33"/>
      <c r="K123" s="33"/>
      <c r="L123" s="33"/>
      <c r="M123" s="33"/>
      <c r="N123" s="33"/>
      <c r="O123" s="33"/>
      <c r="P123" s="33"/>
      <c r="Q123" s="33"/>
      <c r="R123" s="33"/>
      <c r="S123" s="33"/>
      <c r="T123" s="33"/>
      <c r="U123" s="33"/>
      <c r="V123" s="33"/>
      <c r="W123" s="33"/>
      <c r="X123" s="33"/>
      <c r="AJ123" s="239"/>
      <c r="AK123" s="239"/>
      <c r="AL123" s="239"/>
      <c r="AM123" s="239"/>
      <c r="AN123" s="239"/>
      <c r="AO123" s="239"/>
      <c r="AP123" s="239"/>
      <c r="AQ123" s="239"/>
    </row>
    <row r="124" spans="4:43" s="157" customFormat="1" ht="15" customHeight="1">
      <c r="E124" s="35" t="s">
        <v>357</v>
      </c>
      <c r="G124" s="157" t="s">
        <v>49</v>
      </c>
      <c r="J124" s="33"/>
      <c r="K124" s="33"/>
      <c r="L124" s="33"/>
      <c r="M124" s="33"/>
      <c r="N124" s="33"/>
      <c r="O124" s="33"/>
      <c r="P124" s="33"/>
      <c r="Q124" s="33"/>
      <c r="R124" s="33"/>
      <c r="S124" s="33"/>
      <c r="T124" s="33"/>
      <c r="U124" s="33"/>
      <c r="V124" s="33"/>
      <c r="W124" s="33"/>
      <c r="X124" s="33"/>
      <c r="AJ124" s="251">
        <f>1 - ((AJ120 * AJ121) + ((1 - AJ120) * AJ122)) / AJ122</f>
        <v>0.13482639246344041</v>
      </c>
      <c r="AK124" s="251">
        <f t="shared" ref="AK124:AQ124" si="34">1 - ((AK120 * AK121) + ((1 - AK120) * AK122)) / AK122</f>
        <v>0.13482708653243047</v>
      </c>
      <c r="AL124" s="251">
        <f t="shared" si="34"/>
        <v>0.13482955417638942</v>
      </c>
      <c r="AM124" s="251">
        <f t="shared" si="34"/>
        <v>0.13483189010963936</v>
      </c>
      <c r="AN124" s="251">
        <f t="shared" si="34"/>
        <v>0.13483240872573854</v>
      </c>
      <c r="AO124" s="251">
        <f t="shared" si="34"/>
        <v>0.13482962757042471</v>
      </c>
      <c r="AP124" s="251">
        <f t="shared" si="34"/>
        <v>0.13482866646308034</v>
      </c>
      <c r="AQ124" s="251">
        <f t="shared" si="34"/>
        <v>0.13482763289442101</v>
      </c>
    </row>
    <row r="125" spans="4:43" s="157" customFormat="1" ht="15" customHeight="1">
      <c r="E125" s="35"/>
      <c r="J125" s="33"/>
      <c r="K125" s="33"/>
      <c r="L125" s="33"/>
      <c r="M125" s="33"/>
      <c r="N125" s="33"/>
      <c r="O125" s="33"/>
      <c r="P125" s="33"/>
      <c r="Q125" s="33"/>
      <c r="R125" s="33"/>
      <c r="S125" s="33"/>
      <c r="T125" s="33"/>
      <c r="U125" s="33"/>
      <c r="V125" s="33"/>
      <c r="W125" s="33"/>
      <c r="X125" s="33"/>
    </row>
    <row r="126" spans="4:43" s="157" customFormat="1" ht="15" customHeight="1">
      <c r="D126" s="198" t="s">
        <v>356</v>
      </c>
      <c r="E126" s="198"/>
      <c r="F126" s="198"/>
      <c r="G126" s="198"/>
      <c r="H126" s="198"/>
      <c r="I126" s="198"/>
      <c r="J126" s="198"/>
      <c r="K126" s="198"/>
      <c r="L126" s="198"/>
      <c r="M126" s="198"/>
      <c r="N126" s="198"/>
      <c r="O126" s="198"/>
      <c r="P126" s="198"/>
      <c r="Q126" s="198"/>
      <c r="R126" s="198"/>
      <c r="S126" s="198"/>
      <c r="T126" s="198"/>
      <c r="U126" s="198"/>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row>
    <row r="127" spans="4:43" s="157" customFormat="1" ht="15" customHeight="1">
      <c r="E127" s="35"/>
      <c r="J127" s="33"/>
      <c r="K127" s="33"/>
      <c r="L127" s="33"/>
      <c r="M127" s="33"/>
      <c r="N127" s="33"/>
      <c r="O127" s="33"/>
      <c r="P127" s="33"/>
      <c r="Q127" s="33"/>
      <c r="R127" s="33"/>
      <c r="S127" s="33"/>
      <c r="T127" s="33"/>
      <c r="U127" s="33"/>
      <c r="V127" s="33"/>
      <c r="W127" s="33"/>
      <c r="X127" s="33"/>
    </row>
    <row r="128" spans="4:43" s="157" customFormat="1" ht="15" customHeight="1">
      <c r="E128" s="157" t="s">
        <v>350</v>
      </c>
      <c r="G128" s="157" t="s">
        <v>27</v>
      </c>
      <c r="J128" s="33"/>
      <c r="K128" s="33"/>
      <c r="L128" s="33"/>
      <c r="M128" s="33"/>
      <c r="N128" s="33"/>
      <c r="O128" s="33"/>
      <c r="P128" s="33"/>
      <c r="Q128" s="33"/>
      <c r="R128" s="33"/>
      <c r="S128" s="33"/>
      <c r="T128" s="33"/>
      <c r="U128" s="33"/>
      <c r="V128" s="33"/>
      <c r="W128" s="33"/>
      <c r="X128" s="33"/>
      <c r="AJ128" s="157">
        <f>AJ115</f>
        <v>-61.562309224588347</v>
      </c>
      <c r="AK128" s="157">
        <f t="shared" ref="AK128:AQ128" si="35">AK115</f>
        <v>-67.406103035137605</v>
      </c>
      <c r="AL128" s="157">
        <f t="shared" si="35"/>
        <v>-73.794181891326758</v>
      </c>
      <c r="AM128" s="157">
        <f t="shared" si="35"/>
        <v>-71.914934655558724</v>
      </c>
      <c r="AN128" s="157">
        <f t="shared" si="35"/>
        <v>-75.61360193756181</v>
      </c>
      <c r="AO128" s="157">
        <f t="shared" si="35"/>
        <v>-77.667839663030122</v>
      </c>
      <c r="AP128" s="157">
        <f t="shared" si="35"/>
        <v>-78.373503998962931</v>
      </c>
      <c r="AQ128" s="157">
        <f t="shared" si="35"/>
        <v>-77.420002663537886</v>
      </c>
    </row>
    <row r="129" spans="3:43" s="157" customFormat="1" ht="15" customHeight="1">
      <c r="E129" s="35" t="s">
        <v>357</v>
      </c>
      <c r="G129" s="157" t="s">
        <v>49</v>
      </c>
      <c r="J129" s="33"/>
      <c r="K129" s="33"/>
      <c r="L129" s="33"/>
      <c r="M129" s="33"/>
      <c r="N129" s="33"/>
      <c r="O129" s="33"/>
      <c r="P129" s="33"/>
      <c r="Q129" s="33"/>
      <c r="R129" s="33"/>
      <c r="S129" s="33"/>
      <c r="T129" s="33"/>
      <c r="U129" s="33"/>
      <c r="V129" s="33"/>
      <c r="W129" s="33"/>
      <c r="X129" s="33"/>
      <c r="AJ129" s="246">
        <f t="shared" ref="AJ129:AQ129" si="36">AJ124</f>
        <v>0.13482639246344041</v>
      </c>
      <c r="AK129" s="246">
        <f t="shared" si="36"/>
        <v>0.13482708653243047</v>
      </c>
      <c r="AL129" s="246">
        <f t="shared" si="36"/>
        <v>0.13482955417638942</v>
      </c>
      <c r="AM129" s="246">
        <f t="shared" si="36"/>
        <v>0.13483189010963936</v>
      </c>
      <c r="AN129" s="246">
        <f t="shared" si="36"/>
        <v>0.13483240872573854</v>
      </c>
      <c r="AO129" s="246">
        <f t="shared" si="36"/>
        <v>0.13482962757042471</v>
      </c>
      <c r="AP129" s="246">
        <f t="shared" si="36"/>
        <v>0.13482866646308034</v>
      </c>
      <c r="AQ129" s="246">
        <f t="shared" si="36"/>
        <v>0.13482763289442101</v>
      </c>
    </row>
    <row r="130" spans="3:43" s="157" customFormat="1" ht="15" customHeight="1">
      <c r="E130" s="35"/>
      <c r="J130" s="33"/>
      <c r="K130" s="33"/>
      <c r="L130" s="33"/>
      <c r="M130" s="33"/>
      <c r="N130" s="33"/>
      <c r="O130" s="33"/>
      <c r="P130" s="33"/>
      <c r="Q130" s="33"/>
      <c r="R130" s="33"/>
      <c r="S130" s="33"/>
      <c r="T130" s="33"/>
      <c r="U130" s="33"/>
      <c r="V130" s="33"/>
      <c r="W130" s="33"/>
      <c r="X130" s="33"/>
    </row>
    <row r="131" spans="3:43" s="157" customFormat="1" ht="15" customHeight="1">
      <c r="E131" s="35" t="s">
        <v>352</v>
      </c>
      <c r="G131" s="157" t="s">
        <v>27</v>
      </c>
      <c r="J131" s="33"/>
      <c r="K131" s="33"/>
      <c r="L131" s="33"/>
      <c r="M131" s="33"/>
      <c r="N131" s="33"/>
      <c r="O131" s="33"/>
      <c r="P131" s="33"/>
      <c r="Q131" s="33"/>
      <c r="R131" s="33"/>
      <c r="S131" s="33"/>
      <c r="T131" s="33"/>
      <c r="U131" s="33"/>
      <c r="V131" s="33"/>
      <c r="W131" s="33"/>
      <c r="X131" s="33"/>
      <c r="AJ131" s="38">
        <f>AJ$128 * (1 - AJ$129)</f>
        <v>-53.262085160118318</v>
      </c>
      <c r="AK131" s="38">
        <f t="shared" ref="AK131:AQ131" si="37">AK$128 * (1 - AK$129)</f>
        <v>-58.317934548405184</v>
      </c>
      <c r="AL131" s="38">
        <f t="shared" si="37"/>
        <v>-63.844545246107785</v>
      </c>
      <c r="AM131" s="38">
        <f t="shared" si="37"/>
        <v>-62.218508088838533</v>
      </c>
      <c r="AN131" s="38">
        <f t="shared" si="37"/>
        <v>-65.418437855891185</v>
      </c>
      <c r="AO131" s="38">
        <f t="shared" si="37"/>
        <v>-67.195913767064312</v>
      </c>
      <c r="AP131" s="38">
        <f t="shared" si="37"/>
        <v>-67.80650896874387</v>
      </c>
      <c r="AQ131" s="38">
        <f t="shared" si="37"/>
        <v>-66.981646965733304</v>
      </c>
    </row>
    <row r="132" spans="3:43" s="157" customFormat="1" ht="15" customHeight="1">
      <c r="E132" s="35"/>
      <c r="J132" s="33"/>
      <c r="K132" s="33"/>
      <c r="L132" s="33"/>
      <c r="M132" s="33"/>
      <c r="N132" s="33"/>
      <c r="O132" s="33"/>
      <c r="P132" s="33"/>
      <c r="Q132" s="33"/>
      <c r="R132" s="33"/>
      <c r="S132" s="33"/>
      <c r="T132" s="33"/>
      <c r="U132" s="33"/>
      <c r="V132" s="33"/>
      <c r="W132" s="33"/>
      <c r="X132" s="33"/>
    </row>
    <row r="133" spans="3:43" s="157" customFormat="1" ht="15" customHeight="1">
      <c r="E133" s="35" t="s">
        <v>353</v>
      </c>
      <c r="G133" s="157" t="s">
        <v>27</v>
      </c>
      <c r="J133" s="33"/>
      <c r="K133" s="33"/>
      <c r="L133" s="33"/>
      <c r="M133" s="33"/>
      <c r="N133" s="33"/>
      <c r="O133" s="33"/>
      <c r="P133" s="33"/>
      <c r="Q133" s="33"/>
      <c r="R133" s="33"/>
      <c r="S133" s="33"/>
      <c r="T133" s="33"/>
      <c r="U133" s="33"/>
      <c r="V133" s="33"/>
      <c r="W133" s="33"/>
      <c r="X133" s="33"/>
      <c r="AJ133" s="38">
        <f>AJ$128 * AJ$129</f>
        <v>-8.3002240644700258</v>
      </c>
      <c r="AK133" s="38">
        <f t="shared" ref="AK133:AQ133" si="38">AK$128 * AK$129</f>
        <v>-9.0881684867324228</v>
      </c>
      <c r="AL133" s="38">
        <f t="shared" si="38"/>
        <v>-9.9496366452189768</v>
      </c>
      <c r="AM133" s="38">
        <f t="shared" si="38"/>
        <v>-9.6964265667201897</v>
      </c>
      <c r="AN133" s="38">
        <f t="shared" si="38"/>
        <v>-10.195164081670629</v>
      </c>
      <c r="AO133" s="38">
        <f t="shared" si="38"/>
        <v>-10.471925895965812</v>
      </c>
      <c r="AP133" s="38">
        <f t="shared" si="38"/>
        <v>-10.566995030219067</v>
      </c>
      <c r="AQ133" s="38">
        <f t="shared" si="38"/>
        <v>-10.438355697804583</v>
      </c>
    </row>
    <row r="134" spans="3:43" s="157" customFormat="1" ht="15" customHeight="1">
      <c r="E134" s="35"/>
      <c r="J134" s="33"/>
      <c r="K134" s="33"/>
      <c r="L134" s="33"/>
      <c r="M134" s="33"/>
      <c r="N134" s="33"/>
      <c r="O134" s="33"/>
      <c r="P134" s="33"/>
      <c r="Q134" s="33"/>
      <c r="R134" s="33"/>
      <c r="S134" s="33"/>
      <c r="T134" s="33"/>
      <c r="U134" s="33"/>
      <c r="V134" s="33"/>
      <c r="W134" s="33"/>
      <c r="X134" s="33"/>
    </row>
    <row r="135" spans="3:43" s="157" customFormat="1" ht="15" customHeight="1">
      <c r="E135" s="35"/>
      <c r="J135" s="33"/>
      <c r="K135" s="33"/>
      <c r="L135" s="33"/>
      <c r="M135" s="33"/>
      <c r="N135" s="33"/>
      <c r="O135" s="33"/>
      <c r="P135" s="33"/>
      <c r="Q135" s="33"/>
      <c r="R135" s="33"/>
      <c r="S135" s="33"/>
      <c r="T135" s="33"/>
      <c r="U135" s="33"/>
      <c r="V135" s="33"/>
      <c r="W135" s="33"/>
      <c r="X135" s="33"/>
    </row>
    <row r="136" spans="3:43" s="157" customFormat="1" ht="15" customHeight="1">
      <c r="C136" s="332" t="s">
        <v>102</v>
      </c>
      <c r="D136" s="332"/>
      <c r="E136" s="332"/>
      <c r="F136" s="332"/>
      <c r="G136" s="332"/>
      <c r="H136" s="332"/>
      <c r="I136" s="332"/>
      <c r="J136" s="332"/>
      <c r="K136" s="332"/>
      <c r="L136" s="332"/>
      <c r="M136" s="332"/>
      <c r="N136" s="332"/>
      <c r="O136" s="332"/>
      <c r="P136" s="332"/>
      <c r="Q136" s="332"/>
      <c r="R136" s="332"/>
      <c r="S136" s="332"/>
      <c r="T136" s="332"/>
      <c r="U136" s="332"/>
      <c r="V136" s="332"/>
      <c r="W136" s="332"/>
      <c r="X136" s="332"/>
      <c r="Y136" s="332"/>
      <c r="Z136" s="332"/>
      <c r="AA136" s="332"/>
      <c r="AB136" s="332"/>
      <c r="AC136" s="332"/>
      <c r="AD136" s="332"/>
      <c r="AE136" s="332"/>
      <c r="AF136" s="354"/>
      <c r="AG136" s="354"/>
      <c r="AH136" s="354"/>
      <c r="AI136" s="354"/>
      <c r="AJ136" s="332"/>
      <c r="AK136" s="332"/>
      <c r="AL136" s="332"/>
      <c r="AM136" s="332"/>
      <c r="AN136" s="332"/>
      <c r="AO136" s="332"/>
      <c r="AP136" s="332"/>
      <c r="AQ136" s="332"/>
    </row>
    <row r="137" spans="3:43" s="157" customFormat="1" ht="15" customHeight="1">
      <c r="C137" s="447"/>
      <c r="D137" s="447"/>
      <c r="E137" s="447"/>
      <c r="F137" s="447"/>
      <c r="G137" s="447"/>
      <c r="H137" s="447"/>
      <c r="I137" s="447"/>
      <c r="J137" s="447"/>
      <c r="K137" s="447"/>
      <c r="L137" s="447"/>
      <c r="M137" s="447"/>
      <c r="N137" s="447"/>
      <c r="O137" s="447"/>
      <c r="P137" s="447"/>
      <c r="Q137" s="447"/>
      <c r="R137" s="447"/>
      <c r="S137" s="447"/>
      <c r="T137" s="447"/>
      <c r="U137" s="447"/>
      <c r="V137" s="447"/>
      <c r="W137" s="447"/>
      <c r="X137" s="447"/>
      <c r="Y137" s="447"/>
      <c r="Z137" s="447"/>
      <c r="AA137" s="447"/>
      <c r="AB137" s="447"/>
      <c r="AC137" s="447"/>
      <c r="AD137" s="447"/>
      <c r="AE137" s="447"/>
      <c r="AF137" s="448"/>
      <c r="AG137" s="448"/>
      <c r="AH137" s="448"/>
      <c r="AI137" s="448"/>
      <c r="AJ137" s="447"/>
      <c r="AK137" s="447"/>
      <c r="AL137" s="447"/>
      <c r="AM137" s="447"/>
      <c r="AN137" s="447"/>
      <c r="AO137" s="447"/>
      <c r="AP137" s="447"/>
      <c r="AQ137" s="447"/>
    </row>
    <row r="138" spans="3:43" s="157" customFormat="1" ht="15" customHeight="1">
      <c r="J138" s="33"/>
      <c r="K138" s="33"/>
      <c r="L138" s="33"/>
      <c r="M138" s="33"/>
      <c r="N138" s="33"/>
      <c r="O138" s="33"/>
      <c r="P138" s="33"/>
      <c r="Q138" s="33"/>
      <c r="R138" s="33"/>
      <c r="S138" s="33"/>
      <c r="T138" s="33"/>
      <c r="U138" s="33"/>
      <c r="V138" s="33"/>
      <c r="W138" s="33"/>
      <c r="X138" s="33"/>
    </row>
    <row r="139" spans="3:43" s="157" customFormat="1" ht="15" customHeight="1">
      <c r="E139" s="157" t="s">
        <v>147</v>
      </c>
      <c r="G139" s="157" t="s">
        <v>27</v>
      </c>
      <c r="J139" s="33"/>
      <c r="K139" s="33"/>
      <c r="L139" s="33"/>
      <c r="M139" s="33"/>
      <c r="N139" s="33"/>
      <c r="O139" s="33"/>
      <c r="P139" s="33"/>
      <c r="Q139" s="33"/>
      <c r="R139" s="33"/>
      <c r="S139" s="33"/>
      <c r="T139" s="33"/>
      <c r="U139" s="33"/>
      <c r="V139" s="33"/>
      <c r="W139" s="33"/>
      <c r="X139" s="33"/>
      <c r="AJ139" s="42">
        <f>AJ66</f>
        <v>0</v>
      </c>
    </row>
    <row r="140" spans="3:43" s="157" customFormat="1" ht="15" customHeight="1">
      <c r="E140" s="157" t="s">
        <v>12</v>
      </c>
      <c r="G140" s="157" t="s">
        <v>27</v>
      </c>
      <c r="J140" s="33"/>
      <c r="K140" s="33"/>
      <c r="L140" s="33"/>
      <c r="M140" s="33"/>
      <c r="N140" s="33"/>
      <c r="O140" s="33"/>
      <c r="P140" s="33"/>
      <c r="Q140" s="33"/>
      <c r="R140" s="33"/>
      <c r="S140" s="33"/>
      <c r="T140" s="33"/>
      <c r="U140" s="33"/>
      <c r="V140" s="33"/>
      <c r="W140" s="33"/>
      <c r="X140" s="33"/>
      <c r="AJ140" s="42"/>
      <c r="AK140" s="157">
        <f t="shared" ref="AK140:AQ140" si="39">AK80</f>
        <v>0</v>
      </c>
      <c r="AL140" s="157">
        <f t="shared" si="39"/>
        <v>0</v>
      </c>
      <c r="AM140" s="157">
        <f t="shared" si="39"/>
        <v>126.24319777429439</v>
      </c>
      <c r="AN140" s="157">
        <f t="shared" si="39"/>
        <v>0</v>
      </c>
      <c r="AO140" s="157">
        <f t="shared" si="39"/>
        <v>0</v>
      </c>
      <c r="AP140" s="157">
        <f t="shared" si="39"/>
        <v>0</v>
      </c>
      <c r="AQ140" s="157">
        <f t="shared" si="39"/>
        <v>0</v>
      </c>
    </row>
    <row r="141" spans="3:43" s="157" customFormat="1" ht="15" customHeight="1">
      <c r="E141" s="157" t="s">
        <v>159</v>
      </c>
      <c r="G141" s="157" t="s">
        <v>27</v>
      </c>
      <c r="J141" s="33"/>
      <c r="K141" s="33"/>
      <c r="L141" s="33"/>
      <c r="M141" s="33"/>
      <c r="N141" s="33"/>
      <c r="O141" s="33"/>
      <c r="P141" s="33"/>
      <c r="Q141" s="33"/>
      <c r="R141" s="33"/>
      <c r="S141" s="33"/>
      <c r="T141" s="33"/>
      <c r="U141" s="33"/>
      <c r="V141" s="33"/>
      <c r="W141" s="33"/>
      <c r="X141" s="33"/>
      <c r="AJ141" s="167">
        <f>IF(SUM(AJ139:AJ140) &gt; 0,SUM(AJ139:AJ140),0)</f>
        <v>0</v>
      </c>
      <c r="AK141" s="167">
        <f t="shared" ref="AK141:AQ141" si="40">IF(SUM(AK139:AK140) &gt; 0,SUM(AK139:AK140),0)</f>
        <v>0</v>
      </c>
      <c r="AL141" s="167">
        <f t="shared" si="40"/>
        <v>0</v>
      </c>
      <c r="AM141" s="167">
        <f t="shared" si="40"/>
        <v>126.24319777429439</v>
      </c>
      <c r="AN141" s="167">
        <f t="shared" si="40"/>
        <v>0</v>
      </c>
      <c r="AO141" s="167">
        <f t="shared" si="40"/>
        <v>0</v>
      </c>
      <c r="AP141" s="167">
        <f t="shared" si="40"/>
        <v>0</v>
      </c>
      <c r="AQ141" s="167">
        <f t="shared" si="40"/>
        <v>0</v>
      </c>
    </row>
    <row r="142" spans="3:43" s="157" customFormat="1" ht="15" customHeight="1">
      <c r="J142" s="33"/>
      <c r="K142" s="33"/>
      <c r="L142" s="33"/>
      <c r="M142" s="33"/>
      <c r="N142" s="33"/>
      <c r="O142" s="33"/>
      <c r="P142" s="33"/>
      <c r="Q142" s="33"/>
      <c r="R142" s="33"/>
      <c r="S142" s="33"/>
      <c r="T142" s="33"/>
      <c r="U142" s="33"/>
      <c r="V142" s="33"/>
      <c r="W142" s="33"/>
      <c r="X142" s="33"/>
    </row>
    <row r="143" spans="3:43" s="157" customFormat="1" ht="15" customHeight="1">
      <c r="E143" s="157" t="s">
        <v>265</v>
      </c>
      <c r="G143" s="157" t="s">
        <v>49</v>
      </c>
      <c r="I143" s="239">
        <f>Input!I82</f>
        <v>0.05</v>
      </c>
      <c r="J143" s="33"/>
      <c r="K143" s="33"/>
      <c r="L143" s="33"/>
      <c r="M143" s="33"/>
      <c r="N143" s="33"/>
      <c r="O143" s="33"/>
      <c r="P143" s="33"/>
      <c r="Q143" s="33"/>
      <c r="R143" s="33"/>
      <c r="S143" s="33"/>
      <c r="T143" s="33"/>
      <c r="U143" s="33"/>
      <c r="V143" s="33"/>
      <c r="W143" s="33"/>
      <c r="X143" s="33"/>
    </row>
    <row r="144" spans="3:43" s="157" customFormat="1" ht="15" customHeight="1">
      <c r="J144" s="33"/>
      <c r="K144" s="33"/>
      <c r="L144" s="33"/>
      <c r="M144" s="33"/>
      <c r="N144" s="33"/>
      <c r="O144" s="33"/>
      <c r="P144" s="33"/>
      <c r="Q144" s="33"/>
      <c r="R144" s="33"/>
      <c r="S144" s="33"/>
      <c r="T144" s="33"/>
      <c r="U144" s="33"/>
      <c r="V144" s="33"/>
      <c r="W144" s="33"/>
      <c r="X144" s="33"/>
    </row>
    <row r="145" spans="2:46" s="157" customFormat="1" ht="15" customHeight="1">
      <c r="E145" s="195" t="s">
        <v>105</v>
      </c>
      <c r="G145" s="157" t="s">
        <v>27</v>
      </c>
      <c r="J145" s="33"/>
      <c r="K145" s="33"/>
      <c r="L145" s="33"/>
      <c r="M145" s="33"/>
      <c r="N145" s="33"/>
      <c r="O145" s="33"/>
      <c r="P145" s="33"/>
      <c r="Q145" s="33"/>
      <c r="R145" s="33"/>
      <c r="S145" s="33"/>
      <c r="T145" s="33"/>
      <c r="U145" s="33"/>
      <c r="V145" s="33"/>
      <c r="W145" s="33"/>
      <c r="X145" s="33"/>
      <c r="AJ145" s="38">
        <f>AJ141 * $I143</f>
        <v>0</v>
      </c>
      <c r="AK145" s="38">
        <f t="shared" ref="AK145:AQ145" si="41">AK141 * $I143</f>
        <v>0</v>
      </c>
      <c r="AL145" s="38">
        <f t="shared" si="41"/>
        <v>0</v>
      </c>
      <c r="AM145" s="38">
        <f t="shared" si="41"/>
        <v>6.3121598887147199</v>
      </c>
      <c r="AN145" s="38">
        <f t="shared" si="41"/>
        <v>0</v>
      </c>
      <c r="AO145" s="38">
        <f t="shared" si="41"/>
        <v>0</v>
      </c>
      <c r="AP145" s="38">
        <f t="shared" si="41"/>
        <v>0</v>
      </c>
      <c r="AQ145" s="38">
        <f t="shared" si="41"/>
        <v>0</v>
      </c>
    </row>
    <row r="146" spans="2:46" s="157" customFormat="1" ht="15" customHeight="1">
      <c r="J146" s="33"/>
      <c r="K146" s="33"/>
      <c r="L146" s="33"/>
      <c r="M146" s="33"/>
      <c r="N146" s="33"/>
      <c r="O146" s="33"/>
      <c r="P146" s="33"/>
      <c r="Q146" s="33"/>
      <c r="R146" s="33"/>
      <c r="S146" s="33"/>
      <c r="T146" s="33"/>
      <c r="U146" s="33"/>
      <c r="V146" s="33"/>
      <c r="W146" s="33"/>
      <c r="X146" s="33"/>
    </row>
    <row r="147" spans="2:46" s="157" customFormat="1" ht="15" customHeight="1">
      <c r="C147" s="332" t="s">
        <v>1</v>
      </c>
      <c r="D147" s="332"/>
      <c r="E147" s="332"/>
      <c r="F147" s="332"/>
      <c r="G147" s="332"/>
      <c r="H147" s="332"/>
      <c r="I147" s="332"/>
      <c r="J147" s="332"/>
      <c r="K147" s="332"/>
      <c r="L147" s="332"/>
      <c r="M147" s="332"/>
      <c r="N147" s="332"/>
      <c r="O147" s="332"/>
      <c r="P147" s="332"/>
      <c r="Q147" s="332"/>
      <c r="R147" s="332"/>
      <c r="S147" s="332"/>
      <c r="T147" s="332"/>
      <c r="U147" s="332"/>
      <c r="V147" s="332"/>
      <c r="W147" s="332"/>
      <c r="X147" s="332"/>
      <c r="Y147" s="332"/>
      <c r="Z147" s="332"/>
      <c r="AA147" s="332"/>
      <c r="AB147" s="332"/>
      <c r="AC147" s="332"/>
      <c r="AD147" s="332"/>
      <c r="AE147" s="332"/>
      <c r="AF147" s="354"/>
      <c r="AG147" s="354"/>
      <c r="AH147" s="354"/>
      <c r="AI147" s="354"/>
      <c r="AJ147" s="332"/>
      <c r="AK147" s="332"/>
      <c r="AL147" s="332"/>
      <c r="AM147" s="332"/>
      <c r="AN147" s="332"/>
      <c r="AO147" s="332"/>
      <c r="AP147" s="332"/>
      <c r="AQ147" s="332"/>
    </row>
    <row r="148" spans="2:46" s="157" customFormat="1" ht="15" customHeight="1">
      <c r="C148" s="447"/>
      <c r="D148" s="447"/>
      <c r="E148" s="447"/>
      <c r="F148" s="447"/>
      <c r="G148" s="447"/>
      <c r="H148" s="447"/>
      <c r="I148" s="447"/>
      <c r="J148" s="447"/>
      <c r="K148" s="447"/>
      <c r="L148" s="447"/>
      <c r="M148" s="447"/>
      <c r="N148" s="447"/>
      <c r="O148" s="447"/>
      <c r="P148" s="447"/>
      <c r="Q148" s="447"/>
      <c r="R148" s="447"/>
      <c r="S148" s="447"/>
      <c r="T148" s="447"/>
      <c r="U148" s="447"/>
      <c r="V148" s="447"/>
      <c r="W148" s="447"/>
      <c r="X148" s="447"/>
      <c r="Y148" s="447"/>
      <c r="Z148" s="447"/>
      <c r="AA148" s="447"/>
      <c r="AB148" s="447"/>
      <c r="AC148" s="447"/>
      <c r="AD148" s="447"/>
      <c r="AE148" s="447"/>
      <c r="AF148" s="448"/>
      <c r="AG148" s="448"/>
      <c r="AH148" s="448"/>
      <c r="AI148" s="448"/>
      <c r="AJ148" s="447"/>
      <c r="AK148" s="447"/>
      <c r="AL148" s="447"/>
      <c r="AM148" s="447"/>
      <c r="AN148" s="447"/>
      <c r="AO148" s="447"/>
      <c r="AP148" s="447"/>
      <c r="AQ148" s="447"/>
    </row>
    <row r="149" spans="2:46" s="157" customFormat="1" ht="15" customHeight="1">
      <c r="C149" s="447"/>
      <c r="D149" s="447"/>
      <c r="E149" s="447"/>
      <c r="F149" s="447"/>
      <c r="G149" s="447"/>
      <c r="H149" s="447"/>
      <c r="I149" s="447"/>
      <c r="J149" s="447"/>
      <c r="K149" s="447"/>
      <c r="L149" s="447"/>
      <c r="M149" s="447"/>
      <c r="N149" s="447"/>
      <c r="O149" s="447"/>
      <c r="P149" s="447"/>
      <c r="Q149" s="447"/>
      <c r="R149" s="447"/>
      <c r="S149" s="447"/>
      <c r="T149" s="447"/>
      <c r="U149" s="447"/>
      <c r="V149" s="447"/>
      <c r="W149" s="447"/>
      <c r="X149" s="447"/>
      <c r="Y149" s="447"/>
      <c r="Z149" s="447"/>
      <c r="AA149" s="447"/>
      <c r="AB149" s="447"/>
      <c r="AC149" s="447"/>
      <c r="AD149" s="447"/>
      <c r="AE149" s="447"/>
      <c r="AF149" s="448"/>
      <c r="AG149" s="448"/>
      <c r="AH149" s="448"/>
      <c r="AI149" s="448"/>
      <c r="AJ149" s="447"/>
      <c r="AK149" s="447"/>
      <c r="AL149" s="447"/>
      <c r="AM149" s="447"/>
      <c r="AN149" s="447"/>
      <c r="AO149" s="447"/>
      <c r="AP149" s="447"/>
      <c r="AQ149" s="447"/>
    </row>
    <row r="150" spans="2:46" s="157" customFormat="1" ht="15" customHeight="1">
      <c r="E150" s="35"/>
      <c r="J150" s="33"/>
      <c r="K150" s="33"/>
      <c r="L150" s="33"/>
      <c r="M150" s="33"/>
      <c r="N150" s="33"/>
      <c r="O150" s="33"/>
      <c r="P150" s="33"/>
      <c r="Q150" s="33"/>
      <c r="R150" s="33"/>
      <c r="S150" s="33"/>
      <c r="T150" s="33"/>
      <c r="U150" s="33"/>
      <c r="V150" s="33"/>
      <c r="W150" s="33"/>
      <c r="X150" s="33"/>
    </row>
    <row r="151" spans="2:46" s="157" customFormat="1" ht="15" customHeight="1">
      <c r="E151" s="35" t="s">
        <v>104</v>
      </c>
      <c r="G151" s="157" t="s">
        <v>27</v>
      </c>
      <c r="J151" s="33" t="s">
        <v>56</v>
      </c>
      <c r="K151" s="33"/>
      <c r="L151" s="33"/>
      <c r="M151" s="33"/>
      <c r="N151" s="33"/>
      <c r="O151" s="33"/>
      <c r="P151" s="33"/>
      <c r="Q151" s="33"/>
      <c r="R151" s="33"/>
      <c r="S151" s="33"/>
      <c r="T151" s="33"/>
      <c r="U151" s="33"/>
      <c r="V151" s="33"/>
      <c r="W151" s="33"/>
      <c r="X151" s="33"/>
      <c r="AJ151" s="157">
        <f>'Return&amp;RAV'!AJ47 * Input!AJ57 / Input!$AG$57</f>
        <v>1671.0751656670916</v>
      </c>
      <c r="AK151" s="157">
        <f>'Return&amp;RAV'!AK47 * Input!AK57 / Input!$AG$57</f>
        <v>1771.7992750792998</v>
      </c>
      <c r="AL151" s="157">
        <f>'Return&amp;RAV'!AL47 * Input!AL57 / Input!$AG$57</f>
        <v>1868.2389852769618</v>
      </c>
      <c r="AM151" s="157">
        <f>'Return&amp;RAV'!AM47 * Input!AM57 / Input!$AG$57</f>
        <v>1958.1810241861015</v>
      </c>
      <c r="AN151" s="157">
        <f>'Return&amp;RAV'!AN47 * Input!AN57 / Input!$AG$57</f>
        <v>2053.0340818708091</v>
      </c>
      <c r="AO151" s="157">
        <f>'Return&amp;RAV'!AO47 * Input!AO57 / Input!$AG$57</f>
        <v>2143.8733340576091</v>
      </c>
      <c r="AP151" s="157">
        <f>'Return&amp;RAV'!AP47 * Input!AP57 / Input!$AG$57</f>
        <v>2238.7335732237284</v>
      </c>
      <c r="AQ151" s="157">
        <f>'Return&amp;RAV'!AQ47 * Input!AQ57 / Input!$AG$57</f>
        <v>2334.1717984190764</v>
      </c>
    </row>
    <row r="152" spans="2:46" s="157" customFormat="1" ht="15" customHeight="1">
      <c r="E152" s="157" t="s">
        <v>266</v>
      </c>
      <c r="G152" s="157" t="s">
        <v>49</v>
      </c>
      <c r="J152" s="33"/>
      <c r="K152" s="33"/>
      <c r="L152" s="33"/>
      <c r="M152" s="33"/>
      <c r="N152" s="33"/>
      <c r="O152" s="33"/>
      <c r="P152" s="33"/>
      <c r="Q152" s="33"/>
      <c r="R152" s="33"/>
      <c r="S152" s="33"/>
      <c r="T152" s="33"/>
      <c r="U152" s="33"/>
      <c r="V152" s="33"/>
      <c r="W152" s="33"/>
      <c r="X152" s="33"/>
      <c r="AJ152" s="239">
        <f>(1-Input!AJ49)</f>
        <v>0.35</v>
      </c>
      <c r="AK152" s="239">
        <f>(1-Input!AK49)</f>
        <v>0.35</v>
      </c>
      <c r="AL152" s="239">
        <f>(1-Input!AL49)</f>
        <v>0.35</v>
      </c>
      <c r="AM152" s="239">
        <f>(1-Input!AM49)</f>
        <v>0.35</v>
      </c>
      <c r="AN152" s="239">
        <f>(1-Input!AN49)</f>
        <v>0.35</v>
      </c>
      <c r="AO152" s="239">
        <f>(1-Input!AO49)</f>
        <v>0.35</v>
      </c>
      <c r="AP152" s="239">
        <f>(1-Input!AP49)</f>
        <v>0.35</v>
      </c>
      <c r="AQ152" s="239">
        <f>(1-Input!AQ49)</f>
        <v>0.35</v>
      </c>
    </row>
    <row r="153" spans="2:46" s="157" customFormat="1" ht="15" customHeight="1">
      <c r="E153" s="157" t="s">
        <v>267</v>
      </c>
      <c r="G153" s="157" t="s">
        <v>49</v>
      </c>
      <c r="J153" s="33"/>
      <c r="K153" s="33"/>
      <c r="L153" s="33"/>
      <c r="M153" s="33"/>
      <c r="N153" s="33"/>
      <c r="O153" s="33"/>
      <c r="P153" s="33"/>
      <c r="Q153" s="33"/>
      <c r="R153" s="33"/>
      <c r="S153" s="33"/>
      <c r="T153" s="33"/>
      <c r="U153" s="33"/>
      <c r="V153" s="33"/>
      <c r="W153" s="33"/>
      <c r="X153" s="33"/>
      <c r="AJ153" s="250">
        <f>Input!$I$83</f>
        <v>0.05</v>
      </c>
      <c r="AK153" s="239">
        <f t="shared" ref="AK153:AQ153" si="42">AJ153</f>
        <v>0.05</v>
      </c>
      <c r="AL153" s="239">
        <f t="shared" si="42"/>
        <v>0.05</v>
      </c>
      <c r="AM153" s="239">
        <f t="shared" si="42"/>
        <v>0.05</v>
      </c>
      <c r="AN153" s="239">
        <f t="shared" si="42"/>
        <v>0.05</v>
      </c>
      <c r="AO153" s="239">
        <f t="shared" si="42"/>
        <v>0.05</v>
      </c>
      <c r="AP153" s="239">
        <f t="shared" si="42"/>
        <v>0.05</v>
      </c>
      <c r="AQ153" s="239">
        <f t="shared" si="42"/>
        <v>0.05</v>
      </c>
    </row>
    <row r="154" spans="2:46" s="157" customFormat="1" ht="15" customHeight="1">
      <c r="E154" s="35"/>
      <c r="J154" s="33"/>
      <c r="K154" s="33"/>
      <c r="L154" s="33"/>
      <c r="M154" s="33"/>
      <c r="N154" s="33"/>
      <c r="O154" s="33"/>
      <c r="P154" s="33"/>
      <c r="Q154" s="33"/>
      <c r="R154" s="33"/>
      <c r="S154" s="33"/>
      <c r="T154" s="33"/>
      <c r="U154" s="33"/>
      <c r="V154" s="33"/>
      <c r="W154" s="33"/>
      <c r="X154" s="33"/>
    </row>
    <row r="155" spans="2:46" s="157" customFormat="1" ht="15" customHeight="1">
      <c r="E155" s="35" t="s">
        <v>106</v>
      </c>
      <c r="G155" s="157" t="s">
        <v>27</v>
      </c>
      <c r="J155" s="33"/>
      <c r="K155" s="33"/>
      <c r="L155" s="33"/>
      <c r="M155" s="33"/>
      <c r="N155" s="33"/>
      <c r="O155" s="33"/>
      <c r="P155" s="33"/>
      <c r="Q155" s="33"/>
      <c r="R155" s="33"/>
      <c r="S155" s="33"/>
      <c r="T155" s="33"/>
      <c r="U155" s="33"/>
      <c r="V155" s="33"/>
      <c r="W155" s="33"/>
      <c r="X155" s="33"/>
      <c r="AJ155" s="38">
        <f>AJ151 * AJ152 * AJ153</f>
        <v>29.2438153991741</v>
      </c>
      <c r="AK155" s="38">
        <f t="shared" ref="AK155:AQ155" si="43">AK151 * AK152 * AK153</f>
        <v>31.006487313887746</v>
      </c>
      <c r="AL155" s="38">
        <f t="shared" si="43"/>
        <v>32.694182242346834</v>
      </c>
      <c r="AM155" s="38">
        <f t="shared" si="43"/>
        <v>34.268167923256776</v>
      </c>
      <c r="AN155" s="38">
        <f t="shared" si="43"/>
        <v>35.92809643273916</v>
      </c>
      <c r="AO155" s="38">
        <f t="shared" si="43"/>
        <v>37.517783346008159</v>
      </c>
      <c r="AP155" s="38">
        <f t="shared" si="43"/>
        <v>39.17783753141525</v>
      </c>
      <c r="AQ155" s="38">
        <f t="shared" si="43"/>
        <v>40.848006472333836</v>
      </c>
    </row>
    <row r="156" spans="2:46" s="157" customFormat="1" ht="15" customHeight="1">
      <c r="E156" s="35"/>
      <c r="J156" s="33"/>
      <c r="K156" s="33"/>
      <c r="L156" s="33"/>
      <c r="M156" s="33"/>
      <c r="N156" s="33"/>
      <c r="O156" s="33"/>
      <c r="P156" s="33"/>
      <c r="Q156" s="33"/>
      <c r="R156" s="33"/>
      <c r="S156" s="33"/>
      <c r="T156" s="33"/>
      <c r="U156" s="33"/>
      <c r="V156" s="33"/>
      <c r="W156" s="33"/>
      <c r="X156" s="33"/>
    </row>
    <row r="157" spans="2:46" s="195" customFormat="1" ht="15" customHeight="1">
      <c r="B157" s="334" t="s">
        <v>7</v>
      </c>
      <c r="C157" s="334"/>
      <c r="D157" s="334"/>
      <c r="E157" s="334"/>
      <c r="F157" s="334"/>
      <c r="G157" s="334"/>
      <c r="H157" s="334"/>
      <c r="I157" s="334"/>
      <c r="J157" s="334"/>
      <c r="K157" s="334"/>
      <c r="L157" s="334"/>
      <c r="M157" s="334"/>
      <c r="N157" s="334"/>
      <c r="O157" s="334"/>
      <c r="P157" s="334"/>
      <c r="Q157" s="334"/>
      <c r="R157" s="334"/>
      <c r="S157" s="334"/>
      <c r="T157" s="334"/>
      <c r="U157" s="334"/>
      <c r="V157" s="334"/>
      <c r="W157" s="334"/>
      <c r="X157" s="334"/>
      <c r="Y157" s="334"/>
      <c r="Z157" s="334"/>
      <c r="AA157" s="334"/>
      <c r="AB157" s="334"/>
      <c r="AC157" s="334"/>
      <c r="AD157" s="334"/>
      <c r="AE157" s="334"/>
      <c r="AF157" s="334"/>
      <c r="AG157" s="334"/>
      <c r="AH157" s="376"/>
      <c r="AI157" s="376"/>
      <c r="AJ157" s="334"/>
      <c r="AK157" s="334"/>
      <c r="AL157" s="334"/>
      <c r="AM157" s="334"/>
      <c r="AN157" s="334"/>
      <c r="AO157" s="334"/>
      <c r="AP157" s="334"/>
      <c r="AQ157" s="334"/>
      <c r="AR157" s="113"/>
      <c r="AS157" s="157"/>
      <c r="AT157" s="113"/>
    </row>
    <row r="158" spans="2:46" s="195" customFormat="1" ht="15" customHeight="1">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57"/>
      <c r="AK158" s="157"/>
      <c r="AL158" s="157"/>
      <c r="AM158" s="157"/>
      <c r="AN158" s="157"/>
      <c r="AO158" s="157"/>
      <c r="AP158" s="157"/>
      <c r="AQ158" s="157"/>
      <c r="AR158" s="113"/>
      <c r="AS158" s="157"/>
      <c r="AT158" s="113"/>
    </row>
    <row r="159" spans="2:46" s="195" customFormat="1" ht="15" customHeight="1">
      <c r="C159" s="332" t="s">
        <v>92</v>
      </c>
      <c r="D159" s="332"/>
      <c r="E159" s="332"/>
      <c r="F159" s="332"/>
      <c r="G159" s="332"/>
      <c r="H159" s="332"/>
      <c r="I159" s="332"/>
      <c r="J159" s="332"/>
      <c r="K159" s="332"/>
      <c r="L159" s="332"/>
      <c r="M159" s="332"/>
      <c r="N159" s="332"/>
      <c r="O159" s="332"/>
      <c r="P159" s="332"/>
      <c r="Q159" s="332"/>
      <c r="R159" s="332"/>
      <c r="S159" s="332"/>
      <c r="T159" s="332"/>
      <c r="U159" s="332"/>
      <c r="V159" s="332"/>
      <c r="W159" s="332"/>
      <c r="X159" s="332"/>
      <c r="Y159" s="332"/>
      <c r="Z159" s="332"/>
      <c r="AA159" s="332"/>
      <c r="AB159" s="332"/>
      <c r="AC159" s="332"/>
      <c r="AD159" s="332"/>
      <c r="AE159" s="332"/>
      <c r="AF159" s="332"/>
      <c r="AG159" s="332"/>
      <c r="AH159" s="354"/>
      <c r="AI159" s="354"/>
      <c r="AJ159" s="332"/>
      <c r="AK159" s="332"/>
      <c r="AL159" s="332"/>
      <c r="AM159" s="332"/>
      <c r="AN159" s="332"/>
      <c r="AO159" s="332"/>
      <c r="AP159" s="332"/>
      <c r="AQ159" s="332"/>
      <c r="AR159" s="113"/>
      <c r="AS159" s="157"/>
      <c r="AT159" s="113"/>
    </row>
    <row r="160" spans="2:46" s="157" customFormat="1" ht="15" customHeight="1">
      <c r="C160" s="447"/>
      <c r="D160" s="447"/>
      <c r="E160" s="447"/>
      <c r="F160" s="447"/>
      <c r="G160" s="447"/>
      <c r="H160" s="447"/>
      <c r="I160" s="447"/>
      <c r="J160" s="447"/>
      <c r="K160" s="447"/>
      <c r="L160" s="447"/>
      <c r="M160" s="447"/>
      <c r="N160" s="447"/>
      <c r="O160" s="447"/>
      <c r="P160" s="447"/>
      <c r="Q160" s="447"/>
      <c r="R160" s="447"/>
      <c r="S160" s="447"/>
      <c r="T160" s="447"/>
      <c r="U160" s="447"/>
      <c r="V160" s="447"/>
      <c r="W160" s="447"/>
      <c r="X160" s="447"/>
      <c r="Y160" s="447"/>
      <c r="Z160" s="447"/>
      <c r="AA160" s="447"/>
      <c r="AB160" s="447"/>
      <c r="AC160" s="447"/>
      <c r="AD160" s="447"/>
      <c r="AE160" s="447"/>
      <c r="AF160" s="448"/>
      <c r="AG160" s="448"/>
      <c r="AH160" s="448"/>
      <c r="AI160" s="448"/>
      <c r="AJ160" s="447"/>
      <c r="AK160" s="447"/>
      <c r="AL160" s="447"/>
      <c r="AM160" s="447"/>
      <c r="AN160" s="447"/>
      <c r="AO160" s="447"/>
      <c r="AP160" s="447"/>
      <c r="AQ160" s="447"/>
    </row>
    <row r="161" spans="3:47" s="195" customFormat="1" ht="15" customHeight="1">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3"/>
      <c r="AL161" s="113"/>
      <c r="AM161" s="113"/>
      <c r="AN161" s="113"/>
      <c r="AO161" s="113"/>
      <c r="AP161" s="113"/>
      <c r="AQ161" s="113"/>
      <c r="AR161" s="113"/>
      <c r="AS161" s="157"/>
      <c r="AT161" s="113"/>
    </row>
    <row r="162" spans="3:47" s="195" customFormat="1" ht="15" customHeight="1">
      <c r="E162" s="195" t="s">
        <v>781</v>
      </c>
      <c r="G162" s="195" t="s">
        <v>27</v>
      </c>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57"/>
      <c r="AI162" s="157"/>
      <c r="AJ162" s="157">
        <f>SUM(Revenue!AJ13:AJ19,AJ254,AJ271)*Input!AJ$57 / Input!$AG$57+(-AJ30+'Finance&amp;Tax'!AJ30)</f>
        <v>322.88062373179702</v>
      </c>
      <c r="AK162" s="157">
        <f>SUM(Revenue!AK13:AK19,AK254,AK271)*Input!AK$57 / Input!$AG$57+(-AK30+'Finance&amp;Tax'!AK30)</f>
        <v>336.92108550925894</v>
      </c>
      <c r="AL162" s="157">
        <f>SUM(Revenue!AL13:AL19,AL254,AL271)*Input!AL$57 / Input!$AG$57+(-AL30+'Finance&amp;Tax'!AL30)</f>
        <v>361.87151703363509</v>
      </c>
      <c r="AM162" s="157">
        <f>SUM(Revenue!AM13:AM19,AM254,AM271)*Input!AM$57 / Input!$AG$57+(-AM30+'Finance&amp;Tax'!AM30)</f>
        <v>396.20829402480291</v>
      </c>
      <c r="AN162" s="157">
        <f>SUM(Revenue!AN13:AN19,AN254,AN271)*Input!AN$57 / Input!$AG$57+(-AN30+'Finance&amp;Tax'!AN30)</f>
        <v>430.52604831939419</v>
      </c>
      <c r="AO162" s="157">
        <f>SUM(Revenue!AO13:AO19,AO254,AO271)*Input!AO$57 / Input!$AG$57+(-AO30+'Finance&amp;Tax'!AO30)</f>
        <v>463.12042929029991</v>
      </c>
      <c r="AP162" s="157">
        <f>SUM(Revenue!AP13:AP19,AP254,AP271)*Input!AP$57 / Input!$AG$57+(-AP30+'Finance&amp;Tax'!AP30)</f>
        <v>498.17169841559644</v>
      </c>
      <c r="AQ162" s="157">
        <f>SUM(Revenue!AQ13:AQ19,AQ254,AQ271)*Input!AQ$57 / Input!$AG$57+(-AQ30+'Finance&amp;Tax'!AQ30)</f>
        <v>538.92726936172699</v>
      </c>
      <c r="AR162" s="113"/>
      <c r="AS162" s="157"/>
      <c r="AT162" s="113"/>
      <c r="AU162" s="114"/>
    </row>
    <row r="163" spans="3:47" s="195" customFormat="1" ht="15" customHeight="1">
      <c r="E163" s="195" t="s">
        <v>725</v>
      </c>
      <c r="G163" s="195" t="s">
        <v>27</v>
      </c>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57"/>
      <c r="AI163" s="157"/>
      <c r="AJ163" s="157">
        <f>DARTs!AJ71 * Input!AJ57/Input!$AG57</f>
        <v>-36.382183489738587</v>
      </c>
      <c r="AK163" s="157">
        <f>DARTs!AK71 * Input!AK57/Input!$AG57</f>
        <v>-37.615985862711902</v>
      </c>
      <c r="AL163" s="157">
        <f>DARTs!AL71 * Input!AL57/Input!$AG57</f>
        <v>-38.8964873360284</v>
      </c>
      <c r="AM163" s="157">
        <f>DARTs!AM71 * Input!AM57/Input!$AG57</f>
        <v>-40.225802923265022</v>
      </c>
      <c r="AN163" s="157">
        <f>DARTs!AN71 * Input!AN57/Input!$AG57</f>
        <v>-41.606132060473044</v>
      </c>
      <c r="AO163" s="157">
        <f>DARTs!AO71 * Input!AO57/Input!$AG57</f>
        <v>-43.03976484567314</v>
      </c>
      <c r="AP163" s="157">
        <f>DARTs!AP71 * Input!AP57/Input!$AG57</f>
        <v>-44.529226989939545</v>
      </c>
      <c r="AQ163" s="157">
        <f>DARTs!AQ71 * Input!AQ57/Input!$AG57</f>
        <v>-46.077150718237412</v>
      </c>
      <c r="AR163" s="113"/>
      <c r="AS163" s="157"/>
      <c r="AT163" s="113"/>
      <c r="AU163" s="114"/>
    </row>
    <row r="164" spans="3:47" s="195" customFormat="1" ht="15" customHeight="1">
      <c r="E164" s="157" t="s">
        <v>216</v>
      </c>
      <c r="G164" s="195" t="s">
        <v>27</v>
      </c>
      <c r="H164" s="157"/>
      <c r="J164" s="157"/>
      <c r="K164" s="157"/>
      <c r="L164" s="157"/>
      <c r="M164" s="157"/>
      <c r="N164" s="157"/>
      <c r="O164" s="157"/>
      <c r="P164" s="157"/>
      <c r="Q164" s="157"/>
      <c r="R164" s="157"/>
      <c r="S164" s="157"/>
      <c r="T164" s="157"/>
      <c r="U164" s="157"/>
      <c r="V164" s="157"/>
      <c r="W164" s="157"/>
      <c r="X164" s="157"/>
      <c r="Y164" s="157"/>
      <c r="Z164" s="157"/>
      <c r="AA164" s="157"/>
      <c r="AB164" s="157"/>
      <c r="AC164" s="157"/>
      <c r="AD164" s="157"/>
      <c r="AE164" s="157"/>
      <c r="AF164" s="157"/>
      <c r="AG164" s="157"/>
      <c r="AH164" s="157"/>
      <c r="AI164" s="157"/>
      <c r="AJ164" s="157">
        <f>-TIM!AJ84 * Input!AJ57/Input!$AG57</f>
        <v>0</v>
      </c>
      <c r="AK164" s="157">
        <f>-TIM!AK84 * Input!AK57/Input!$AG57</f>
        <v>0</v>
      </c>
      <c r="AL164" s="157">
        <f>-TIM!AL84 * Input!AL57/Input!$AG57</f>
        <v>0</v>
      </c>
      <c r="AM164" s="157">
        <f>-TIM!AM84 * Input!AM57/Input!$AG57</f>
        <v>0</v>
      </c>
      <c r="AN164" s="157">
        <f>-TIM!AN84 * Input!AN57/Input!$AG57</f>
        <v>0</v>
      </c>
      <c r="AO164" s="157">
        <f>-TIM!AO84 * Input!AO57/Input!$AG57</f>
        <v>0</v>
      </c>
      <c r="AP164" s="157">
        <f>-TIM!AP84 * Input!AP57/Input!$AG57</f>
        <v>0</v>
      </c>
      <c r="AQ164" s="157">
        <f>-TIM!AQ84 * Input!AQ57/Input!$AG57</f>
        <v>0</v>
      </c>
      <c r="AR164" s="113"/>
      <c r="AS164" s="157"/>
      <c r="AT164" s="113"/>
      <c r="AU164" s="114"/>
    </row>
    <row r="165" spans="3:47" s="195" customFormat="1" ht="15" customHeight="1">
      <c r="E165" s="157" t="s">
        <v>355</v>
      </c>
      <c r="G165" s="195" t="s">
        <v>27</v>
      </c>
      <c r="H165" s="157"/>
      <c r="I165" s="157"/>
      <c r="J165" s="157"/>
      <c r="K165" s="157"/>
      <c r="L165" s="157"/>
      <c r="M165" s="157"/>
      <c r="N165" s="157"/>
      <c r="O165" s="157"/>
      <c r="P165" s="157"/>
      <c r="Q165" s="157"/>
      <c r="R165" s="157"/>
      <c r="S165" s="157"/>
      <c r="T165" s="157"/>
      <c r="U165" s="157"/>
      <c r="V165" s="157"/>
      <c r="W165" s="157"/>
      <c r="X165" s="157"/>
      <c r="Y165" s="157"/>
      <c r="Z165" s="157"/>
      <c r="AA165" s="157"/>
      <c r="AB165" s="157"/>
      <c r="AC165" s="157"/>
      <c r="AD165" s="157"/>
      <c r="AE165" s="157"/>
      <c r="AF165" s="157"/>
      <c r="AG165" s="113"/>
      <c r="AH165" s="157"/>
      <c r="AI165" s="157"/>
      <c r="AJ165" s="157">
        <f>AJ131</f>
        <v>-53.262085160118318</v>
      </c>
      <c r="AK165" s="157">
        <f t="shared" ref="AK165:AQ165" si="44">AK131</f>
        <v>-58.317934548405184</v>
      </c>
      <c r="AL165" s="157">
        <f t="shared" si="44"/>
        <v>-63.844545246107785</v>
      </c>
      <c r="AM165" s="157">
        <f t="shared" si="44"/>
        <v>-62.218508088838533</v>
      </c>
      <c r="AN165" s="157">
        <f t="shared" si="44"/>
        <v>-65.418437855891185</v>
      </c>
      <c r="AO165" s="157">
        <f t="shared" si="44"/>
        <v>-67.195913767064312</v>
      </c>
      <c r="AP165" s="157">
        <f t="shared" si="44"/>
        <v>-67.80650896874387</v>
      </c>
      <c r="AQ165" s="157">
        <f t="shared" si="44"/>
        <v>-66.981646965733304</v>
      </c>
      <c r="AR165" s="113"/>
      <c r="AS165" s="157"/>
      <c r="AT165" s="113"/>
      <c r="AU165" s="114"/>
    </row>
    <row r="166" spans="3:47" s="195" customFormat="1" ht="15" customHeight="1">
      <c r="E166" s="157" t="s">
        <v>354</v>
      </c>
      <c r="G166" s="195" t="s">
        <v>27</v>
      </c>
      <c r="J166" s="113"/>
      <c r="K166" s="113"/>
      <c r="L166" s="113"/>
      <c r="M166" s="113"/>
      <c r="N166" s="113"/>
      <c r="O166" s="113"/>
      <c r="P166" s="113"/>
      <c r="Q166" s="113"/>
      <c r="R166" s="113"/>
      <c r="S166" s="113"/>
      <c r="T166" s="113"/>
      <c r="U166" s="113"/>
      <c r="V166" s="113"/>
      <c r="W166" s="113"/>
      <c r="X166" s="113"/>
      <c r="Y166" s="113"/>
      <c r="Z166" s="113"/>
      <c r="AA166" s="113"/>
      <c r="AB166" s="113"/>
      <c r="AC166" s="113"/>
      <c r="AD166" s="113"/>
      <c r="AE166" s="113"/>
      <c r="AF166" s="113"/>
      <c r="AG166" s="113"/>
      <c r="AH166" s="157"/>
      <c r="AI166" s="157"/>
      <c r="AJ166" s="157">
        <f>AJ133</f>
        <v>-8.3002240644700258</v>
      </c>
      <c r="AK166" s="157">
        <f t="shared" ref="AK166:AQ166" si="45">AK133</f>
        <v>-9.0881684867324228</v>
      </c>
      <c r="AL166" s="157">
        <f t="shared" si="45"/>
        <v>-9.9496366452189768</v>
      </c>
      <c r="AM166" s="157">
        <f t="shared" si="45"/>
        <v>-9.6964265667201897</v>
      </c>
      <c r="AN166" s="157">
        <f t="shared" si="45"/>
        <v>-10.195164081670629</v>
      </c>
      <c r="AO166" s="157">
        <f t="shared" si="45"/>
        <v>-10.471925895965812</v>
      </c>
      <c r="AP166" s="157">
        <f t="shared" si="45"/>
        <v>-10.566995030219067</v>
      </c>
      <c r="AQ166" s="157">
        <f t="shared" si="45"/>
        <v>-10.438355697804583</v>
      </c>
      <c r="AR166" s="113"/>
      <c r="AS166" s="157"/>
      <c r="AT166" s="113"/>
      <c r="AU166" s="114"/>
    </row>
    <row r="167" spans="3:47" s="195" customFormat="1" ht="15" customHeight="1">
      <c r="E167" s="195" t="s">
        <v>268</v>
      </c>
      <c r="G167" s="195" t="s">
        <v>27</v>
      </c>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7"/>
      <c r="AE167" s="157"/>
      <c r="AF167" s="157"/>
      <c r="AG167" s="113"/>
      <c r="AH167" s="157"/>
      <c r="AI167" s="157"/>
      <c r="AJ167" s="157">
        <f>-TaxPools!AJ75*Input!AJ57/Input!$AG57</f>
        <v>-110.6135103763024</v>
      </c>
      <c r="AK167" s="157">
        <f>-TaxPools!AK75*Input!AK57/Input!$AG57</f>
        <v>-114.78829388141548</v>
      </c>
      <c r="AL167" s="157">
        <f>-TaxPools!AL75*Input!AL57/Input!$AG57</f>
        <v>-119.48580093633764</v>
      </c>
      <c r="AM167" s="157">
        <f>-TaxPools!AM75*Input!AM57/Input!$AG57</f>
        <v>-123.35706207410078</v>
      </c>
      <c r="AN167" s="157">
        <f>-TaxPools!AN75*Input!AN57/Input!$AG57</f>
        <v>-126.08656094986017</v>
      </c>
      <c r="AO167" s="157">
        <f>-TaxPools!AO75*Input!AO57/Input!$AG57</f>
        <v>-129.90838431382068</v>
      </c>
      <c r="AP167" s="157">
        <f>-TaxPools!AP75*Input!AP57/Input!$AG57</f>
        <v>-130.53318976119994</v>
      </c>
      <c r="AQ167" s="157">
        <f>-TaxPools!AQ75*Input!AQ57/Input!$AG57</f>
        <v>-133.91371047661013</v>
      </c>
      <c r="AR167" s="113"/>
      <c r="AS167" s="157"/>
      <c r="AT167" s="113"/>
      <c r="AU167" s="114"/>
    </row>
    <row r="168" spans="3:47" s="195" customFormat="1" ht="15" customHeight="1">
      <c r="E168" s="195" t="s">
        <v>128</v>
      </c>
      <c r="G168" s="195" t="s">
        <v>27</v>
      </c>
      <c r="H168" s="157"/>
      <c r="J168" s="157"/>
      <c r="K168" s="157"/>
      <c r="L168" s="157"/>
      <c r="M168" s="157"/>
      <c r="N168" s="157"/>
      <c r="O168" s="157"/>
      <c r="P168" s="157"/>
      <c r="Q168" s="157"/>
      <c r="R168" s="157"/>
      <c r="S168" s="157"/>
      <c r="T168" s="157"/>
      <c r="U168" s="157"/>
      <c r="V168" s="157"/>
      <c r="W168" s="157"/>
      <c r="X168" s="157"/>
      <c r="Y168" s="157"/>
      <c r="Z168" s="157"/>
      <c r="AA168" s="157"/>
      <c r="AB168" s="157"/>
      <c r="AC168" s="157"/>
      <c r="AD168" s="157"/>
      <c r="AE168" s="157"/>
      <c r="AF168" s="157"/>
      <c r="AG168" s="157"/>
      <c r="AH168" s="157"/>
      <c r="AI168" s="157"/>
      <c r="AJ168" s="157">
        <f>-TaxPools!AJ127</f>
        <v>-62.953688666966592</v>
      </c>
      <c r="AK168" s="157">
        <f>-TaxPools!AK127</f>
        <v>-69.652959446166605</v>
      </c>
      <c r="AL168" s="157">
        <f>-TaxPools!AL127</f>
        <v>-75.868543508226239</v>
      </c>
      <c r="AM168" s="157">
        <f>-TaxPools!AM127</f>
        <v>-81.227978846973784</v>
      </c>
      <c r="AN168" s="157">
        <f>-TaxPools!AN127</f>
        <v>-86.136658084471591</v>
      </c>
      <c r="AO168" s="157">
        <f>-TaxPools!AO127</f>
        <v>-90.680229092698767</v>
      </c>
      <c r="AP168" s="157">
        <f>-TaxPools!AP127</f>
        <v>-95.965224007915651</v>
      </c>
      <c r="AQ168" s="157">
        <f>-TaxPools!AQ127</f>
        <v>-100.79835521508228</v>
      </c>
      <c r="AR168" s="113"/>
      <c r="AS168" s="157"/>
      <c r="AT168" s="113"/>
      <c r="AU168" s="114"/>
    </row>
    <row r="169" spans="3:47" s="195" customFormat="1" ht="15" customHeight="1">
      <c r="E169" s="195" t="s">
        <v>409</v>
      </c>
      <c r="G169" s="195" t="s">
        <v>27</v>
      </c>
      <c r="H169" s="157"/>
      <c r="J169" s="157"/>
      <c r="K169" s="157"/>
      <c r="L169" s="157"/>
      <c r="M169" s="157"/>
      <c r="N169" s="157"/>
      <c r="O169" s="157"/>
      <c r="P169" s="157"/>
      <c r="Q169" s="157"/>
      <c r="R169" s="157"/>
      <c r="S169" s="157"/>
      <c r="T169" s="157"/>
      <c r="U169" s="157"/>
      <c r="V169" s="157"/>
      <c r="W169" s="157"/>
      <c r="X169" s="157"/>
      <c r="Y169" s="157"/>
      <c r="Z169" s="157"/>
      <c r="AA169" s="157"/>
      <c r="AB169" s="157"/>
      <c r="AC169" s="157"/>
      <c r="AD169" s="157"/>
      <c r="AE169" s="157"/>
      <c r="AF169" s="157"/>
      <c r="AG169" s="157"/>
      <c r="AH169" s="157"/>
      <c r="AI169" s="157"/>
      <c r="AJ169" s="167">
        <f t="shared" ref="AJ169:AQ169" si="46">SUM(AJ162:AJ168)</f>
        <v>51.368931974201111</v>
      </c>
      <c r="AK169" s="167">
        <f t="shared" si="46"/>
        <v>47.457743283827327</v>
      </c>
      <c r="AL169" s="167">
        <f t="shared" si="46"/>
        <v>53.826503361716064</v>
      </c>
      <c r="AM169" s="167">
        <f t="shared" si="46"/>
        <v>79.482515524904656</v>
      </c>
      <c r="AN169" s="167">
        <f t="shared" si="46"/>
        <v>101.0830952870276</v>
      </c>
      <c r="AO169" s="167">
        <f t="shared" si="46"/>
        <v>121.82421137507723</v>
      </c>
      <c r="AP169" s="167">
        <f t="shared" si="46"/>
        <v>148.77055365757838</v>
      </c>
      <c r="AQ169" s="167">
        <f t="shared" si="46"/>
        <v>180.71805028825924</v>
      </c>
      <c r="AR169" s="113"/>
      <c r="AS169" s="157"/>
      <c r="AT169" s="113"/>
      <c r="AU169" s="114"/>
    </row>
    <row r="170" spans="3:47" s="195" customFormat="1" ht="15" customHeight="1">
      <c r="H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7"/>
      <c r="AE170" s="157"/>
      <c r="AF170" s="157"/>
      <c r="AG170" s="157"/>
      <c r="AH170" s="157"/>
      <c r="AI170" s="157"/>
      <c r="AJ170" s="157"/>
      <c r="AK170" s="157"/>
      <c r="AL170" s="157"/>
      <c r="AM170" s="157"/>
      <c r="AN170" s="157"/>
      <c r="AO170" s="157"/>
      <c r="AP170" s="157"/>
      <c r="AQ170" s="157"/>
      <c r="AR170" s="113"/>
      <c r="AS170" s="157"/>
      <c r="AT170" s="113"/>
      <c r="AU170" s="114"/>
    </row>
    <row r="171" spans="3:47" s="195" customFormat="1" ht="15" customHeight="1">
      <c r="C171" s="332" t="s">
        <v>7</v>
      </c>
      <c r="D171" s="332"/>
      <c r="E171" s="332"/>
      <c r="F171" s="332"/>
      <c r="G171" s="354"/>
      <c r="H171" s="354"/>
      <c r="I171" s="354"/>
      <c r="J171" s="354"/>
      <c r="K171" s="354"/>
      <c r="L171" s="354"/>
      <c r="M171" s="354"/>
      <c r="N171" s="354"/>
      <c r="O171" s="354"/>
      <c r="P171" s="354"/>
      <c r="Q171" s="354"/>
      <c r="R171" s="354"/>
      <c r="S171" s="354"/>
      <c r="T171" s="354"/>
      <c r="U171" s="354"/>
      <c r="V171" s="354"/>
      <c r="W171" s="354"/>
      <c r="X171" s="354"/>
      <c r="Y171" s="354"/>
      <c r="Z171" s="354"/>
      <c r="AA171" s="354"/>
      <c r="AB171" s="354"/>
      <c r="AC171" s="354"/>
      <c r="AD171" s="354"/>
      <c r="AE171" s="354"/>
      <c r="AF171" s="354"/>
      <c r="AG171" s="354"/>
      <c r="AH171" s="354"/>
      <c r="AI171" s="354"/>
      <c r="AJ171" s="354"/>
      <c r="AK171" s="354"/>
      <c r="AL171" s="354"/>
      <c r="AM171" s="354"/>
      <c r="AN171" s="354"/>
      <c r="AO171" s="354"/>
      <c r="AP171" s="354"/>
      <c r="AQ171" s="354"/>
      <c r="AR171" s="113"/>
      <c r="AS171" s="157"/>
      <c r="AT171" s="113"/>
      <c r="AU171" s="114"/>
    </row>
    <row r="172" spans="3:47" s="195" customFormat="1" ht="15" customHeight="1">
      <c r="G172" s="157"/>
      <c r="H172" s="157"/>
      <c r="I172" s="157"/>
      <c r="J172" s="157"/>
      <c r="K172" s="157"/>
      <c r="L172" s="157"/>
      <c r="M172" s="157"/>
      <c r="N172" s="157"/>
      <c r="O172" s="157"/>
      <c r="P172" s="157"/>
      <c r="Q172" s="157"/>
      <c r="R172" s="157"/>
      <c r="S172" s="157"/>
      <c r="T172" s="157"/>
      <c r="U172" s="157"/>
      <c r="V172" s="157"/>
      <c r="W172" s="157"/>
      <c r="X172" s="157"/>
      <c r="Y172" s="157"/>
      <c r="Z172" s="157"/>
      <c r="AA172" s="157"/>
      <c r="AB172" s="157"/>
      <c r="AC172" s="157"/>
      <c r="AD172" s="157"/>
      <c r="AE172" s="157"/>
      <c r="AF172" s="157"/>
      <c r="AG172" s="157"/>
      <c r="AH172" s="157"/>
      <c r="AI172" s="157"/>
      <c r="AJ172" s="157"/>
      <c r="AK172" s="157"/>
      <c r="AL172" s="157"/>
      <c r="AM172" s="157"/>
      <c r="AN172" s="157"/>
      <c r="AO172" s="157"/>
      <c r="AP172" s="157"/>
      <c r="AQ172" s="157"/>
      <c r="AR172" s="113"/>
      <c r="AS172" s="157"/>
      <c r="AT172" s="113"/>
      <c r="AU172" s="114"/>
    </row>
    <row r="173" spans="3:47" s="195" customFormat="1" ht="15" customHeight="1">
      <c r="D173" s="201" t="s">
        <v>792</v>
      </c>
      <c r="E173" s="201"/>
      <c r="F173" s="201"/>
      <c r="G173" s="201"/>
      <c r="H173" s="201"/>
      <c r="I173" s="201"/>
      <c r="J173" s="201"/>
      <c r="K173" s="201"/>
      <c r="L173" s="201"/>
      <c r="M173" s="201"/>
      <c r="N173" s="201"/>
      <c r="O173" s="201"/>
      <c r="P173" s="201"/>
      <c r="Q173" s="201"/>
      <c r="R173" s="201"/>
      <c r="S173" s="201"/>
      <c r="T173" s="201"/>
      <c r="U173" s="201"/>
      <c r="V173" s="201"/>
      <c r="W173" s="201"/>
      <c r="X173" s="201"/>
      <c r="Y173" s="201"/>
      <c r="Z173" s="201"/>
      <c r="AA173" s="201"/>
      <c r="AB173" s="201"/>
      <c r="AC173" s="201"/>
      <c r="AD173" s="201"/>
      <c r="AE173" s="201"/>
      <c r="AF173" s="201"/>
      <c r="AG173" s="201"/>
      <c r="AH173" s="202"/>
      <c r="AI173" s="202"/>
      <c r="AJ173" s="202"/>
      <c r="AK173" s="202"/>
      <c r="AL173" s="202"/>
      <c r="AM173" s="202"/>
      <c r="AN173" s="202"/>
      <c r="AO173" s="202"/>
      <c r="AP173" s="202"/>
      <c r="AQ173" s="202"/>
      <c r="AR173" s="113"/>
      <c r="AS173" s="157"/>
    </row>
    <row r="174" spans="3:47" s="195" customFormat="1" ht="15" customHeight="1">
      <c r="AS174" s="157"/>
    </row>
    <row r="175" spans="3:47" s="195" customFormat="1" ht="15" customHeight="1">
      <c r="E175" s="157" t="s">
        <v>512</v>
      </c>
      <c r="G175" s="195" t="s">
        <v>27</v>
      </c>
      <c r="AJ175" s="157">
        <f>-ABS(Input!AH367)</f>
        <v>0</v>
      </c>
      <c r="AK175" s="228">
        <f>SUM(AJ180)</f>
        <v>0</v>
      </c>
      <c r="AL175" s="157">
        <f t="shared" ref="AL175:AQ175" si="47">SUM(AK180)</f>
        <v>0</v>
      </c>
      <c r="AM175" s="157">
        <f t="shared" si="47"/>
        <v>0</v>
      </c>
      <c r="AN175" s="157">
        <f t="shared" si="47"/>
        <v>0</v>
      </c>
      <c r="AO175" s="157">
        <f t="shared" si="47"/>
        <v>0</v>
      </c>
      <c r="AP175" s="157">
        <f t="shared" si="47"/>
        <v>0</v>
      </c>
      <c r="AQ175" s="157">
        <f t="shared" si="47"/>
        <v>0</v>
      </c>
      <c r="AS175" s="157"/>
    </row>
    <row r="176" spans="3:47" s="195" customFormat="1" ht="15" customHeight="1">
      <c r="E176" s="157" t="s">
        <v>511</v>
      </c>
      <c r="G176" s="195" t="s">
        <v>27</v>
      </c>
      <c r="AJ176" s="157">
        <f>MIN(AJ169, 0)</f>
        <v>0</v>
      </c>
      <c r="AK176" s="157">
        <f>MIN(AK169, 0)</f>
        <v>0</v>
      </c>
      <c r="AL176" s="157">
        <f t="shared" ref="AL176:AQ176" si="48">MIN(AL169, 0)</f>
        <v>0</v>
      </c>
      <c r="AM176" s="157">
        <f t="shared" si="48"/>
        <v>0</v>
      </c>
      <c r="AN176" s="157">
        <f t="shared" si="48"/>
        <v>0</v>
      </c>
      <c r="AO176" s="157">
        <f t="shared" si="48"/>
        <v>0</v>
      </c>
      <c r="AP176" s="157">
        <f t="shared" si="48"/>
        <v>0</v>
      </c>
      <c r="AQ176" s="157">
        <f t="shared" si="48"/>
        <v>0</v>
      </c>
      <c r="AS176" s="157"/>
    </row>
    <row r="177" spans="4:45" s="195" customFormat="1" ht="15" customHeight="1">
      <c r="E177" s="157" t="s">
        <v>793</v>
      </c>
      <c r="G177" s="195" t="s">
        <v>27</v>
      </c>
      <c r="AJ177" s="157">
        <f>-Input!AJ36*(1/AJ186)</f>
        <v>0</v>
      </c>
      <c r="AK177" s="157">
        <f>-Input!AK36*(1/AK186)</f>
        <v>0</v>
      </c>
      <c r="AL177" s="157">
        <f>-Input!AL36*(1/AL186)</f>
        <v>0</v>
      </c>
      <c r="AM177" s="157">
        <f>-Input!AM36*(1/AM186)</f>
        <v>0</v>
      </c>
      <c r="AN177" s="157">
        <f>-Input!AN36*(1/AN186)</f>
        <v>0</v>
      </c>
      <c r="AO177" s="157">
        <f>-Input!AO36*(1/AO186)</f>
        <v>0</v>
      </c>
      <c r="AP177" s="157">
        <f>-Input!AP36*(1/AP186)</f>
        <v>0</v>
      </c>
      <c r="AQ177" s="157">
        <f>-Input!AQ36*(1/AQ186)</f>
        <v>0</v>
      </c>
      <c r="AS177" s="157"/>
    </row>
    <row r="178" spans="4:45" s="195" customFormat="1" ht="15" customHeight="1">
      <c r="E178" s="157" t="s">
        <v>794</v>
      </c>
      <c r="G178" s="195" t="s">
        <v>27</v>
      </c>
      <c r="AJ178" s="157">
        <f>-IF(Input!AJ37&gt;0,-MIN(Input!AJ37*(Input!AJ$57/Input!$AG57)*((1-AJ186)*1/AJ186),MAX(-(AJ169+SUM(AJ175:AJ177)),0)),-MIN(Input!AJ37*(Input!AJ$57/Input!$AG57)*((1-AJ186)*1/AJ186),MAX(AJ169+SUM(AJ175:AJ177),0)))</f>
        <v>0</v>
      </c>
      <c r="AK178" s="157">
        <f>-IF(Input!AK37&gt;0,-MIN(Input!AK37*(Input!AK$57/Input!$AG57)*((1-AK186)*1/AK186),MAX(-(AK169+SUM(AK175:AK177)),0)),-MIN(Input!AK37*(Input!AK$57/Input!$AG57)*((1-AK186)*1/AK186),MAX(AK169+SUM(AK175:AK177),0)))</f>
        <v>0</v>
      </c>
      <c r="AL178" s="157">
        <f>-IF(Input!AL37&gt;0,-MIN(Input!AL37*(Input!AL$57/Input!$AG57)*((1-AL186)*1/AL186),MAX(-(AL169+SUM(AL175:AL177)),0)),-MIN(Input!AL37*(Input!AL$57/Input!$AG57)*((1-AL186)*1/AL186),MAX(AL169+SUM(AL175:AL177),0)))</f>
        <v>0</v>
      </c>
      <c r="AM178" s="157">
        <f>-IF(Input!AM37&gt;0,-MIN(Input!AM37*(Input!AM$57/Input!$AG57)*((1-AM186)*1/AM186),MAX(-(AM169+SUM(AM175:AM177)),0)),-MIN(Input!AM37*(Input!AM$57/Input!$AG57)*((1-AM186)*1/AM186),MAX(AM169+SUM(AM175:AM177),0)))</f>
        <v>0</v>
      </c>
      <c r="AN178" s="157">
        <f>-IF(Input!AN37&gt;0,-MIN(Input!AN37*(Input!AN$57/Input!$AG57)*((1-AN186)*1/AN186),MAX(-(AN169+SUM(AN175:AN177)),0)),-MIN(Input!AN37*(Input!AN$57/Input!$AG57)*((1-AN186)*1/AN186),MAX(AN169+SUM(AN175:AN177),0)))</f>
        <v>0</v>
      </c>
      <c r="AO178" s="157">
        <f>-IF(Input!AO37&gt;0,-MIN(Input!AO37*(Input!AO$57/Input!$AG57)*((1-AO186)*1/AO186),MAX(-(AO169+SUM(AO175:AO177)),0)),-MIN(Input!AO37*(Input!AO$57/Input!$AG57)*((1-AO186)*1/AO186),MAX(AO169+SUM(AO175:AO177),0)))</f>
        <v>0</v>
      </c>
      <c r="AP178" s="157">
        <f>-IF(Input!AP37&gt;0,-MIN(Input!AP37*(Input!AP$57/Input!$AG57)*((1-AP186)*1/AP186),MAX(-(AP169+SUM(AP175:AP177)),0)),-MIN(Input!AP37*(Input!AP$57/Input!$AG57)*((1-AP186)*1/AP186),MAX(AP169+SUM(AP175:AP177),0)))</f>
        <v>0</v>
      </c>
      <c r="AQ178" s="157">
        <f>-IF(Input!AQ37&gt;0,-MIN(Input!AQ37*(Input!AQ$57/Input!$AG57)*((1-AQ186)*1/AQ186),MAX(-(AQ169+SUM(AQ175:AQ177)),0)),-MIN(Input!AQ37*(Input!AQ$57/Input!$AG57)*((1-AQ186)*1/AQ186),MAX(AQ169+SUM(AQ175:AQ177),0)))</f>
        <v>0</v>
      </c>
      <c r="AS178" s="157"/>
    </row>
    <row r="179" spans="4:45" s="195" customFormat="1" ht="15" customHeight="1">
      <c r="E179" s="195" t="s">
        <v>774</v>
      </c>
      <c r="G179" s="195" t="s">
        <v>27</v>
      </c>
      <c r="AJ179" s="157">
        <f t="shared" ref="AJ179:AQ179" si="49">IF(AJ169 &gt;= 0, MIN(AJ169, -AJ175-AJ177-AJ178), 0)</f>
        <v>0</v>
      </c>
      <c r="AK179" s="157">
        <f t="shared" si="49"/>
        <v>0</v>
      </c>
      <c r="AL179" s="157">
        <f t="shared" si="49"/>
        <v>0</v>
      </c>
      <c r="AM179" s="157">
        <f t="shared" si="49"/>
        <v>0</v>
      </c>
      <c r="AN179" s="157">
        <f t="shared" si="49"/>
        <v>0</v>
      </c>
      <c r="AO179" s="157">
        <f t="shared" si="49"/>
        <v>0</v>
      </c>
      <c r="AP179" s="157">
        <f t="shared" si="49"/>
        <v>0</v>
      </c>
      <c r="AQ179" s="157">
        <f t="shared" si="49"/>
        <v>0</v>
      </c>
      <c r="AS179" s="157"/>
    </row>
    <row r="180" spans="4:45" s="195" customFormat="1" ht="15" customHeight="1">
      <c r="E180" s="157" t="s">
        <v>76</v>
      </c>
      <c r="G180" s="195" t="s">
        <v>27</v>
      </c>
      <c r="AJ180" s="167">
        <f t="shared" ref="AJ180:AQ180" si="50">SUM(AJ175:AJ179)</f>
        <v>0</v>
      </c>
      <c r="AK180" s="167">
        <f t="shared" si="50"/>
        <v>0</v>
      </c>
      <c r="AL180" s="167">
        <f t="shared" si="50"/>
        <v>0</v>
      </c>
      <c r="AM180" s="167">
        <f t="shared" si="50"/>
        <v>0</v>
      </c>
      <c r="AN180" s="167">
        <f t="shared" si="50"/>
        <v>0</v>
      </c>
      <c r="AO180" s="167">
        <f t="shared" si="50"/>
        <v>0</v>
      </c>
      <c r="AP180" s="167">
        <f t="shared" si="50"/>
        <v>0</v>
      </c>
      <c r="AQ180" s="167">
        <f t="shared" si="50"/>
        <v>0</v>
      </c>
      <c r="AS180" s="157"/>
    </row>
    <row r="181" spans="4:45" s="195" customFormat="1" ht="15" customHeight="1">
      <c r="AJ181" s="157"/>
      <c r="AK181" s="157"/>
      <c r="AL181" s="157"/>
      <c r="AM181" s="157"/>
      <c r="AN181" s="157"/>
      <c r="AO181" s="157"/>
      <c r="AP181" s="157"/>
      <c r="AQ181" s="157"/>
      <c r="AS181" s="157"/>
    </row>
    <row r="182" spans="4:45" s="195" customFormat="1" ht="15" customHeight="1">
      <c r="D182" s="201" t="s">
        <v>345</v>
      </c>
      <c r="E182" s="201"/>
      <c r="F182" s="201"/>
      <c r="G182" s="201"/>
      <c r="H182" s="201"/>
      <c r="I182" s="201"/>
      <c r="J182" s="201"/>
      <c r="K182" s="201"/>
      <c r="L182" s="201"/>
      <c r="M182" s="201"/>
      <c r="N182" s="201"/>
      <c r="O182" s="201"/>
      <c r="P182" s="201"/>
      <c r="Q182" s="201"/>
      <c r="R182" s="201"/>
      <c r="S182" s="201"/>
      <c r="T182" s="201"/>
      <c r="U182" s="201"/>
      <c r="V182" s="201"/>
      <c r="W182" s="201"/>
      <c r="X182" s="201"/>
      <c r="Y182" s="201"/>
      <c r="Z182" s="201"/>
      <c r="AA182" s="201"/>
      <c r="AB182" s="201"/>
      <c r="AC182" s="201"/>
      <c r="AD182" s="201"/>
      <c r="AE182" s="201"/>
      <c r="AF182" s="201"/>
      <c r="AG182" s="201"/>
      <c r="AH182" s="202"/>
      <c r="AI182" s="202"/>
      <c r="AJ182" s="201"/>
      <c r="AK182" s="201"/>
      <c r="AL182" s="201"/>
      <c r="AM182" s="201"/>
      <c r="AN182" s="201"/>
      <c r="AO182" s="201"/>
      <c r="AP182" s="201"/>
      <c r="AQ182" s="201"/>
      <c r="AS182" s="157"/>
    </row>
    <row r="183" spans="4:45" s="157" customFormat="1" ht="15" customHeight="1">
      <c r="D183" s="447"/>
      <c r="E183" s="447"/>
      <c r="F183" s="447"/>
      <c r="G183" s="447"/>
      <c r="H183" s="447"/>
      <c r="I183" s="447"/>
      <c r="J183" s="447"/>
      <c r="K183" s="447"/>
      <c r="L183" s="447"/>
      <c r="M183" s="447"/>
      <c r="N183" s="447"/>
      <c r="O183" s="447"/>
      <c r="P183" s="447"/>
      <c r="Q183" s="447"/>
      <c r="R183" s="447"/>
      <c r="S183" s="447"/>
      <c r="T183" s="447"/>
      <c r="U183" s="447"/>
      <c r="V183" s="447"/>
      <c r="W183" s="447"/>
      <c r="X183" s="447"/>
      <c r="Y183" s="447"/>
      <c r="Z183" s="447"/>
      <c r="AA183" s="447"/>
      <c r="AB183" s="447"/>
      <c r="AC183" s="447"/>
      <c r="AD183" s="447"/>
      <c r="AE183" s="447"/>
      <c r="AF183" s="448"/>
      <c r="AG183" s="448"/>
      <c r="AH183" s="448"/>
      <c r="AI183" s="448"/>
      <c r="AJ183" s="447"/>
      <c r="AK183" s="447"/>
      <c r="AL183" s="447"/>
      <c r="AM183" s="447"/>
      <c r="AN183" s="447"/>
      <c r="AO183" s="447"/>
      <c r="AP183" s="447"/>
      <c r="AQ183" s="447"/>
    </row>
    <row r="184" spans="4:45" s="157" customFormat="1" ht="15" customHeight="1">
      <c r="J184" s="33"/>
      <c r="K184" s="33"/>
      <c r="L184" s="33"/>
      <c r="M184" s="33"/>
      <c r="N184" s="33"/>
      <c r="O184" s="33"/>
      <c r="P184" s="33"/>
      <c r="Q184" s="33"/>
      <c r="R184" s="33"/>
      <c r="S184" s="33"/>
      <c r="T184" s="33"/>
      <c r="U184" s="33"/>
      <c r="V184" s="33"/>
      <c r="W184" s="33"/>
      <c r="X184" s="33"/>
    </row>
    <row r="185" spans="4:45" s="157" customFormat="1" ht="15" customHeight="1">
      <c r="E185" s="195" t="s">
        <v>513</v>
      </c>
      <c r="F185" s="195"/>
      <c r="G185" s="195" t="s">
        <v>27</v>
      </c>
      <c r="J185" s="33"/>
      <c r="K185" s="33"/>
      <c r="L185" s="33"/>
      <c r="M185" s="33"/>
      <c r="N185" s="33"/>
      <c r="O185" s="33"/>
      <c r="P185" s="33"/>
      <c r="Q185" s="33"/>
      <c r="R185" s="33"/>
      <c r="S185" s="33"/>
      <c r="T185" s="33"/>
      <c r="U185" s="33"/>
      <c r="V185" s="33"/>
      <c r="W185" s="33"/>
      <c r="X185" s="33"/>
      <c r="AJ185" s="157">
        <f t="shared" ref="AJ185:AQ185" si="51">MAX(AJ169-AJ179,0)</f>
        <v>51.368931974201111</v>
      </c>
      <c r="AK185" s="157">
        <f t="shared" si="51"/>
        <v>47.457743283827327</v>
      </c>
      <c r="AL185" s="157">
        <f t="shared" si="51"/>
        <v>53.826503361716064</v>
      </c>
      <c r="AM185" s="157">
        <f t="shared" si="51"/>
        <v>79.482515524904656</v>
      </c>
      <c r="AN185" s="157">
        <f t="shared" si="51"/>
        <v>101.0830952870276</v>
      </c>
      <c r="AO185" s="157">
        <f t="shared" si="51"/>
        <v>121.82421137507723</v>
      </c>
      <c r="AP185" s="157">
        <f t="shared" si="51"/>
        <v>148.77055365757838</v>
      </c>
      <c r="AQ185" s="157">
        <f t="shared" si="51"/>
        <v>180.71805028825924</v>
      </c>
    </row>
    <row r="186" spans="4:45" s="157" customFormat="1" ht="15" customHeight="1">
      <c r="E186" s="157" t="s">
        <v>85</v>
      </c>
      <c r="F186" s="195"/>
      <c r="G186" s="157" t="s">
        <v>49</v>
      </c>
      <c r="J186" s="33"/>
      <c r="K186" s="33"/>
      <c r="L186" s="33"/>
      <c r="M186" s="33"/>
      <c r="N186" s="33"/>
      <c r="O186" s="33"/>
      <c r="P186" s="33"/>
      <c r="Q186" s="33"/>
      <c r="R186" s="33"/>
      <c r="S186" s="33"/>
      <c r="T186" s="33"/>
      <c r="U186" s="33"/>
      <c r="V186" s="33"/>
      <c r="W186" s="33"/>
      <c r="X186" s="33"/>
      <c r="AJ186" s="377">
        <f>TaxTrigger!AJ$96</f>
        <v>0.2</v>
      </c>
      <c r="AK186" s="377">
        <f>TaxTrigger!AK$96</f>
        <v>0.2</v>
      </c>
      <c r="AL186" s="377">
        <f>TaxTrigger!AL$96</f>
        <v>0.2</v>
      </c>
      <c r="AM186" s="377">
        <f>TaxTrigger!AM$96</f>
        <v>0.2</v>
      </c>
      <c r="AN186" s="377">
        <f>TaxTrigger!AN$96</f>
        <v>0.2</v>
      </c>
      <c r="AO186" s="377">
        <f>TaxTrigger!AO$96</f>
        <v>0.2</v>
      </c>
      <c r="AP186" s="377">
        <f>TaxTrigger!AP$96</f>
        <v>0.2</v>
      </c>
      <c r="AQ186" s="377">
        <f>TaxTrigger!AQ$96</f>
        <v>0.2</v>
      </c>
      <c r="AR186" s="377"/>
    </row>
    <row r="187" spans="4:45" s="195" customFormat="1" ht="15" customHeight="1">
      <c r="E187" s="195" t="s">
        <v>303</v>
      </c>
      <c r="G187" s="195" t="s">
        <v>27</v>
      </c>
      <c r="AJ187" s="157">
        <f t="shared" ref="AJ187:AQ187" si="52">AJ186*AJ185</f>
        <v>10.273786394840222</v>
      </c>
      <c r="AK187" s="157">
        <f t="shared" si="52"/>
        <v>9.491548656765465</v>
      </c>
      <c r="AL187" s="157">
        <f t="shared" si="52"/>
        <v>10.765300672343214</v>
      </c>
      <c r="AM187" s="157">
        <f t="shared" si="52"/>
        <v>15.896503104980932</v>
      </c>
      <c r="AN187" s="157">
        <f t="shared" si="52"/>
        <v>20.216619057405524</v>
      </c>
      <c r="AO187" s="157">
        <f t="shared" si="52"/>
        <v>24.364842275015448</v>
      </c>
      <c r="AP187" s="157">
        <f t="shared" si="52"/>
        <v>29.754110731515677</v>
      </c>
      <c r="AQ187" s="157">
        <f t="shared" si="52"/>
        <v>36.143610057651848</v>
      </c>
      <c r="AS187" s="157"/>
    </row>
    <row r="188" spans="4:45" s="195" customFormat="1" ht="15" customHeight="1">
      <c r="AJ188" s="157"/>
      <c r="AK188" s="157"/>
      <c r="AL188" s="157"/>
      <c r="AM188" s="157"/>
      <c r="AN188" s="157"/>
      <c r="AO188" s="157"/>
      <c r="AP188" s="157"/>
      <c r="AQ188" s="157"/>
      <c r="AS188" s="157"/>
    </row>
    <row r="189" spans="4:45" s="195" customFormat="1" ht="15" customHeight="1">
      <c r="E189" s="157" t="s">
        <v>269</v>
      </c>
      <c r="G189" s="157" t="s">
        <v>46</v>
      </c>
      <c r="AJ189" s="19">
        <f t="shared" ref="AJ189:AQ189" si="53">1 / (1 - AJ186)</f>
        <v>1.25</v>
      </c>
      <c r="AK189" s="19">
        <f t="shared" si="53"/>
        <v>1.25</v>
      </c>
      <c r="AL189" s="19">
        <f t="shared" si="53"/>
        <v>1.25</v>
      </c>
      <c r="AM189" s="19">
        <f t="shared" si="53"/>
        <v>1.25</v>
      </c>
      <c r="AN189" s="19">
        <f t="shared" si="53"/>
        <v>1.25</v>
      </c>
      <c r="AO189" s="19">
        <f t="shared" si="53"/>
        <v>1.25</v>
      </c>
      <c r="AP189" s="19">
        <f t="shared" si="53"/>
        <v>1.25</v>
      </c>
      <c r="AQ189" s="19">
        <f t="shared" si="53"/>
        <v>1.25</v>
      </c>
      <c r="AS189" s="157"/>
    </row>
    <row r="190" spans="4:45" s="195" customFormat="1" ht="15" customHeight="1">
      <c r="AJ190" s="157"/>
      <c r="AK190" s="157"/>
      <c r="AL190" s="157"/>
      <c r="AM190" s="157"/>
      <c r="AN190" s="157"/>
      <c r="AO190" s="157"/>
      <c r="AP190" s="157"/>
      <c r="AQ190" s="157"/>
      <c r="AS190" s="157"/>
    </row>
    <row r="191" spans="4:45" s="195" customFormat="1" ht="15" customHeight="1">
      <c r="E191" s="149" t="s">
        <v>782</v>
      </c>
      <c r="G191" s="195" t="s">
        <v>27</v>
      </c>
      <c r="AJ191" s="38">
        <f t="shared" ref="AJ191:AQ191" si="54">AJ187 * AJ189</f>
        <v>12.842232993550278</v>
      </c>
      <c r="AK191" s="38">
        <f t="shared" si="54"/>
        <v>11.864435820956832</v>
      </c>
      <c r="AL191" s="38">
        <f t="shared" si="54"/>
        <v>13.456625840429018</v>
      </c>
      <c r="AM191" s="38">
        <f t="shared" si="54"/>
        <v>19.870628881226164</v>
      </c>
      <c r="AN191" s="38">
        <f t="shared" si="54"/>
        <v>25.270773821756904</v>
      </c>
      <c r="AO191" s="38">
        <f t="shared" si="54"/>
        <v>30.45605284376931</v>
      </c>
      <c r="AP191" s="38">
        <f t="shared" si="54"/>
        <v>37.192638414394594</v>
      </c>
      <c r="AQ191" s="38">
        <f t="shared" si="54"/>
        <v>45.179512572064809</v>
      </c>
      <c r="AS191" s="157"/>
    </row>
    <row r="192" spans="4:45" s="195" customFormat="1" ht="15" customHeight="1">
      <c r="AJ192" s="157"/>
      <c r="AK192" s="157"/>
      <c r="AL192" s="157"/>
      <c r="AM192" s="157"/>
      <c r="AN192" s="157"/>
      <c r="AO192" s="157"/>
      <c r="AP192" s="157"/>
      <c r="AQ192" s="157"/>
      <c r="AS192" s="157"/>
    </row>
    <row r="193" spans="2:47" s="195" customFormat="1" ht="15" customHeight="1">
      <c r="D193" s="201" t="s">
        <v>7</v>
      </c>
      <c r="E193" s="201"/>
      <c r="F193" s="201"/>
      <c r="G193" s="201"/>
      <c r="H193" s="201"/>
      <c r="I193" s="201"/>
      <c r="J193" s="201"/>
      <c r="K193" s="201"/>
      <c r="L193" s="201"/>
      <c r="M193" s="201"/>
      <c r="N193" s="201"/>
      <c r="O193" s="201"/>
      <c r="P193" s="201"/>
      <c r="Q193" s="201"/>
      <c r="R193" s="201"/>
      <c r="S193" s="201"/>
      <c r="T193" s="201"/>
      <c r="U193" s="201"/>
      <c r="V193" s="201"/>
      <c r="W193" s="201"/>
      <c r="X193" s="201"/>
      <c r="Y193" s="201"/>
      <c r="Z193" s="201"/>
      <c r="AA193" s="201"/>
      <c r="AB193" s="201"/>
      <c r="AC193" s="201"/>
      <c r="AD193" s="201"/>
      <c r="AE193" s="201"/>
      <c r="AF193" s="201"/>
      <c r="AG193" s="201"/>
      <c r="AH193" s="202"/>
      <c r="AI193" s="202"/>
      <c r="AJ193" s="201"/>
      <c r="AK193" s="201"/>
      <c r="AL193" s="201"/>
      <c r="AM193" s="201"/>
      <c r="AN193" s="201"/>
      <c r="AO193" s="201"/>
      <c r="AP193" s="201"/>
      <c r="AQ193" s="201"/>
      <c r="AS193" s="157"/>
    </row>
    <row r="194" spans="2:47" s="195" customFormat="1" ht="15" customHeight="1">
      <c r="AJ194" s="157"/>
      <c r="AK194" s="157"/>
      <c r="AL194" s="157"/>
      <c r="AM194" s="157"/>
      <c r="AN194" s="157"/>
      <c r="AO194" s="157"/>
      <c r="AP194" s="157"/>
      <c r="AQ194" s="157"/>
      <c r="AS194" s="157"/>
    </row>
    <row r="195" spans="2:47" ht="15" customHeight="1">
      <c r="E195" s="149" t="s">
        <v>7</v>
      </c>
      <c r="G195" s="195" t="s">
        <v>27</v>
      </c>
      <c r="AH195" s="147"/>
      <c r="AI195" s="147"/>
      <c r="AJ195" s="147">
        <f>AJ191</f>
        <v>12.842232993550278</v>
      </c>
      <c r="AK195" s="147">
        <f t="shared" ref="AK195:AQ195" si="55">AK191</f>
        <v>11.864435820956832</v>
      </c>
      <c r="AL195" s="147">
        <f t="shared" si="55"/>
        <v>13.456625840429018</v>
      </c>
      <c r="AM195" s="147">
        <f t="shared" si="55"/>
        <v>19.870628881226164</v>
      </c>
      <c r="AN195" s="147">
        <f t="shared" si="55"/>
        <v>25.270773821756904</v>
      </c>
      <c r="AO195" s="147">
        <f t="shared" si="55"/>
        <v>30.45605284376931</v>
      </c>
      <c r="AP195" s="147">
        <f t="shared" si="55"/>
        <v>37.192638414394594</v>
      </c>
      <c r="AQ195" s="147">
        <f t="shared" si="55"/>
        <v>45.179512572064809</v>
      </c>
      <c r="AS195" s="157"/>
    </row>
    <row r="196" spans="2:47" s="195" customFormat="1" ht="15" customHeight="1">
      <c r="D196" s="149"/>
      <c r="E196" s="157" t="s">
        <v>795</v>
      </c>
      <c r="G196" s="195" t="s">
        <v>27</v>
      </c>
      <c r="AJ196" s="157">
        <f>((Input!AJ37*(1-AJ186)*(Input!AJ$57/Input!$AG57))-AJ178/(1/AJ186))*AJ189</f>
        <v>0</v>
      </c>
      <c r="AK196" s="157">
        <f>((Input!AK37*(1-AK186)*(Input!AK$57/Input!$AG57))-AK178/(1/AK186))*AK189</f>
        <v>0</v>
      </c>
      <c r="AL196" s="157">
        <f>((Input!AL37*(1-AL186)*(Input!AL$57/Input!$AG57))-AL178/(1/AL186))*AL189</f>
        <v>0</v>
      </c>
      <c r="AM196" s="157">
        <f>((Input!AM37*(1-AM186)*(Input!AM$57/Input!$AG57))-AM178/(1/AM186))*AM189</f>
        <v>0</v>
      </c>
      <c r="AN196" s="157">
        <f>((Input!AN37*(1-AN186)*(Input!AN$57/Input!$AG57))-AN178/(1/AN186))*AN189</f>
        <v>0</v>
      </c>
      <c r="AO196" s="157">
        <f>((Input!AO37*(1-AO186)*(Input!AO$57/Input!$AG57))-AO178/(1/AO186))*AO189</f>
        <v>0</v>
      </c>
      <c r="AP196" s="157">
        <f>((Input!AP37*(1-AP186)*(Input!AP$57/Input!$AG57))-AP178/(1/AP186))*AP189</f>
        <v>0</v>
      </c>
      <c r="AQ196" s="157">
        <f>((Input!AQ37*(1-AQ186)*(Input!AQ$57/Input!$AG57))-AQ178/(1/AQ186))*AQ189</f>
        <v>0</v>
      </c>
      <c r="AS196" s="157"/>
    </row>
    <row r="197" spans="2:47" s="195" customFormat="1" ht="15" customHeight="1">
      <c r="E197" s="149" t="s">
        <v>7</v>
      </c>
      <c r="G197" s="195" t="s">
        <v>27</v>
      </c>
      <c r="AJ197" s="167">
        <f t="shared" ref="AJ197:AQ197" si="56">SUM(AJ195:AJ196)</f>
        <v>12.842232993550278</v>
      </c>
      <c r="AK197" s="167">
        <f t="shared" si="56"/>
        <v>11.864435820956832</v>
      </c>
      <c r="AL197" s="167">
        <f t="shared" si="56"/>
        <v>13.456625840429018</v>
      </c>
      <c r="AM197" s="167">
        <f t="shared" si="56"/>
        <v>19.870628881226164</v>
      </c>
      <c r="AN197" s="167">
        <f t="shared" si="56"/>
        <v>25.270773821756904</v>
      </c>
      <c r="AO197" s="167">
        <f t="shared" si="56"/>
        <v>30.45605284376931</v>
      </c>
      <c r="AP197" s="167">
        <f t="shared" si="56"/>
        <v>37.192638414394594</v>
      </c>
      <c r="AQ197" s="167">
        <f t="shared" si="56"/>
        <v>45.179512572064809</v>
      </c>
      <c r="AS197" s="157"/>
    </row>
    <row r="198" spans="2:47" s="195" customFormat="1" ht="15" customHeight="1">
      <c r="E198" s="149"/>
      <c r="AJ198" s="157"/>
      <c r="AK198" s="157"/>
      <c r="AL198" s="157"/>
      <c r="AM198" s="157"/>
      <c r="AN198" s="157"/>
      <c r="AO198" s="157"/>
      <c r="AP198" s="157"/>
      <c r="AQ198" s="157"/>
      <c r="AS198" s="157"/>
    </row>
    <row r="199" spans="2:47" s="195" customFormat="1" ht="15" customHeight="1">
      <c r="B199" s="334" t="s">
        <v>772</v>
      </c>
      <c r="C199" s="334"/>
      <c r="D199" s="334"/>
      <c r="E199" s="334"/>
      <c r="F199" s="334"/>
      <c r="G199" s="334"/>
      <c r="H199" s="334"/>
      <c r="I199" s="334"/>
      <c r="J199" s="334"/>
      <c r="K199" s="334"/>
      <c r="L199" s="334"/>
      <c r="M199" s="334"/>
      <c r="N199" s="334"/>
      <c r="O199" s="334"/>
      <c r="P199" s="334"/>
      <c r="Q199" s="334"/>
      <c r="R199" s="334"/>
      <c r="S199" s="334"/>
      <c r="T199" s="334"/>
      <c r="U199" s="334"/>
      <c r="V199" s="334"/>
      <c r="W199" s="334"/>
      <c r="X199" s="334"/>
      <c r="Y199" s="334"/>
      <c r="Z199" s="334"/>
      <c r="AA199" s="334"/>
      <c r="AB199" s="334"/>
      <c r="AC199" s="334"/>
      <c r="AD199" s="334"/>
      <c r="AE199" s="334"/>
      <c r="AF199" s="334"/>
      <c r="AG199" s="334"/>
      <c r="AH199" s="376"/>
      <c r="AI199" s="376"/>
      <c r="AJ199" s="334"/>
      <c r="AK199" s="334"/>
      <c r="AL199" s="334"/>
      <c r="AM199" s="334"/>
      <c r="AN199" s="334"/>
      <c r="AO199" s="334"/>
      <c r="AP199" s="334"/>
      <c r="AQ199" s="334"/>
      <c r="AR199" s="113"/>
      <c r="AS199" s="157"/>
      <c r="AT199" s="113"/>
    </row>
    <row r="200" spans="2:47" s="195" customFormat="1" ht="15" customHeight="1">
      <c r="E200" s="149"/>
      <c r="AJ200" s="157"/>
      <c r="AK200" s="157"/>
      <c r="AL200" s="157"/>
      <c r="AM200" s="157"/>
      <c r="AN200" s="157"/>
      <c r="AO200" s="157"/>
      <c r="AP200" s="157"/>
      <c r="AQ200" s="157"/>
      <c r="AS200" s="157"/>
    </row>
    <row r="201" spans="2:47" s="195" customFormat="1" ht="15" customHeight="1">
      <c r="C201" s="332" t="s">
        <v>92</v>
      </c>
      <c r="D201" s="332"/>
      <c r="E201" s="332"/>
      <c r="F201" s="332"/>
      <c r="G201" s="332"/>
      <c r="H201" s="332"/>
      <c r="I201" s="332"/>
      <c r="J201" s="332"/>
      <c r="K201" s="332"/>
      <c r="L201" s="332"/>
      <c r="M201" s="332"/>
      <c r="N201" s="332"/>
      <c r="O201" s="332"/>
      <c r="P201" s="332"/>
      <c r="Q201" s="332"/>
      <c r="R201" s="332"/>
      <c r="S201" s="332"/>
      <c r="T201" s="332"/>
      <c r="U201" s="332"/>
      <c r="V201" s="332"/>
      <c r="W201" s="332"/>
      <c r="X201" s="332"/>
      <c r="Y201" s="332"/>
      <c r="Z201" s="332"/>
      <c r="AA201" s="332"/>
      <c r="AB201" s="332"/>
      <c r="AC201" s="332"/>
      <c r="AD201" s="332"/>
      <c r="AE201" s="332"/>
      <c r="AF201" s="332"/>
      <c r="AG201" s="332"/>
      <c r="AH201" s="354"/>
      <c r="AI201" s="354"/>
      <c r="AJ201" s="332"/>
      <c r="AK201" s="332"/>
      <c r="AL201" s="332"/>
      <c r="AM201" s="332"/>
      <c r="AN201" s="332"/>
      <c r="AO201" s="332"/>
      <c r="AP201" s="332"/>
      <c r="AQ201" s="332"/>
      <c r="AR201" s="113"/>
      <c r="AS201" s="157"/>
      <c r="AT201" s="113"/>
    </row>
    <row r="202" spans="2:47" s="157" customFormat="1" ht="15" customHeight="1">
      <c r="C202" s="447"/>
      <c r="D202" s="447"/>
      <c r="E202" s="447"/>
      <c r="F202" s="447"/>
      <c r="G202" s="447"/>
      <c r="H202" s="447"/>
      <c r="I202" s="447"/>
      <c r="J202" s="447"/>
      <c r="K202" s="447"/>
      <c r="L202" s="447"/>
      <c r="M202" s="447"/>
      <c r="N202" s="447"/>
      <c r="O202" s="447"/>
      <c r="P202" s="447"/>
      <c r="Q202" s="447"/>
      <c r="R202" s="447"/>
      <c r="S202" s="447"/>
      <c r="T202" s="447"/>
      <c r="U202" s="447"/>
      <c r="V202" s="447"/>
      <c r="W202" s="447"/>
      <c r="X202" s="447"/>
      <c r="Y202" s="447"/>
      <c r="Z202" s="447"/>
      <c r="AA202" s="447"/>
      <c r="AB202" s="447"/>
      <c r="AC202" s="447"/>
      <c r="AD202" s="447"/>
      <c r="AE202" s="447"/>
      <c r="AF202" s="448"/>
      <c r="AG202" s="448"/>
      <c r="AH202" s="448"/>
      <c r="AI202" s="448"/>
      <c r="AJ202" s="447"/>
      <c r="AK202" s="447"/>
      <c r="AL202" s="447"/>
      <c r="AM202" s="447"/>
      <c r="AN202" s="447"/>
      <c r="AO202" s="447"/>
      <c r="AP202" s="447"/>
      <c r="AQ202" s="447"/>
    </row>
    <row r="203" spans="2:47" s="195" customFormat="1" ht="15" customHeight="1">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3"/>
      <c r="AL203" s="113"/>
      <c r="AM203" s="113"/>
      <c r="AN203" s="113"/>
      <c r="AO203" s="113"/>
      <c r="AP203" s="113"/>
      <c r="AQ203" s="113"/>
      <c r="AR203" s="113"/>
      <c r="AS203" s="157"/>
      <c r="AT203" s="113"/>
    </row>
    <row r="204" spans="2:47" s="195" customFormat="1" ht="15" customHeight="1">
      <c r="E204" s="195" t="s">
        <v>773</v>
      </c>
      <c r="G204" s="195" t="s">
        <v>27</v>
      </c>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57"/>
      <c r="AI204" s="157"/>
      <c r="AJ204" s="157">
        <f>AJ162</f>
        <v>322.88062373179702</v>
      </c>
      <c r="AK204" s="157">
        <f t="shared" ref="AK204:AQ204" si="57">AK162</f>
        <v>336.92108550925894</v>
      </c>
      <c r="AL204" s="157">
        <f t="shared" si="57"/>
        <v>361.87151703363509</v>
      </c>
      <c r="AM204" s="157">
        <f t="shared" si="57"/>
        <v>396.20829402480291</v>
      </c>
      <c r="AN204" s="157">
        <f t="shared" si="57"/>
        <v>430.52604831939419</v>
      </c>
      <c r="AO204" s="157">
        <f t="shared" si="57"/>
        <v>463.12042929029991</v>
      </c>
      <c r="AP204" s="157">
        <f t="shared" si="57"/>
        <v>498.17169841559644</v>
      </c>
      <c r="AQ204" s="157">
        <f t="shared" si="57"/>
        <v>538.92726936172699</v>
      </c>
      <c r="AR204" s="113"/>
      <c r="AS204" s="157"/>
      <c r="AT204" s="113"/>
      <c r="AU204" s="114"/>
    </row>
    <row r="205" spans="2:47" s="195" customFormat="1" ht="15" customHeight="1">
      <c r="E205" s="195" t="s">
        <v>725</v>
      </c>
      <c r="G205" s="195" t="s">
        <v>27</v>
      </c>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57"/>
      <c r="AI205" s="157"/>
      <c r="AJ205" s="157">
        <f t="shared" ref="AJ205:AQ205" si="58">AJ163</f>
        <v>-36.382183489738587</v>
      </c>
      <c r="AK205" s="157">
        <f t="shared" si="58"/>
        <v>-37.615985862711902</v>
      </c>
      <c r="AL205" s="157">
        <f t="shared" si="58"/>
        <v>-38.8964873360284</v>
      </c>
      <c r="AM205" s="157">
        <f t="shared" si="58"/>
        <v>-40.225802923265022</v>
      </c>
      <c r="AN205" s="157">
        <f t="shared" si="58"/>
        <v>-41.606132060473044</v>
      </c>
      <c r="AO205" s="157">
        <f t="shared" si="58"/>
        <v>-43.03976484567314</v>
      </c>
      <c r="AP205" s="157">
        <f t="shared" si="58"/>
        <v>-44.529226989939545</v>
      </c>
      <c r="AQ205" s="157">
        <f t="shared" si="58"/>
        <v>-46.077150718237412</v>
      </c>
      <c r="AR205" s="113"/>
      <c r="AS205" s="157"/>
      <c r="AT205" s="113"/>
      <c r="AU205" s="114"/>
    </row>
    <row r="206" spans="2:47" s="195" customFormat="1" ht="15" customHeight="1">
      <c r="E206" s="195" t="s">
        <v>181</v>
      </c>
      <c r="G206" s="195" t="s">
        <v>27</v>
      </c>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57"/>
      <c r="AI206" s="157"/>
      <c r="AJ206" s="157">
        <f>AJ197</f>
        <v>12.842232993550278</v>
      </c>
      <c r="AK206" s="157">
        <f t="shared" ref="AK206:AQ206" si="59">AK197</f>
        <v>11.864435820956832</v>
      </c>
      <c r="AL206" s="157">
        <f t="shared" si="59"/>
        <v>13.456625840429018</v>
      </c>
      <c r="AM206" s="157">
        <f t="shared" si="59"/>
        <v>19.870628881226164</v>
      </c>
      <c r="AN206" s="157">
        <f t="shared" si="59"/>
        <v>25.270773821756904</v>
      </c>
      <c r="AO206" s="157">
        <f t="shared" si="59"/>
        <v>30.45605284376931</v>
      </c>
      <c r="AP206" s="157">
        <f t="shared" si="59"/>
        <v>37.192638414394594</v>
      </c>
      <c r="AQ206" s="157">
        <f t="shared" si="59"/>
        <v>45.179512572064809</v>
      </c>
      <c r="AR206" s="113"/>
      <c r="AS206" s="157"/>
      <c r="AT206" s="113"/>
      <c r="AU206" s="114"/>
    </row>
    <row r="207" spans="2:47" s="195" customFormat="1" ht="15" customHeight="1">
      <c r="E207" s="157" t="s">
        <v>551</v>
      </c>
      <c r="G207" s="195" t="s">
        <v>27</v>
      </c>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57"/>
      <c r="AI207" s="157"/>
      <c r="AJ207" s="157">
        <f>DARTs!AJ29*Input!AJ57/Input!$AG57</f>
        <v>2.1947044671211322</v>
      </c>
      <c r="AK207" s="157">
        <f>DARTs!AK29*Input!AK57/Input!$AG57</f>
        <v>2.3687462444548308</v>
      </c>
      <c r="AL207" s="157">
        <f>DARTs!AL29*Input!AL57/Input!$AG57</f>
        <v>2.556592724432611</v>
      </c>
      <c r="AM207" s="157">
        <f>DARTs!AM29*Input!AM57/Input!$AG57</f>
        <v>2.759338939307391</v>
      </c>
      <c r="AN207" s="157">
        <f>DARTs!AN29*Input!AN57/Input!$AG57</f>
        <v>2.9781643438064598</v>
      </c>
      <c r="AO207" s="157">
        <f>DARTs!AO29*Input!AO57/Input!$AG57</f>
        <v>3.2143390546264747</v>
      </c>
      <c r="AP207" s="157">
        <f>DARTs!AP29*Input!AP57/Input!$AG57</f>
        <v>3.4692413038521752</v>
      </c>
      <c r="AQ207" s="157">
        <f>DARTs!AQ29*Input!AQ57/Input!$AG57</f>
        <v>3.7443558374592061</v>
      </c>
      <c r="AR207" s="113"/>
      <c r="AS207" s="157"/>
      <c r="AT207" s="113"/>
      <c r="AU207" s="114"/>
    </row>
    <row r="208" spans="2:47" s="195" customFormat="1" ht="15" customHeight="1">
      <c r="E208" s="157" t="s">
        <v>727</v>
      </c>
      <c r="G208" s="195" t="s">
        <v>27</v>
      </c>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57"/>
      <c r="AI208" s="157"/>
      <c r="AJ208" s="157">
        <f>DARTs!AJ57*Input!AJ57/Input!$AG57</f>
        <v>0</v>
      </c>
      <c r="AK208" s="157">
        <f>DARTs!AK57*Input!AK57/Input!$AG57</f>
        <v>0</v>
      </c>
      <c r="AL208" s="157">
        <f>DARTs!AL57*Input!AL57/Input!$AG57</f>
        <v>0</v>
      </c>
      <c r="AM208" s="157">
        <f>DARTs!AM57*Input!AM57/Input!$AG57</f>
        <v>0</v>
      </c>
      <c r="AN208" s="157">
        <f>DARTs!AN57*Input!AN57/Input!$AG57</f>
        <v>0</v>
      </c>
      <c r="AO208" s="157">
        <f>DARTs!AO57*Input!AO57/Input!$AG57</f>
        <v>0</v>
      </c>
      <c r="AP208" s="157">
        <f>DARTs!AP57*Input!AP57/Input!$AG57</f>
        <v>0</v>
      </c>
      <c r="AQ208" s="157">
        <f>DARTs!AQ57*Input!AQ57/Input!$AG57</f>
        <v>0</v>
      </c>
      <c r="AR208" s="113"/>
      <c r="AS208" s="157"/>
      <c r="AT208" s="113"/>
      <c r="AU208" s="114"/>
    </row>
    <row r="209" spans="3:47" s="195" customFormat="1" ht="15" customHeight="1">
      <c r="E209" s="157" t="str">
        <f>Input!E255</f>
        <v>ES7 (Miscellaneous) net position</v>
      </c>
      <c r="G209" s="195" t="s">
        <v>27</v>
      </c>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57"/>
      <c r="AI209" s="157"/>
      <c r="AJ209" s="157">
        <f>DARTs!AJ45*Input!AJ57/Input!$AG57</f>
        <v>0</v>
      </c>
      <c r="AK209" s="157">
        <f>DARTs!AK45*Input!AK57/Input!$AG57</f>
        <v>0</v>
      </c>
      <c r="AL209" s="157">
        <f>DARTs!AL45*Input!AL57/Input!$AG57</f>
        <v>0</v>
      </c>
      <c r="AM209" s="157">
        <f>DARTs!AM45*Input!AM57/Input!$AG57</f>
        <v>0</v>
      </c>
      <c r="AN209" s="157">
        <f>DARTs!AN45*Input!AN57/Input!$AG57</f>
        <v>0</v>
      </c>
      <c r="AO209" s="157">
        <f>DARTs!AO45*Input!AO57/Input!$AG57</f>
        <v>0</v>
      </c>
      <c r="AP209" s="157">
        <f>DARTs!AP45*Input!AP57/Input!$AG57</f>
        <v>0</v>
      </c>
      <c r="AQ209" s="157">
        <f>DARTs!AQ45*Input!AQ57/Input!$AG57</f>
        <v>0</v>
      </c>
      <c r="AR209" s="113"/>
      <c r="AS209" s="157"/>
      <c r="AT209" s="113"/>
      <c r="AU209" s="114"/>
    </row>
    <row r="210" spans="3:47" s="195" customFormat="1" ht="15" customHeight="1">
      <c r="E210" s="157" t="str">
        <f>Input!E311</f>
        <v>Overall net income of Directly Remunerated Services</v>
      </c>
      <c r="G210" s="195" t="s">
        <v>27</v>
      </c>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57"/>
      <c r="AI210" s="157"/>
      <c r="AJ210" s="157">
        <f>DARTs!AJ51*Input!AJ57/Input!$AG57</f>
        <v>6.8798075555500535</v>
      </c>
      <c r="AK210" s="157">
        <f>DARTs!AK51*Input!AK57/Input!$AG57</f>
        <v>6.2142155007621973</v>
      </c>
      <c r="AL210" s="157">
        <f>DARTs!AL51*Input!AL57/Input!$AG57</f>
        <v>5.2639328142709623</v>
      </c>
      <c r="AM210" s="157">
        <f>DARTs!AM51*Input!AM57/Input!$AG57</f>
        <v>4.3886928975843214</v>
      </c>
      <c r="AN210" s="157">
        <f>DARTs!AN51*Input!AN57/Input!$AG57</f>
        <v>3.6117720423130071</v>
      </c>
      <c r="AO210" s="157">
        <f>DARTs!AO51*Input!AO57/Input!$AG57</f>
        <v>3.0441477975259157</v>
      </c>
      <c r="AP210" s="157">
        <f>DARTs!AP51*Input!AP57/Input!$AG57</f>
        <v>2.9757829977195187</v>
      </c>
      <c r="AQ210" s="157">
        <f>DARTs!AQ51*Input!AQ57/Input!$AG57</f>
        <v>3.0761987056127396</v>
      </c>
      <c r="AR210" s="113"/>
      <c r="AS210" s="157"/>
      <c r="AT210" s="113"/>
      <c r="AU210" s="114"/>
    </row>
    <row r="211" spans="3:47" s="195" customFormat="1" ht="15" customHeight="1">
      <c r="E211" s="157" t="s">
        <v>355</v>
      </c>
      <c r="G211" s="195" t="s">
        <v>27</v>
      </c>
      <c r="H211" s="157"/>
      <c r="I211" s="157"/>
      <c r="J211" s="157"/>
      <c r="K211" s="157"/>
      <c r="L211" s="157"/>
      <c r="M211" s="157"/>
      <c r="N211" s="157"/>
      <c r="O211" s="157"/>
      <c r="P211" s="157"/>
      <c r="Q211" s="157"/>
      <c r="R211" s="157"/>
      <c r="S211" s="157"/>
      <c r="T211" s="157"/>
      <c r="U211" s="157"/>
      <c r="V211" s="157"/>
      <c r="W211" s="157"/>
      <c r="X211" s="157"/>
      <c r="Y211" s="157"/>
      <c r="Z211" s="157"/>
      <c r="AA211" s="157"/>
      <c r="AB211" s="157"/>
      <c r="AC211" s="157"/>
      <c r="AD211" s="157"/>
      <c r="AE211" s="157"/>
      <c r="AF211" s="157"/>
      <c r="AG211" s="113"/>
      <c r="AH211" s="157"/>
      <c r="AI211" s="157"/>
      <c r="AJ211" s="157">
        <f t="shared" ref="AJ211:AQ214" si="60">AJ165</f>
        <v>-53.262085160118318</v>
      </c>
      <c r="AK211" s="157">
        <f t="shared" si="60"/>
        <v>-58.317934548405184</v>
      </c>
      <c r="AL211" s="157">
        <f t="shared" si="60"/>
        <v>-63.844545246107785</v>
      </c>
      <c r="AM211" s="157">
        <f t="shared" si="60"/>
        <v>-62.218508088838533</v>
      </c>
      <c r="AN211" s="157">
        <f t="shared" si="60"/>
        <v>-65.418437855891185</v>
      </c>
      <c r="AO211" s="157">
        <f t="shared" si="60"/>
        <v>-67.195913767064312</v>
      </c>
      <c r="AP211" s="157">
        <f t="shared" si="60"/>
        <v>-67.80650896874387</v>
      </c>
      <c r="AQ211" s="157">
        <f t="shared" si="60"/>
        <v>-66.981646965733304</v>
      </c>
      <c r="AR211" s="113"/>
      <c r="AS211" s="157"/>
      <c r="AT211" s="113"/>
      <c r="AU211" s="114"/>
    </row>
    <row r="212" spans="3:47" s="195" customFormat="1" ht="15" customHeight="1">
      <c r="E212" s="157" t="s">
        <v>354</v>
      </c>
      <c r="G212" s="195" t="s">
        <v>27</v>
      </c>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57"/>
      <c r="AI212" s="157"/>
      <c r="AJ212" s="157">
        <f t="shared" si="60"/>
        <v>-8.3002240644700258</v>
      </c>
      <c r="AK212" s="157">
        <f t="shared" si="60"/>
        <v>-9.0881684867324228</v>
      </c>
      <c r="AL212" s="157">
        <f t="shared" si="60"/>
        <v>-9.9496366452189768</v>
      </c>
      <c r="AM212" s="157">
        <f t="shared" si="60"/>
        <v>-9.6964265667201897</v>
      </c>
      <c r="AN212" s="157">
        <f t="shared" si="60"/>
        <v>-10.195164081670629</v>
      </c>
      <c r="AO212" s="157">
        <f t="shared" si="60"/>
        <v>-10.471925895965812</v>
      </c>
      <c r="AP212" s="157">
        <f t="shared" si="60"/>
        <v>-10.566995030219067</v>
      </c>
      <c r="AQ212" s="157">
        <f t="shared" si="60"/>
        <v>-10.438355697804583</v>
      </c>
      <c r="AR212" s="113"/>
      <c r="AS212" s="157"/>
      <c r="AT212" s="113"/>
      <c r="AU212" s="114"/>
    </row>
    <row r="213" spans="3:47" s="195" customFormat="1" ht="15" customHeight="1">
      <c r="E213" s="195" t="s">
        <v>268</v>
      </c>
      <c r="G213" s="195" t="s">
        <v>27</v>
      </c>
      <c r="H213" s="157"/>
      <c r="I213" s="157"/>
      <c r="J213" s="157"/>
      <c r="K213" s="157"/>
      <c r="L213" s="157"/>
      <c r="M213" s="157"/>
      <c r="N213" s="157"/>
      <c r="O213" s="157"/>
      <c r="P213" s="157"/>
      <c r="Q213" s="157"/>
      <c r="R213" s="157"/>
      <c r="S213" s="157"/>
      <c r="T213" s="157"/>
      <c r="U213" s="157"/>
      <c r="V213" s="157"/>
      <c r="W213" s="157"/>
      <c r="X213" s="157"/>
      <c r="Y213" s="157"/>
      <c r="Z213" s="157"/>
      <c r="AA213" s="157"/>
      <c r="AB213" s="157"/>
      <c r="AC213" s="157"/>
      <c r="AD213" s="157"/>
      <c r="AE213" s="157"/>
      <c r="AF213" s="157"/>
      <c r="AG213" s="113"/>
      <c r="AH213" s="157"/>
      <c r="AI213" s="157"/>
      <c r="AJ213" s="157">
        <f t="shared" si="60"/>
        <v>-110.6135103763024</v>
      </c>
      <c r="AK213" s="157">
        <f t="shared" si="60"/>
        <v>-114.78829388141548</v>
      </c>
      <c r="AL213" s="157">
        <f t="shared" si="60"/>
        <v>-119.48580093633764</v>
      </c>
      <c r="AM213" s="157">
        <f t="shared" si="60"/>
        <v>-123.35706207410078</v>
      </c>
      <c r="AN213" s="157">
        <f t="shared" si="60"/>
        <v>-126.08656094986017</v>
      </c>
      <c r="AO213" s="157">
        <f t="shared" si="60"/>
        <v>-129.90838431382068</v>
      </c>
      <c r="AP213" s="157">
        <f t="shared" si="60"/>
        <v>-130.53318976119994</v>
      </c>
      <c r="AQ213" s="157">
        <f t="shared" si="60"/>
        <v>-133.91371047661013</v>
      </c>
      <c r="AR213" s="113"/>
      <c r="AS213" s="157"/>
      <c r="AT213" s="113"/>
      <c r="AU213" s="114"/>
    </row>
    <row r="214" spans="3:47" s="195" customFormat="1" ht="15" customHeight="1">
      <c r="E214" s="195" t="s">
        <v>128</v>
      </c>
      <c r="G214" s="195" t="s">
        <v>27</v>
      </c>
      <c r="H214" s="157"/>
      <c r="J214" s="157"/>
      <c r="K214" s="157"/>
      <c r="L214" s="157"/>
      <c r="M214" s="157"/>
      <c r="N214" s="157"/>
      <c r="O214" s="157"/>
      <c r="P214" s="157"/>
      <c r="Q214" s="157"/>
      <c r="R214" s="157"/>
      <c r="S214" s="157"/>
      <c r="T214" s="157"/>
      <c r="U214" s="157"/>
      <c r="V214" s="157"/>
      <c r="W214" s="157"/>
      <c r="X214" s="157"/>
      <c r="Y214" s="157"/>
      <c r="Z214" s="157"/>
      <c r="AA214" s="157"/>
      <c r="AB214" s="157"/>
      <c r="AC214" s="157"/>
      <c r="AD214" s="157"/>
      <c r="AE214" s="157"/>
      <c r="AF214" s="157"/>
      <c r="AG214" s="157"/>
      <c r="AH214" s="157"/>
      <c r="AI214" s="157"/>
      <c r="AJ214" s="157">
        <f t="shared" si="60"/>
        <v>-62.953688666966592</v>
      </c>
      <c r="AK214" s="157">
        <f t="shared" si="60"/>
        <v>-69.652959446166605</v>
      </c>
      <c r="AL214" s="157">
        <f t="shared" si="60"/>
        <v>-75.868543508226239</v>
      </c>
      <c r="AM214" s="157">
        <f t="shared" si="60"/>
        <v>-81.227978846973784</v>
      </c>
      <c r="AN214" s="157">
        <f t="shared" si="60"/>
        <v>-86.136658084471591</v>
      </c>
      <c r="AO214" s="157">
        <f t="shared" si="60"/>
        <v>-90.680229092698767</v>
      </c>
      <c r="AP214" s="157">
        <f t="shared" si="60"/>
        <v>-95.965224007915651</v>
      </c>
      <c r="AQ214" s="157">
        <f t="shared" si="60"/>
        <v>-100.79835521508228</v>
      </c>
      <c r="AR214" s="113"/>
      <c r="AS214" s="157"/>
      <c r="AT214" s="113"/>
      <c r="AU214" s="114"/>
    </row>
    <row r="215" spans="3:47" s="195" customFormat="1" ht="15" customHeight="1">
      <c r="E215" s="195" t="s">
        <v>776</v>
      </c>
      <c r="G215" s="195" t="s">
        <v>27</v>
      </c>
      <c r="H215" s="157"/>
      <c r="J215" s="157"/>
      <c r="K215" s="157"/>
      <c r="L215" s="157"/>
      <c r="M215" s="157"/>
      <c r="N215" s="157"/>
      <c r="O215" s="157"/>
      <c r="P215" s="157"/>
      <c r="Q215" s="157"/>
      <c r="R215" s="157"/>
      <c r="S215" s="157"/>
      <c r="T215" s="157"/>
      <c r="U215" s="157"/>
      <c r="V215" s="157"/>
      <c r="W215" s="157"/>
      <c r="X215" s="157"/>
      <c r="Y215" s="157"/>
      <c r="Z215" s="157"/>
      <c r="AA215" s="157"/>
      <c r="AB215" s="157"/>
      <c r="AC215" s="157"/>
      <c r="AD215" s="157"/>
      <c r="AE215" s="157"/>
      <c r="AF215" s="157"/>
      <c r="AG215" s="157"/>
      <c r="AH215" s="157"/>
      <c r="AI215" s="157"/>
      <c r="AJ215" s="167">
        <f t="shared" ref="AJ215:AQ215" si="61">SUM(AJ204:AJ214)</f>
        <v>73.285676990422559</v>
      </c>
      <c r="AK215" s="167">
        <f t="shared" si="61"/>
        <v>67.905140850001189</v>
      </c>
      <c r="AL215" s="167">
        <f t="shared" si="61"/>
        <v>75.103654740848711</v>
      </c>
      <c r="AM215" s="167">
        <f t="shared" si="61"/>
        <v>106.50117624302253</v>
      </c>
      <c r="AN215" s="167">
        <f t="shared" si="61"/>
        <v>132.94380549490398</v>
      </c>
      <c r="AO215" s="167">
        <f t="shared" si="61"/>
        <v>158.53875107099893</v>
      </c>
      <c r="AP215" s="167">
        <f t="shared" si="61"/>
        <v>192.40821637354469</v>
      </c>
      <c r="AQ215" s="167">
        <f t="shared" si="61"/>
        <v>232.71811740339609</v>
      </c>
      <c r="AR215" s="113"/>
      <c r="AS215" s="157"/>
      <c r="AT215" s="113"/>
      <c r="AU215" s="114"/>
    </row>
    <row r="216" spans="3:47" s="195" customFormat="1" ht="15" customHeight="1">
      <c r="H216" s="157"/>
      <c r="J216" s="157"/>
      <c r="K216" s="157"/>
      <c r="L216" s="157"/>
      <c r="M216" s="157"/>
      <c r="N216" s="157"/>
      <c r="O216" s="157"/>
      <c r="P216" s="157"/>
      <c r="Q216" s="157"/>
      <c r="R216" s="157"/>
      <c r="S216" s="157"/>
      <c r="T216" s="157"/>
      <c r="U216" s="157"/>
      <c r="V216" s="157"/>
      <c r="W216" s="157"/>
      <c r="X216" s="157"/>
      <c r="Y216" s="157"/>
      <c r="Z216" s="157"/>
      <c r="AA216" s="157"/>
      <c r="AB216" s="157"/>
      <c r="AC216" s="157"/>
      <c r="AD216" s="157"/>
      <c r="AE216" s="157"/>
      <c r="AF216" s="157"/>
      <c r="AG216" s="157"/>
      <c r="AH216" s="157"/>
      <c r="AI216" s="157"/>
      <c r="AJ216" s="157"/>
      <c r="AK216" s="157"/>
      <c r="AL216" s="157"/>
      <c r="AM216" s="157"/>
      <c r="AN216" s="157"/>
      <c r="AO216" s="157"/>
      <c r="AP216" s="157"/>
      <c r="AQ216" s="157"/>
      <c r="AR216" s="113"/>
      <c r="AS216" s="113"/>
      <c r="AT216" s="113"/>
      <c r="AU216" s="114"/>
    </row>
    <row r="217" spans="3:47" s="195" customFormat="1" ht="15" customHeight="1">
      <c r="C217" s="332" t="s">
        <v>93</v>
      </c>
      <c r="D217" s="332"/>
      <c r="E217" s="332"/>
      <c r="F217" s="332"/>
      <c r="G217" s="332"/>
      <c r="H217" s="332"/>
      <c r="I217" s="332"/>
      <c r="J217" s="332"/>
      <c r="K217" s="332"/>
      <c r="L217" s="332"/>
      <c r="M217" s="332"/>
      <c r="N217" s="332"/>
      <c r="O217" s="332"/>
      <c r="P217" s="332"/>
      <c r="Q217" s="332"/>
      <c r="R217" s="332"/>
      <c r="S217" s="332"/>
      <c r="T217" s="332"/>
      <c r="U217" s="332"/>
      <c r="V217" s="332"/>
      <c r="W217" s="332"/>
      <c r="X217" s="332"/>
      <c r="Y217" s="332"/>
      <c r="Z217" s="332"/>
      <c r="AA217" s="332"/>
      <c r="AB217" s="332"/>
      <c r="AC217" s="332"/>
      <c r="AD217" s="332"/>
      <c r="AE217" s="332"/>
      <c r="AF217" s="332"/>
      <c r="AG217" s="332"/>
      <c r="AH217" s="354"/>
      <c r="AI217" s="354"/>
      <c r="AJ217" s="354"/>
      <c r="AK217" s="354"/>
      <c r="AL217" s="354"/>
      <c r="AM217" s="354"/>
      <c r="AN217" s="354"/>
      <c r="AO217" s="354"/>
      <c r="AP217" s="354"/>
      <c r="AQ217" s="354"/>
      <c r="AR217" s="113"/>
      <c r="AS217" s="113"/>
      <c r="AT217" s="113"/>
      <c r="AU217" s="114"/>
    </row>
    <row r="218" spans="3:47" s="195" customFormat="1" ht="15" customHeight="1">
      <c r="H218" s="157"/>
      <c r="J218" s="157"/>
      <c r="K218" s="157"/>
      <c r="L218" s="157"/>
      <c r="M218" s="157"/>
      <c r="N218" s="157"/>
      <c r="O218" s="157"/>
      <c r="P218" s="157"/>
      <c r="Q218" s="157"/>
      <c r="R218" s="157"/>
      <c r="S218" s="157"/>
      <c r="T218" s="157"/>
      <c r="U218" s="157"/>
      <c r="V218" s="157"/>
      <c r="W218" s="157"/>
      <c r="X218" s="157"/>
      <c r="Y218" s="157"/>
      <c r="Z218" s="157"/>
      <c r="AA218" s="157"/>
      <c r="AB218" s="157"/>
      <c r="AC218" s="157"/>
      <c r="AD218" s="157"/>
      <c r="AE218" s="157"/>
      <c r="AF218" s="157"/>
      <c r="AG218" s="157"/>
      <c r="AH218" s="157"/>
      <c r="AI218" s="157"/>
      <c r="AJ218" s="157"/>
      <c r="AK218" s="157"/>
      <c r="AL218" s="157"/>
      <c r="AM218" s="157"/>
      <c r="AN218" s="157"/>
      <c r="AO218" s="157"/>
      <c r="AP218" s="157"/>
      <c r="AQ218" s="157"/>
      <c r="AR218" s="113"/>
      <c r="AS218" s="113"/>
      <c r="AT218" s="113"/>
      <c r="AU218" s="114"/>
    </row>
    <row r="219" spans="3:47" s="195" customFormat="1" ht="15" customHeight="1">
      <c r="E219" s="157" t="s">
        <v>512</v>
      </c>
      <c r="G219" s="195" t="s">
        <v>27</v>
      </c>
      <c r="AJ219" s="157">
        <f>AJ175</f>
        <v>0</v>
      </c>
      <c r="AK219" s="228">
        <f>SUM(AJ222)</f>
        <v>0</v>
      </c>
      <c r="AL219" s="157">
        <f t="shared" ref="AL219:AQ219" si="62">SUM(AK222)</f>
        <v>0</v>
      </c>
      <c r="AM219" s="157">
        <f t="shared" si="62"/>
        <v>0</v>
      </c>
      <c r="AN219" s="157">
        <f t="shared" si="62"/>
        <v>0</v>
      </c>
      <c r="AO219" s="157">
        <f t="shared" si="62"/>
        <v>0</v>
      </c>
      <c r="AP219" s="157">
        <f t="shared" si="62"/>
        <v>0</v>
      </c>
      <c r="AQ219" s="157">
        <f t="shared" si="62"/>
        <v>0</v>
      </c>
    </row>
    <row r="220" spans="3:47" s="195" customFormat="1" ht="15" customHeight="1">
      <c r="E220" s="157" t="s">
        <v>511</v>
      </c>
      <c r="G220" s="195" t="s">
        <v>27</v>
      </c>
      <c r="AJ220" s="157">
        <f>MIN(AJ215, 0)</f>
        <v>0</v>
      </c>
      <c r="AK220" s="157">
        <f>MIN(AK215, 0)</f>
        <v>0</v>
      </c>
      <c r="AL220" s="157">
        <f t="shared" ref="AL220:AQ220" si="63">MIN(AL215, 0)</f>
        <v>0</v>
      </c>
      <c r="AM220" s="157">
        <f t="shared" si="63"/>
        <v>0</v>
      </c>
      <c r="AN220" s="157">
        <f t="shared" si="63"/>
        <v>0</v>
      </c>
      <c r="AO220" s="157">
        <f t="shared" si="63"/>
        <v>0</v>
      </c>
      <c r="AP220" s="157">
        <f t="shared" si="63"/>
        <v>0</v>
      </c>
      <c r="AQ220" s="157">
        <f t="shared" si="63"/>
        <v>0</v>
      </c>
    </row>
    <row r="221" spans="3:47" s="195" customFormat="1" ht="15" customHeight="1">
      <c r="E221" s="195" t="s">
        <v>774</v>
      </c>
      <c r="G221" s="195" t="s">
        <v>27</v>
      </c>
      <c r="AJ221" s="157">
        <f t="shared" ref="AJ221:AQ221" si="64">IF(AJ215 &gt;= 0, MIN(AJ215, -AJ219), 0)</f>
        <v>0</v>
      </c>
      <c r="AK221" s="157">
        <f t="shared" si="64"/>
        <v>0</v>
      </c>
      <c r="AL221" s="157">
        <f t="shared" si="64"/>
        <v>0</v>
      </c>
      <c r="AM221" s="157">
        <f t="shared" si="64"/>
        <v>0</v>
      </c>
      <c r="AN221" s="157">
        <f t="shared" si="64"/>
        <v>0</v>
      </c>
      <c r="AO221" s="157">
        <f t="shared" si="64"/>
        <v>0</v>
      </c>
      <c r="AP221" s="157">
        <f t="shared" si="64"/>
        <v>0</v>
      </c>
      <c r="AQ221" s="157">
        <f t="shared" si="64"/>
        <v>0</v>
      </c>
    </row>
    <row r="222" spans="3:47" s="195" customFormat="1" ht="15" customHeight="1">
      <c r="E222" s="157" t="s">
        <v>76</v>
      </c>
      <c r="G222" s="195" t="s">
        <v>27</v>
      </c>
      <c r="AJ222" s="167">
        <f t="shared" ref="AJ222:AQ222" si="65">SUM(AJ219:AJ221)</f>
        <v>0</v>
      </c>
      <c r="AK222" s="167">
        <f t="shared" si="65"/>
        <v>0</v>
      </c>
      <c r="AL222" s="167">
        <f t="shared" si="65"/>
        <v>0</v>
      </c>
      <c r="AM222" s="167">
        <f t="shared" si="65"/>
        <v>0</v>
      </c>
      <c r="AN222" s="167">
        <f t="shared" si="65"/>
        <v>0</v>
      </c>
      <c r="AO222" s="167">
        <f t="shared" si="65"/>
        <v>0</v>
      </c>
      <c r="AP222" s="167">
        <f t="shared" si="65"/>
        <v>0</v>
      </c>
      <c r="AQ222" s="167">
        <f t="shared" si="65"/>
        <v>0</v>
      </c>
    </row>
    <row r="223" spans="3:47" s="195" customFormat="1" ht="15" customHeight="1">
      <c r="AJ223" s="157"/>
      <c r="AK223" s="157"/>
      <c r="AL223" s="157"/>
      <c r="AM223" s="157"/>
      <c r="AN223" s="157"/>
      <c r="AO223" s="157"/>
      <c r="AP223" s="157"/>
      <c r="AQ223" s="157"/>
    </row>
    <row r="224" spans="3:47" s="195" customFormat="1" ht="15" customHeight="1">
      <c r="C224" s="332"/>
      <c r="D224" s="332" t="s">
        <v>772</v>
      </c>
      <c r="E224" s="332"/>
      <c r="F224" s="332"/>
      <c r="G224" s="332"/>
      <c r="H224" s="332"/>
      <c r="I224" s="332"/>
      <c r="J224" s="332"/>
      <c r="K224" s="332"/>
      <c r="L224" s="332"/>
      <c r="M224" s="332"/>
      <c r="N224" s="332"/>
      <c r="O224" s="332"/>
      <c r="P224" s="332"/>
      <c r="Q224" s="332"/>
      <c r="R224" s="332"/>
      <c r="S224" s="332"/>
      <c r="T224" s="332"/>
      <c r="U224" s="332"/>
      <c r="V224" s="332"/>
      <c r="W224" s="332"/>
      <c r="X224" s="332"/>
      <c r="Y224" s="332"/>
      <c r="Z224" s="332"/>
      <c r="AA224" s="332"/>
      <c r="AB224" s="332"/>
      <c r="AC224" s="332"/>
      <c r="AD224" s="332"/>
      <c r="AE224" s="332"/>
      <c r="AF224" s="332"/>
      <c r="AG224" s="332"/>
      <c r="AH224" s="354"/>
      <c r="AI224" s="354"/>
      <c r="AJ224" s="354"/>
      <c r="AK224" s="354"/>
      <c r="AL224" s="354"/>
      <c r="AM224" s="354"/>
      <c r="AN224" s="354"/>
      <c r="AO224" s="354"/>
      <c r="AP224" s="354"/>
      <c r="AQ224" s="354"/>
      <c r="AR224" s="113"/>
      <c r="AS224" s="113"/>
      <c r="AT224" s="113"/>
      <c r="AU224" s="114"/>
    </row>
    <row r="225" spans="1:46" s="157" customFormat="1" ht="15" customHeight="1">
      <c r="D225" s="197"/>
      <c r="E225" s="197"/>
      <c r="F225" s="197"/>
      <c r="G225" s="197"/>
      <c r="H225" s="197"/>
      <c r="I225" s="197"/>
      <c r="J225" s="197"/>
      <c r="K225" s="197"/>
      <c r="L225" s="197"/>
      <c r="M225" s="197"/>
      <c r="N225" s="197"/>
      <c r="O225" s="197"/>
      <c r="P225" s="197"/>
      <c r="Q225" s="197"/>
      <c r="R225" s="197"/>
      <c r="S225" s="197"/>
      <c r="T225" s="197"/>
      <c r="U225" s="197"/>
      <c r="V225" s="197"/>
      <c r="W225" s="197"/>
      <c r="X225" s="197"/>
      <c r="Y225" s="197"/>
      <c r="Z225" s="197"/>
      <c r="AA225" s="197"/>
      <c r="AB225" s="197"/>
      <c r="AC225" s="197"/>
      <c r="AD225" s="197"/>
      <c r="AE225" s="197"/>
      <c r="AF225" s="199"/>
      <c r="AG225" s="199"/>
      <c r="AH225" s="199"/>
      <c r="AI225" s="199"/>
      <c r="AJ225" s="197"/>
      <c r="AK225" s="197"/>
      <c r="AL225" s="197"/>
      <c r="AM225" s="197"/>
      <c r="AN225" s="197"/>
      <c r="AO225" s="197"/>
      <c r="AP225" s="197"/>
      <c r="AQ225" s="197"/>
    </row>
    <row r="226" spans="1:46" s="157" customFormat="1" ht="15" customHeight="1">
      <c r="J226" s="33"/>
      <c r="K226" s="33"/>
      <c r="L226" s="33"/>
      <c r="M226" s="33"/>
      <c r="N226" s="33"/>
      <c r="O226" s="33"/>
      <c r="P226" s="33"/>
      <c r="Q226" s="33"/>
      <c r="R226" s="33"/>
      <c r="S226" s="33"/>
      <c r="T226" s="33"/>
      <c r="U226" s="33"/>
      <c r="V226" s="33"/>
      <c r="W226" s="33"/>
      <c r="X226" s="33"/>
    </row>
    <row r="227" spans="1:46" s="157" customFormat="1" ht="15" customHeight="1">
      <c r="E227" s="195" t="s">
        <v>513</v>
      </c>
      <c r="F227" s="195"/>
      <c r="G227" s="195" t="s">
        <v>27</v>
      </c>
      <c r="J227" s="33"/>
      <c r="K227" s="33"/>
      <c r="L227" s="33"/>
      <c r="M227" s="33"/>
      <c r="N227" s="33"/>
      <c r="O227" s="33"/>
      <c r="P227" s="33"/>
      <c r="Q227" s="33"/>
      <c r="R227" s="33"/>
      <c r="S227" s="33"/>
      <c r="T227" s="33"/>
      <c r="U227" s="33"/>
      <c r="V227" s="33"/>
      <c r="W227" s="33"/>
      <c r="X227" s="33"/>
      <c r="AJ227" s="157">
        <f t="shared" ref="AJ227:AQ227" si="66">MAX(AJ215 - AJ221,0)</f>
        <v>73.285676990422559</v>
      </c>
      <c r="AK227" s="157">
        <f t="shared" si="66"/>
        <v>67.905140850001189</v>
      </c>
      <c r="AL227" s="157">
        <f t="shared" si="66"/>
        <v>75.103654740848711</v>
      </c>
      <c r="AM227" s="157">
        <f t="shared" si="66"/>
        <v>106.50117624302253</v>
      </c>
      <c r="AN227" s="157">
        <f t="shared" si="66"/>
        <v>132.94380549490398</v>
      </c>
      <c r="AO227" s="157">
        <f t="shared" si="66"/>
        <v>158.53875107099893</v>
      </c>
      <c r="AP227" s="157">
        <f t="shared" si="66"/>
        <v>192.40821637354469</v>
      </c>
      <c r="AQ227" s="157">
        <f t="shared" si="66"/>
        <v>232.71811740339609</v>
      </c>
    </row>
    <row r="228" spans="1:46" s="157" customFormat="1" ht="15" customHeight="1">
      <c r="E228" s="157" t="s">
        <v>85</v>
      </c>
      <c r="F228" s="195"/>
      <c r="G228" s="157" t="s">
        <v>49</v>
      </c>
      <c r="J228" s="33"/>
      <c r="K228" s="33"/>
      <c r="L228" s="33"/>
      <c r="M228" s="33"/>
      <c r="N228" s="33"/>
      <c r="O228" s="33"/>
      <c r="P228" s="33"/>
      <c r="Q228" s="33"/>
      <c r="R228" s="33"/>
      <c r="S228" s="33"/>
      <c r="T228" s="33"/>
      <c r="U228" s="33"/>
      <c r="V228" s="33"/>
      <c r="W228" s="33"/>
      <c r="X228" s="33"/>
      <c r="AJ228" s="377">
        <f>TaxTrigger!AJ$96</f>
        <v>0.2</v>
      </c>
      <c r="AK228" s="377">
        <f>TaxTrigger!AK$96</f>
        <v>0.2</v>
      </c>
      <c r="AL228" s="377">
        <f>TaxTrigger!AL$96</f>
        <v>0.2</v>
      </c>
      <c r="AM228" s="377">
        <f>TaxTrigger!AM$96</f>
        <v>0.2</v>
      </c>
      <c r="AN228" s="377">
        <f>TaxTrigger!AN$96</f>
        <v>0.2</v>
      </c>
      <c r="AO228" s="377">
        <f>TaxTrigger!AO$96</f>
        <v>0.2</v>
      </c>
      <c r="AP228" s="377">
        <f>TaxTrigger!AP$96</f>
        <v>0.2</v>
      </c>
      <c r="AQ228" s="377">
        <f>TaxTrigger!AQ$96</f>
        <v>0.2</v>
      </c>
      <c r="AR228" s="377"/>
    </row>
    <row r="229" spans="1:46" s="195" customFormat="1" ht="15" customHeight="1">
      <c r="E229" s="195" t="s">
        <v>303</v>
      </c>
      <c r="G229" s="195" t="s">
        <v>27</v>
      </c>
      <c r="AJ229" s="157">
        <f t="shared" ref="AJ229:AQ229" si="67">AJ228*AJ227</f>
        <v>14.657135398084513</v>
      </c>
      <c r="AK229" s="157">
        <f t="shared" si="67"/>
        <v>13.581028170000238</v>
      </c>
      <c r="AL229" s="157">
        <f t="shared" si="67"/>
        <v>15.020730948169742</v>
      </c>
      <c r="AM229" s="157">
        <f t="shared" si="67"/>
        <v>21.300235248604508</v>
      </c>
      <c r="AN229" s="157">
        <f t="shared" si="67"/>
        <v>26.588761098980797</v>
      </c>
      <c r="AO229" s="157">
        <f t="shared" si="67"/>
        <v>31.707750214199788</v>
      </c>
      <c r="AP229" s="157">
        <f t="shared" si="67"/>
        <v>38.481643274708944</v>
      </c>
      <c r="AQ229" s="157">
        <f t="shared" si="67"/>
        <v>46.543623480679223</v>
      </c>
    </row>
    <row r="230" spans="1:46" s="195" customFormat="1" ht="15" customHeight="1">
      <c r="E230" s="149"/>
      <c r="AJ230" s="157"/>
      <c r="AK230" s="157"/>
      <c r="AL230" s="157"/>
      <c r="AM230" s="157"/>
      <c r="AN230" s="157"/>
      <c r="AO230" s="157"/>
      <c r="AP230" s="157"/>
      <c r="AQ230" s="157"/>
    </row>
    <row r="231" spans="1:46" s="540" customFormat="1" ht="14.25" customHeight="1">
      <c r="A231" s="113"/>
      <c r="B231" s="539" t="s">
        <v>961</v>
      </c>
      <c r="C231" s="539"/>
      <c r="D231" s="539"/>
      <c r="E231" s="539"/>
      <c r="F231" s="539"/>
      <c r="G231" s="539"/>
      <c r="H231" s="539"/>
      <c r="I231" s="539"/>
      <c r="J231" s="539"/>
      <c r="K231" s="539"/>
      <c r="L231" s="539"/>
      <c r="M231" s="539"/>
      <c r="N231" s="539"/>
      <c r="O231" s="539"/>
      <c r="P231" s="539"/>
      <c r="Q231" s="539"/>
      <c r="R231" s="539"/>
      <c r="S231" s="539"/>
      <c r="T231" s="539"/>
      <c r="U231" s="539"/>
      <c r="V231" s="539"/>
      <c r="W231" s="539"/>
      <c r="X231" s="539"/>
      <c r="Y231" s="539"/>
      <c r="Z231" s="539"/>
      <c r="AA231" s="539"/>
      <c r="AB231" s="539"/>
      <c r="AC231" s="539"/>
      <c r="AD231" s="539"/>
      <c r="AE231" s="539"/>
      <c r="AF231" s="539"/>
      <c r="AG231" s="539"/>
      <c r="AH231" s="539"/>
      <c r="AI231" s="539"/>
      <c r="AJ231" s="539"/>
      <c r="AK231" s="539"/>
      <c r="AL231" s="539"/>
      <c r="AM231" s="539"/>
      <c r="AN231" s="539"/>
      <c r="AO231" s="539"/>
      <c r="AP231" s="539"/>
      <c r="AQ231" s="539"/>
      <c r="AR231" s="539"/>
      <c r="AS231" s="539"/>
      <c r="AT231" s="539"/>
    </row>
    <row r="232" spans="1:46" s="152" customFormat="1" ht="15" customHeight="1"/>
    <row r="233" spans="1:46" s="195" customFormat="1" ht="12.75">
      <c r="E233" s="195" t="s">
        <v>824</v>
      </c>
      <c r="G233" s="152"/>
    </row>
    <row r="234" spans="1:46" s="195" customFormat="1" ht="12.75">
      <c r="I234" s="19"/>
    </row>
    <row r="235" spans="1:46" s="195" customFormat="1" ht="12.75">
      <c r="E235" s="195" t="s">
        <v>807</v>
      </c>
      <c r="G235" s="195" t="str">
        <f>IF(ROUND(AQ293,1)=0,"OK","Reset Initial Adjustment")</f>
        <v>Reset Initial Adjustment</v>
      </c>
    </row>
    <row r="236" spans="1:46" s="195" customFormat="1" ht="12.75">
      <c r="E236" s="195" t="s">
        <v>821</v>
      </c>
      <c r="G236" s="195" t="str">
        <f>IF(ROUND(I288-I281,0)&lt;=1,"OK","Reset Initial Adjustment")</f>
        <v>Reset Initial Adjustment</v>
      </c>
    </row>
    <row r="237" spans="1:46" s="195" customFormat="1" ht="12.75">
      <c r="E237" s="195" t="s">
        <v>823</v>
      </c>
      <c r="G237" s="195" t="str">
        <f>F274</f>
        <v>Action: Paste correct time value money adjustment</v>
      </c>
    </row>
    <row r="238" spans="1:46" s="195" customFormat="1" ht="12.75"/>
    <row r="239" spans="1:46" s="195" customFormat="1" ht="12.75">
      <c r="E239" s="195" t="s">
        <v>818</v>
      </c>
      <c r="G239" s="195" t="s">
        <v>824</v>
      </c>
    </row>
    <row r="240" spans="1:46" s="195" customFormat="1" ht="12.75">
      <c r="E240" s="195" t="s">
        <v>625</v>
      </c>
      <c r="F240" s="157"/>
      <c r="G240" s="443">
        <v>1</v>
      </c>
      <c r="I240" s="103"/>
      <c r="AJ240" s="472"/>
      <c r="AK240" s="472"/>
      <c r="AL240" s="472"/>
      <c r="AM240" s="472"/>
      <c r="AN240" s="472"/>
      <c r="AO240" s="472"/>
      <c r="AP240" s="472"/>
      <c r="AQ240" s="472"/>
    </row>
    <row r="241" spans="5:47" s="195" customFormat="1" ht="12.75">
      <c r="E241" s="195" t="s">
        <v>626</v>
      </c>
      <c r="F241" s="157"/>
      <c r="G241" s="443">
        <v>1</v>
      </c>
      <c r="I241" s="103"/>
      <c r="AJ241" s="306"/>
      <c r="AK241" s="306"/>
      <c r="AL241" s="306"/>
      <c r="AM241" s="306"/>
      <c r="AN241" s="306"/>
      <c r="AO241" s="306"/>
      <c r="AP241" s="306"/>
      <c r="AQ241" s="306"/>
    </row>
    <row r="242" spans="5:47" s="195" customFormat="1" ht="12.75">
      <c r="E242" s="195" t="s">
        <v>627</v>
      </c>
      <c r="F242" s="157"/>
      <c r="G242" s="443">
        <v>1</v>
      </c>
      <c r="I242" s="103"/>
      <c r="AJ242" s="306"/>
      <c r="AK242" s="306"/>
      <c r="AL242" s="306"/>
      <c r="AM242" s="306"/>
      <c r="AN242" s="306"/>
      <c r="AO242" s="306"/>
      <c r="AP242" s="306"/>
      <c r="AQ242" s="306"/>
    </row>
    <row r="243" spans="5:47" s="195" customFormat="1" ht="12.75">
      <c r="E243" s="195" t="s">
        <v>628</v>
      </c>
      <c r="F243" s="157"/>
      <c r="G243" s="443">
        <v>1</v>
      </c>
      <c r="I243" s="103"/>
      <c r="AJ243" s="306"/>
      <c r="AK243" s="306"/>
      <c r="AL243" s="306"/>
      <c r="AM243" s="306"/>
      <c r="AN243" s="306"/>
      <c r="AO243" s="306"/>
      <c r="AP243" s="306"/>
      <c r="AQ243" s="306"/>
    </row>
    <row r="244" spans="5:47" s="195" customFormat="1" ht="12.75">
      <c r="E244" s="195" t="s">
        <v>629</v>
      </c>
      <c r="F244" s="157"/>
      <c r="G244" s="443">
        <v>1</v>
      </c>
      <c r="I244" s="103"/>
      <c r="AJ244" s="306"/>
      <c r="AK244" s="306"/>
      <c r="AL244" s="306"/>
      <c r="AM244" s="306"/>
      <c r="AN244" s="306"/>
      <c r="AO244" s="306"/>
      <c r="AP244" s="306"/>
      <c r="AQ244" s="306"/>
    </row>
    <row r="245" spans="5:47" s="195" customFormat="1" ht="12.75">
      <c r="E245" s="195" t="s">
        <v>630</v>
      </c>
      <c r="F245" s="157"/>
      <c r="G245" s="443">
        <v>1</v>
      </c>
      <c r="I245" s="103"/>
      <c r="AJ245" s="306"/>
      <c r="AK245" s="306"/>
      <c r="AL245" s="306"/>
      <c r="AM245" s="306"/>
      <c r="AN245" s="306"/>
      <c r="AO245" s="306"/>
      <c r="AP245" s="306"/>
      <c r="AQ245" s="306"/>
    </row>
    <row r="246" spans="5:47" s="195" customFormat="1" ht="12.75">
      <c r="E246" s="195" t="s">
        <v>631</v>
      </c>
      <c r="F246" s="157"/>
      <c r="G246" s="443">
        <v>1</v>
      </c>
      <c r="I246" s="103"/>
      <c r="AJ246" s="306"/>
      <c r="AK246" s="306"/>
      <c r="AL246" s="306"/>
      <c r="AM246" s="306"/>
      <c r="AN246" s="306"/>
      <c r="AO246" s="306"/>
      <c r="AP246" s="306"/>
      <c r="AQ246" s="306"/>
    </row>
    <row r="247" spans="5:47" s="195" customFormat="1" ht="12.75">
      <c r="E247" s="195" t="s">
        <v>632</v>
      </c>
      <c r="F247" s="157"/>
      <c r="G247" s="443">
        <v>1</v>
      </c>
      <c r="I247" s="103"/>
      <c r="AJ247" s="473">
        <f>-20.1768966892073+3.9</f>
        <v>-16.276896689207302</v>
      </c>
      <c r="AK247" s="473">
        <v>-15.488956503415558</v>
      </c>
      <c r="AL247" s="473">
        <f>-11.0080851677215-0.385-0.012</f>
        <v>-11.4050851677215</v>
      </c>
      <c r="AM247" s="473">
        <f>-7.52452551499499-0.25-0.012</f>
        <v>-7.7865255149949899</v>
      </c>
      <c r="AN247" s="473">
        <f>-8.02912782579335-0.48-0.014</f>
        <v>-8.5231278257933489</v>
      </c>
      <c r="AO247" s="473">
        <f>2.88853061098899-2.84-0.017</f>
        <v>3.1530610988990029E-2</v>
      </c>
      <c r="AP247" s="473">
        <f>25.632900351749-0.09</f>
        <v>25.542900351749001</v>
      </c>
      <c r="AQ247" s="473">
        <f>34.7566508122114-0.61</f>
        <v>34.146650812211398</v>
      </c>
    </row>
    <row r="248" spans="5:47" s="195" customFormat="1" ht="12.75">
      <c r="E248" s="195" t="s">
        <v>633</v>
      </c>
      <c r="F248" s="157"/>
      <c r="G248" s="443">
        <v>1</v>
      </c>
      <c r="I248" s="103"/>
      <c r="AJ248" s="473">
        <f>-18.4179195527404+4.245</f>
        <v>-14.172919552740399</v>
      </c>
      <c r="AK248" s="473">
        <f>-19.2164220812354-0.65</f>
        <v>-19.866422081235399</v>
      </c>
      <c r="AL248" s="473">
        <f>-19.6281805152105+2.75</f>
        <v>-16.878180515210499</v>
      </c>
      <c r="AM248" s="473">
        <v>-11.843635642291668</v>
      </c>
      <c r="AN248" s="473">
        <f>2.74088666728223+0.3</f>
        <v>3.0408866672822299</v>
      </c>
      <c r="AO248" s="473">
        <f>16.0177680724086-5.69</f>
        <v>10.327768072408599</v>
      </c>
      <c r="AP248" s="473">
        <f>26.5286927257472-7.55</f>
        <v>18.978692725747198</v>
      </c>
      <c r="AQ248" s="473">
        <v>30.647284058307616</v>
      </c>
      <c r="AS248" s="195">
        <v>-15.482295394302501</v>
      </c>
      <c r="AU248" s="195">
        <v>30.600706764394701</v>
      </c>
    </row>
    <row r="249" spans="5:47" s="195" customFormat="1" ht="12.75">
      <c r="E249" s="195" t="s">
        <v>634</v>
      </c>
      <c r="F249" s="157"/>
      <c r="G249" s="443">
        <v>1</v>
      </c>
      <c r="I249" s="103"/>
      <c r="AJ249" s="473">
        <f>-35.1719686230435+7.5</f>
        <v>-27.671968623043497</v>
      </c>
      <c r="AK249" s="473">
        <f>-34.8863685710281+6.2</f>
        <v>-28.686368571028101</v>
      </c>
      <c r="AL249" s="473">
        <f>-23.5284095848012+2.7</f>
        <v>-20.8284095848012</v>
      </c>
      <c r="AM249" s="473">
        <f>-14.6683618690112+0.1</f>
        <v>-14.5683618690112</v>
      </c>
      <c r="AN249" s="473">
        <v>-3.2461488061929886</v>
      </c>
      <c r="AO249" s="473">
        <f>27.4219767318857-9.25</f>
        <v>18.1719767318857</v>
      </c>
      <c r="AP249" s="473">
        <f>43.6795411311625-11.909</f>
        <v>31.770541131162503</v>
      </c>
      <c r="AQ249" s="473">
        <v>45.416705446076122</v>
      </c>
    </row>
    <row r="250" spans="5:47" s="195" customFormat="1" ht="12.75">
      <c r="E250" s="195" t="s">
        <v>635</v>
      </c>
      <c r="F250" s="157"/>
      <c r="G250" s="443">
        <v>1</v>
      </c>
      <c r="I250" s="103"/>
      <c r="AJ250" s="306"/>
      <c r="AK250" s="306"/>
      <c r="AL250" s="306"/>
      <c r="AM250" s="306"/>
      <c r="AN250" s="306"/>
      <c r="AO250" s="306"/>
      <c r="AP250" s="306"/>
      <c r="AQ250" s="306"/>
      <c r="AS250" s="195">
        <v>45.415654268158704</v>
      </c>
    </row>
    <row r="251" spans="5:47" s="195" customFormat="1" ht="12.75">
      <c r="E251" s="195" t="s">
        <v>636</v>
      </c>
      <c r="F251" s="157"/>
      <c r="G251" s="443">
        <v>1</v>
      </c>
      <c r="I251" s="103"/>
      <c r="AJ251" s="516"/>
      <c r="AK251" s="516"/>
      <c r="AL251" s="516"/>
      <c r="AM251" s="516"/>
      <c r="AN251" s="516"/>
      <c r="AO251" s="516"/>
      <c r="AP251" s="516"/>
      <c r="AQ251" s="516"/>
      <c r="AU251" s="195">
        <v>-11.865703784295299</v>
      </c>
    </row>
    <row r="252" spans="5:47" s="195" customFormat="1" ht="12.75">
      <c r="E252" s="195" t="s">
        <v>637</v>
      </c>
      <c r="F252" s="157"/>
      <c r="G252" s="443">
        <v>1</v>
      </c>
      <c r="I252" s="103"/>
      <c r="AJ252" s="475"/>
      <c r="AK252" s="475"/>
      <c r="AL252" s="475"/>
      <c r="AM252" s="475"/>
      <c r="AN252" s="475"/>
      <c r="AO252" s="475"/>
      <c r="AP252" s="475"/>
      <c r="AQ252" s="475"/>
    </row>
    <row r="253" spans="5:47" s="195" customFormat="1" ht="12.75">
      <c r="E253" s="195" t="s">
        <v>638</v>
      </c>
      <c r="F253" s="157"/>
      <c r="G253" s="443">
        <v>1</v>
      </c>
      <c r="I253" s="103"/>
      <c r="AJ253" s="475"/>
      <c r="AK253" s="475"/>
      <c r="AL253" s="475"/>
      <c r="AM253" s="475"/>
      <c r="AN253" s="475"/>
      <c r="AO253" s="475"/>
      <c r="AP253" s="475"/>
      <c r="AQ253" s="475"/>
    </row>
    <row r="254" spans="5:47" s="195" customFormat="1" ht="12.75">
      <c r="E254" s="195" t="str">
        <f>"Initial Profile Adjustment in Use: "&amp;UserInterface!G24</f>
        <v>Initial Profile Adjustment in Use: SPN</v>
      </c>
      <c r="F254" s="157"/>
      <c r="I254" s="103"/>
      <c r="AJ254" s="157">
        <f t="shared" ref="AJ254:AQ254" si="68">INDEX(AJ240:AJ253,m_identity,1)</f>
        <v>-14.172919552740399</v>
      </c>
      <c r="AK254" s="157">
        <f t="shared" si="68"/>
        <v>-19.866422081235399</v>
      </c>
      <c r="AL254" s="157">
        <f t="shared" si="68"/>
        <v>-16.878180515210499</v>
      </c>
      <c r="AM254" s="157">
        <f t="shared" si="68"/>
        <v>-11.843635642291668</v>
      </c>
      <c r="AN254" s="157">
        <f t="shared" si="68"/>
        <v>3.0408866672822299</v>
      </c>
      <c r="AO254" s="157">
        <f t="shared" si="68"/>
        <v>10.327768072408599</v>
      </c>
      <c r="AP254" s="157">
        <f t="shared" si="68"/>
        <v>18.978692725747198</v>
      </c>
      <c r="AQ254" s="157">
        <f t="shared" si="68"/>
        <v>30.647284058307616</v>
      </c>
    </row>
    <row r="255" spans="5:47" s="195" customFormat="1" ht="12.75">
      <c r="F255" s="157"/>
      <c r="I255" s="103"/>
    </row>
    <row r="256" spans="5:47" s="195" customFormat="1" ht="12.75">
      <c r="E256" s="195" t="s">
        <v>819</v>
      </c>
    </row>
    <row r="257" spans="5:45" s="195" customFormat="1" ht="12.75">
      <c r="E257" s="195" t="s">
        <v>625</v>
      </c>
      <c r="F257" s="157"/>
      <c r="I257" s="103"/>
      <c r="AJ257" s="476"/>
      <c r="AK257" s="476"/>
      <c r="AL257" s="476"/>
      <c r="AM257" s="476"/>
      <c r="AN257" s="476"/>
      <c r="AO257" s="476"/>
      <c r="AP257" s="476"/>
      <c r="AQ257" s="476"/>
      <c r="AS257" s="157"/>
    </row>
    <row r="258" spans="5:45" s="195" customFormat="1" ht="12.75">
      <c r="E258" s="195" t="s">
        <v>626</v>
      </c>
      <c r="F258" s="157"/>
      <c r="I258" s="103"/>
      <c r="AJ258" s="306"/>
      <c r="AK258" s="306"/>
      <c r="AL258" s="306"/>
      <c r="AM258" s="306"/>
      <c r="AN258" s="306"/>
      <c r="AO258" s="306"/>
      <c r="AP258" s="306"/>
      <c r="AQ258" s="306"/>
      <c r="AS258" s="157"/>
    </row>
    <row r="259" spans="5:45" s="195" customFormat="1" ht="12.75">
      <c r="E259" s="195" t="s">
        <v>627</v>
      </c>
      <c r="F259" s="157"/>
      <c r="I259" s="103"/>
      <c r="AJ259" s="306"/>
      <c r="AK259" s="306"/>
      <c r="AL259" s="306"/>
      <c r="AM259" s="306"/>
      <c r="AN259" s="306"/>
      <c r="AO259" s="306"/>
      <c r="AP259" s="306"/>
      <c r="AQ259" s="306"/>
      <c r="AS259" s="157"/>
    </row>
    <row r="260" spans="5:45" s="195" customFormat="1" ht="12.75">
      <c r="E260" s="195" t="s">
        <v>628</v>
      </c>
      <c r="F260" s="157"/>
      <c r="I260" s="103"/>
      <c r="AJ260" s="306"/>
      <c r="AK260" s="306"/>
      <c r="AL260" s="306"/>
      <c r="AM260" s="306"/>
      <c r="AN260" s="306"/>
      <c r="AO260" s="306"/>
      <c r="AP260" s="306"/>
      <c r="AQ260" s="306"/>
      <c r="AS260" s="157"/>
    </row>
    <row r="261" spans="5:45" s="195" customFormat="1" ht="12.75">
      <c r="E261" s="195" t="s">
        <v>629</v>
      </c>
      <c r="F261" s="157"/>
      <c r="I261" s="103"/>
      <c r="AJ261" s="306"/>
      <c r="AK261" s="306"/>
      <c r="AL261" s="306"/>
      <c r="AM261" s="306"/>
      <c r="AN261" s="306"/>
      <c r="AO261" s="306"/>
      <c r="AP261" s="306"/>
      <c r="AQ261" s="306"/>
      <c r="AS261" s="157"/>
    </row>
    <row r="262" spans="5:45" s="195" customFormat="1" ht="12.75">
      <c r="E262" s="195" t="s">
        <v>630</v>
      </c>
      <c r="F262" s="157"/>
      <c r="I262" s="103"/>
      <c r="AJ262" s="306"/>
      <c r="AK262" s="306"/>
      <c r="AL262" s="306"/>
      <c r="AM262" s="306"/>
      <c r="AN262" s="306"/>
      <c r="AO262" s="306"/>
      <c r="AP262" s="306"/>
      <c r="AQ262" s="306"/>
      <c r="AS262" s="157"/>
    </row>
    <row r="263" spans="5:45" s="195" customFormat="1" ht="12.75">
      <c r="E263" s="195" t="s">
        <v>631</v>
      </c>
      <c r="F263" s="157"/>
      <c r="I263" s="103"/>
      <c r="AJ263" s="306"/>
      <c r="AK263" s="306"/>
      <c r="AL263" s="306"/>
      <c r="AM263" s="306"/>
      <c r="AN263" s="306"/>
      <c r="AO263" s="306"/>
      <c r="AP263" s="306"/>
      <c r="AQ263" s="306"/>
      <c r="AS263" s="157"/>
    </row>
    <row r="264" spans="5:45" s="195" customFormat="1" ht="12.75">
      <c r="E264" s="195" t="s">
        <v>632</v>
      </c>
      <c r="F264" s="157"/>
      <c r="I264" s="103"/>
      <c r="AJ264" s="477">
        <v>0.39385670396680217</v>
      </c>
      <c r="AK264" s="477">
        <v>1.1631076535740992</v>
      </c>
      <c r="AL264" s="477">
        <v>1.8155450287771864</v>
      </c>
      <c r="AM264" s="477">
        <v>2.2822842401138517</v>
      </c>
      <c r="AN264" s="477">
        <v>2.6794992158499915</v>
      </c>
      <c r="AO264" s="477">
        <v>2.8875068679121889</v>
      </c>
      <c r="AP264" s="477">
        <v>2.2707684737095506</v>
      </c>
      <c r="AQ264" s="477">
        <v>0.82676371633258228</v>
      </c>
      <c r="AS264" s="157"/>
    </row>
    <row r="265" spans="5:45" s="195" customFormat="1" ht="12.75">
      <c r="E265" s="195" t="s">
        <v>633</v>
      </c>
      <c r="F265" s="157"/>
      <c r="I265" s="103"/>
      <c r="AJ265" s="477">
        <v>0.34294617009704814</v>
      </c>
      <c r="AK265" s="477">
        <v>1.1671313577041902</v>
      </c>
      <c r="AL265" s="477">
        <v>2.0579457308493807</v>
      </c>
      <c r="AM265" s="477">
        <v>2.7556747450008379</v>
      </c>
      <c r="AN265" s="477">
        <v>2.9719155427727109</v>
      </c>
      <c r="AO265" s="477">
        <v>2.651229030358099</v>
      </c>
      <c r="AP265" s="477">
        <v>1.9435571234994955</v>
      </c>
      <c r="AQ265" s="477">
        <v>0.74235651819556048</v>
      </c>
      <c r="AS265" s="157"/>
    </row>
    <row r="266" spans="5:45" s="195" customFormat="1" ht="12.75">
      <c r="E266" s="195" t="s">
        <v>634</v>
      </c>
      <c r="F266" s="157"/>
      <c r="I266" s="103"/>
      <c r="AJ266" s="477">
        <v>0.66958650424876831</v>
      </c>
      <c r="AK266" s="477">
        <v>2.0343313319895042</v>
      </c>
      <c r="AL266" s="477">
        <v>3.235388774535561</v>
      </c>
      <c r="AM266" s="477">
        <v>4.096109652228515</v>
      </c>
      <c r="AN266" s="477">
        <v>4.531808773825734</v>
      </c>
      <c r="AO266" s="477">
        <v>4.1747995083597083</v>
      </c>
      <c r="AP266" s="477">
        <v>2.9686479383997959</v>
      </c>
      <c r="AQ266" s="477">
        <v>1.1001914984321304</v>
      </c>
      <c r="AS266" s="157"/>
    </row>
    <row r="267" spans="5:45" s="195" customFormat="1" ht="12.75">
      <c r="E267" s="195" t="s">
        <v>635</v>
      </c>
      <c r="F267" s="157"/>
      <c r="I267" s="103"/>
      <c r="AJ267" s="306"/>
      <c r="AK267" s="306"/>
      <c r="AL267" s="306"/>
      <c r="AM267" s="306"/>
      <c r="AN267" s="306"/>
      <c r="AO267" s="306"/>
      <c r="AP267" s="306"/>
      <c r="AQ267" s="306"/>
      <c r="AS267" s="157"/>
    </row>
    <row r="268" spans="5:45" s="195" customFormat="1" ht="12.75">
      <c r="E268" s="195" t="s">
        <v>636</v>
      </c>
      <c r="F268" s="157"/>
      <c r="I268" s="103"/>
      <c r="AJ268" s="516"/>
      <c r="AK268" s="516"/>
      <c r="AL268" s="516"/>
      <c r="AM268" s="516"/>
      <c r="AN268" s="516"/>
      <c r="AO268" s="516"/>
      <c r="AP268" s="516"/>
      <c r="AQ268" s="516"/>
      <c r="AS268" s="157"/>
    </row>
    <row r="269" spans="5:45" s="195" customFormat="1" ht="12.75">
      <c r="E269" s="195" t="s">
        <v>637</v>
      </c>
      <c r="F269" s="157"/>
      <c r="I269" s="103"/>
      <c r="AJ269" s="516"/>
      <c r="AK269" s="516"/>
      <c r="AL269" s="516"/>
      <c r="AM269" s="516"/>
      <c r="AN269" s="516"/>
      <c r="AO269" s="516"/>
      <c r="AP269" s="516"/>
      <c r="AQ269" s="516"/>
      <c r="AS269" s="157"/>
    </row>
    <row r="270" spans="5:45" s="195" customFormat="1" ht="12.75">
      <c r="E270" s="195" t="s">
        <v>638</v>
      </c>
      <c r="F270" s="157"/>
      <c r="I270" s="103"/>
      <c r="AJ270" s="516"/>
      <c r="AK270" s="516"/>
      <c r="AL270" s="516"/>
      <c r="AM270" s="516"/>
      <c r="AN270" s="516"/>
      <c r="AO270" s="516"/>
      <c r="AP270" s="516"/>
      <c r="AQ270" s="516"/>
      <c r="AS270" s="157"/>
    </row>
    <row r="271" spans="5:45" s="195" customFormat="1" ht="12.75">
      <c r="E271" s="195" t="str">
        <f>"Time Value of Money Profile Adjustment in Use: "&amp;UserInterface!G24</f>
        <v>Time Value of Money Profile Adjustment in Use: SPN</v>
      </c>
      <c r="F271" s="157"/>
      <c r="I271" s="103"/>
      <c r="AJ271" s="157">
        <f t="shared" ref="AJ271:AQ271" si="69">INDEX(AJ257:AJ270,m_identity,1)</f>
        <v>0.34294617009704814</v>
      </c>
      <c r="AK271" s="157">
        <f t="shared" si="69"/>
        <v>1.1671313577041902</v>
      </c>
      <c r="AL271" s="157">
        <f t="shared" si="69"/>
        <v>2.0579457308493807</v>
      </c>
      <c r="AM271" s="157">
        <f t="shared" si="69"/>
        <v>2.7556747450008379</v>
      </c>
      <c r="AN271" s="157">
        <f t="shared" si="69"/>
        <v>2.9719155427727109</v>
      </c>
      <c r="AO271" s="157">
        <f t="shared" si="69"/>
        <v>2.651229030358099</v>
      </c>
      <c r="AP271" s="157">
        <f t="shared" si="69"/>
        <v>1.9435571234994955</v>
      </c>
      <c r="AQ271" s="157">
        <f t="shared" si="69"/>
        <v>0.74235651819556048</v>
      </c>
    </row>
    <row r="272" spans="5:45" s="195" customFormat="1" ht="12.75">
      <c r="E272" s="157"/>
      <c r="I272" s="103"/>
      <c r="AJ272" s="152"/>
      <c r="AK272" s="152"/>
      <c r="AL272" s="152"/>
      <c r="AM272" s="152"/>
      <c r="AN272" s="152"/>
      <c r="AO272" s="152"/>
      <c r="AP272" s="152"/>
      <c r="AQ272" s="152"/>
    </row>
    <row r="273" spans="4:45" s="195" customFormat="1" ht="12.75">
      <c r="E273" s="195" t="s">
        <v>816</v>
      </c>
      <c r="F273" s="195" t="s">
        <v>822</v>
      </c>
      <c r="I273" s="103"/>
      <c r="AJ273" s="152">
        <f t="shared" ref="AJ273:AQ273" si="70">AJ287</f>
        <v>0.34294617009704814</v>
      </c>
      <c r="AK273" s="152">
        <f t="shared" si="70"/>
        <v>1.1671313577041935</v>
      </c>
      <c r="AL273" s="152">
        <f t="shared" si="70"/>
        <v>2.0579457308494247</v>
      </c>
      <c r="AM273" s="152">
        <f t="shared" si="70"/>
        <v>2.5986116636925289</v>
      </c>
      <c r="AN273" s="152">
        <f t="shared" si="70"/>
        <v>2.6269654585336415</v>
      </c>
      <c r="AO273" s="152">
        <f t="shared" si="70"/>
        <v>2.2437933556501557</v>
      </c>
      <c r="AP273" s="152">
        <f t="shared" si="70"/>
        <v>1.4719371059490427</v>
      </c>
      <c r="AQ273" s="152">
        <f t="shared" si="70"/>
        <v>0.20480674921211064</v>
      </c>
    </row>
    <row r="274" spans="4:45" s="195" customFormat="1" ht="12.75">
      <c r="D274" s="195">
        <f>IF(SUMPRODUCT((AJ274:AQ274="Yes")*(1))=8,0,1)</f>
        <v>1</v>
      </c>
      <c r="E274" s="195" t="s">
        <v>823</v>
      </c>
      <c r="F274" s="195" t="str">
        <f>IF(SUMPRODUCT((AJ274:AQ274="Yes")*(1))=8,"OK","Action: Paste correct time value money adjustment")</f>
        <v>Action: Paste correct time value money adjustment</v>
      </c>
      <c r="I274" s="103"/>
      <c r="AJ274" s="444" t="str">
        <f>IF(ROUND(AJ271,5)-ROUND(AJ273,5)=0,"Yes","No")</f>
        <v>Yes</v>
      </c>
      <c r="AK274" s="444" t="str">
        <f t="shared" ref="AK274:AQ274" si="71">IF(ROUND(AK271,5)-ROUND(AK273,5)=0,"Yes","No")</f>
        <v>Yes</v>
      </c>
      <c r="AL274" s="444" t="str">
        <f t="shared" si="71"/>
        <v>Yes</v>
      </c>
      <c r="AM274" s="444" t="str">
        <f t="shared" si="71"/>
        <v>No</v>
      </c>
      <c r="AN274" s="444" t="str">
        <f t="shared" si="71"/>
        <v>No</v>
      </c>
      <c r="AO274" s="444" t="str">
        <f t="shared" si="71"/>
        <v>No</v>
      </c>
      <c r="AP274" s="444" t="str">
        <f t="shared" si="71"/>
        <v>No</v>
      </c>
      <c r="AQ274" s="444" t="str">
        <f t="shared" si="71"/>
        <v>No</v>
      </c>
    </row>
    <row r="275" spans="4:45" ht="15" customHeight="1"/>
    <row r="276" spans="4:45" s="195" customFormat="1" ht="12.75">
      <c r="E276" s="157" t="s">
        <v>31</v>
      </c>
      <c r="F276" s="157"/>
      <c r="G276" s="157"/>
      <c r="I276" s="103"/>
      <c r="AJ276" s="442">
        <f>Input!AJ$51</f>
        <v>3.8679999999999999E-2</v>
      </c>
      <c r="AK276" s="442">
        <f>Input!AK$51</f>
        <v>3.8679999999999999E-2</v>
      </c>
      <c r="AL276" s="442">
        <f>Input!AL$51</f>
        <v>3.8679999999999999E-2</v>
      </c>
      <c r="AM276" s="442">
        <f>Input!AM$51</f>
        <v>3.8679999999999999E-2</v>
      </c>
      <c r="AN276" s="442">
        <f>Input!AN$51</f>
        <v>3.8679999999999999E-2</v>
      </c>
      <c r="AO276" s="442">
        <f>Input!AO$51</f>
        <v>3.8679999999999999E-2</v>
      </c>
      <c r="AP276" s="442">
        <f>Input!AP$51</f>
        <v>3.8679999999999999E-2</v>
      </c>
      <c r="AQ276" s="442">
        <f>Input!AQ$51</f>
        <v>3.8679999999999999E-2</v>
      </c>
    </row>
    <row r="277" spans="4:45" s="195" customFormat="1" ht="12.75">
      <c r="E277" s="157"/>
      <c r="F277" s="157"/>
      <c r="I277" s="103"/>
    </row>
    <row r="278" spans="4:45" s="195" customFormat="1" ht="12.75">
      <c r="E278" s="157"/>
      <c r="F278" s="157"/>
      <c r="G278" s="157"/>
      <c r="I278" s="103"/>
    </row>
    <row r="279" spans="4:45" s="195" customFormat="1" ht="12.75">
      <c r="E279" s="157"/>
      <c r="G279" s="157"/>
      <c r="I279" s="103"/>
    </row>
    <row r="280" spans="4:45" s="195" customFormat="1" ht="12.75">
      <c r="I280" s="103"/>
      <c r="AJ280" s="157"/>
      <c r="AK280" s="157"/>
      <c r="AL280" s="157"/>
      <c r="AM280" s="157"/>
      <c r="AN280" s="157"/>
      <c r="AO280" s="157"/>
      <c r="AP280" s="157"/>
      <c r="AQ280" s="157"/>
    </row>
    <row r="281" spans="4:45" s="195" customFormat="1" ht="12.75">
      <c r="E281" s="195" t="s">
        <v>826</v>
      </c>
      <c r="G281" s="521"/>
      <c r="I281" s="103">
        <f>NPV(Input!$AJ$51,AJ281:AQ281)*(1+Input!$AJ$51)^0.5</f>
        <v>2441.6752659670269</v>
      </c>
      <c r="AJ281" s="157">
        <f>Revenue!AJ$22</f>
        <v>323.7309128936057</v>
      </c>
      <c r="AK281" s="157">
        <f>Revenue!AK$22</f>
        <v>332.40781423117181</v>
      </c>
      <c r="AL281" s="157">
        <f>Revenue!AL$22</f>
        <v>341.31505459405861</v>
      </c>
      <c r="AM281" s="157">
        <f>Revenue!AM$22</f>
        <v>350.45998981954432</v>
      </c>
      <c r="AN281" s="157">
        <f>Revenue!AN$22</f>
        <v>359.81208446899649</v>
      </c>
      <c r="AO281" s="157">
        <f>Revenue!AO$22</f>
        <v>369.46987031601776</v>
      </c>
      <c r="AP281" s="157">
        <f>Revenue!AP$22</f>
        <v>379.39211558636464</v>
      </c>
      <c r="AQ281" s="157">
        <f>Revenue!AQ$22</f>
        <v>389.58313512585039</v>
      </c>
      <c r="AS281" s="293"/>
    </row>
    <row r="282" spans="4:45" s="195" customFormat="1" ht="12.75">
      <c r="E282" s="195" t="s">
        <v>810</v>
      </c>
      <c r="I282" s="103"/>
      <c r="AJ282" s="157">
        <f>AJ254</f>
        <v>-14.172919552740399</v>
      </c>
      <c r="AK282" s="157">
        <f t="shared" ref="AK282:AQ282" si="72">AK254</f>
        <v>-19.866422081235399</v>
      </c>
      <c r="AL282" s="157">
        <f t="shared" si="72"/>
        <v>-16.878180515210499</v>
      </c>
      <c r="AM282" s="157">
        <f t="shared" si="72"/>
        <v>-11.843635642291668</v>
      </c>
      <c r="AN282" s="157">
        <f t="shared" si="72"/>
        <v>3.0408866672822299</v>
      </c>
      <c r="AO282" s="157">
        <f t="shared" si="72"/>
        <v>10.327768072408599</v>
      </c>
      <c r="AP282" s="157">
        <f t="shared" si="72"/>
        <v>18.978692725747198</v>
      </c>
      <c r="AQ282" s="157">
        <f t="shared" si="72"/>
        <v>30.647284058307616</v>
      </c>
      <c r="AS282" s="293"/>
    </row>
    <row r="283" spans="4:45" s="195" customFormat="1" ht="12.75">
      <c r="E283" s="195" t="s">
        <v>825</v>
      </c>
      <c r="I283" s="450"/>
      <c r="AJ283" s="157">
        <f>(AJ197*Input!$AG$57/Input!AJ$57)-Revenue!AJ$21</f>
        <v>-3.5595608038804922</v>
      </c>
      <c r="AK283" s="157">
        <f>(AK197*Input!$AG$57/Input!AK$57)-Revenue!AK$21</f>
        <v>-5.0166708613756317</v>
      </c>
      <c r="AL283" s="157">
        <f>(AL197*Input!$AG$57/Input!AL$57)-Revenue!AL$21</f>
        <v>-4.299449041931874</v>
      </c>
      <c r="AM283" s="157">
        <f>(AM197*Input!$AG$57/Input!AM$57)-Revenue!AM$21</f>
        <v>-0.19023234816588186</v>
      </c>
      <c r="AN283" s="157">
        <f>(AN197*Input!$AG$57/Input!AN$57)-Revenue!AN$21</f>
        <v>2.271253062131354</v>
      </c>
      <c r="AO283" s="157">
        <f>(AO197*Input!$AG$57/Input!AO$57)-Revenue!AO$21</f>
        <v>4.1725070318637343</v>
      </c>
      <c r="AP283" s="157">
        <f>(AP197*Input!$AG$57/Input!AP$57)-Revenue!AP$21</f>
        <v>6.4308692796553757</v>
      </c>
      <c r="AQ283" s="157">
        <f>(AQ197*Input!$AG$57/Input!AQ$57)-Revenue!AQ$21</f>
        <v>9.4617866527806456</v>
      </c>
      <c r="AS283" s="293"/>
    </row>
    <row r="284" spans="4:45" s="195" customFormat="1" ht="12.75">
      <c r="E284" s="195" t="s">
        <v>827</v>
      </c>
      <c r="I284" s="103"/>
      <c r="AJ284" s="157">
        <f>(-AJ30*Input!$AG$57/Input!AJ$57)-Revenue!AJ17</f>
        <v>0</v>
      </c>
      <c r="AK284" s="157">
        <f>(-AK30*Input!$AG$57/Input!AK$57)-Revenue!AK17</f>
        <v>0</v>
      </c>
      <c r="AL284" s="157">
        <f>(-AL30*Input!$AG$57/Input!AL$57)-Revenue!AL17</f>
        <v>0</v>
      </c>
      <c r="AM284" s="157">
        <f>(-AM30*Input!$AG$57/Input!AM$57)-Revenue!AM17</f>
        <v>5.2556582072118498</v>
      </c>
      <c r="AN284" s="157">
        <f>(-AN30*Input!$AG$57/Input!AN$57)-Revenue!AN17</f>
        <v>0</v>
      </c>
      <c r="AO284" s="157">
        <f>(-AO30*Input!$AG$57/Input!AO$57)-Revenue!AO17</f>
        <v>0</v>
      </c>
      <c r="AP284" s="157">
        <f>(-AP30*Input!$AG$57/Input!AP$57)-Revenue!AP17</f>
        <v>0</v>
      </c>
      <c r="AQ284" s="157">
        <f>(-AQ30*Input!$AG$57/Input!AQ$57)-Revenue!AQ17</f>
        <v>0</v>
      </c>
      <c r="AS284" s="293"/>
    </row>
    <row r="285" spans="4:45" s="195" customFormat="1" ht="12.75">
      <c r="E285" s="195" t="s">
        <v>820</v>
      </c>
      <c r="F285" s="157"/>
      <c r="H285" s="439"/>
      <c r="I285" s="103"/>
      <c r="AJ285" s="157">
        <f>SUM(AJ281:AJ284)</f>
        <v>305.99843253698481</v>
      </c>
      <c r="AK285" s="157">
        <f t="shared" ref="AK285:AQ285" si="73">SUM(AK281:AK284)</f>
        <v>307.52472128856078</v>
      </c>
      <c r="AL285" s="157">
        <f t="shared" si="73"/>
        <v>320.13742503691623</v>
      </c>
      <c r="AM285" s="157">
        <f t="shared" si="73"/>
        <v>343.68178003629868</v>
      </c>
      <c r="AN285" s="157">
        <f t="shared" si="73"/>
        <v>365.12422419841005</v>
      </c>
      <c r="AO285" s="157">
        <f t="shared" si="73"/>
        <v>383.97014542029012</v>
      </c>
      <c r="AP285" s="157">
        <f t="shared" si="73"/>
        <v>404.8016775917672</v>
      </c>
      <c r="AQ285" s="157">
        <f t="shared" si="73"/>
        <v>429.69220583693863</v>
      </c>
      <c r="AS285" s="293"/>
    </row>
    <row r="286" spans="4:45" s="195" customFormat="1" ht="12.75">
      <c r="F286" s="157"/>
      <c r="H286" s="439"/>
      <c r="AS286" s="293"/>
    </row>
    <row r="287" spans="4:45" s="195" customFormat="1" ht="12.75">
      <c r="E287" s="195" t="s">
        <v>816</v>
      </c>
      <c r="F287" s="157"/>
      <c r="H287" s="439"/>
      <c r="I287" s="103"/>
      <c r="AJ287" s="157">
        <f t="shared" ref="AJ287:AQ287" si="74">AJ295</f>
        <v>0.34294617009704814</v>
      </c>
      <c r="AK287" s="157">
        <f t="shared" si="74"/>
        <v>1.1671313577041935</v>
      </c>
      <c r="AL287" s="157">
        <f t="shared" si="74"/>
        <v>2.0579457308494247</v>
      </c>
      <c r="AM287" s="157">
        <f t="shared" si="74"/>
        <v>2.5986116636925289</v>
      </c>
      <c r="AN287" s="157">
        <f t="shared" si="74"/>
        <v>2.6269654585336415</v>
      </c>
      <c r="AO287" s="157">
        <f t="shared" si="74"/>
        <v>2.2437933556501557</v>
      </c>
      <c r="AP287" s="157">
        <f t="shared" si="74"/>
        <v>1.4719371059490427</v>
      </c>
      <c r="AQ287" s="157">
        <f t="shared" si="74"/>
        <v>0.20480674921211064</v>
      </c>
      <c r="AS287" s="293"/>
    </row>
    <row r="288" spans="4:45" s="195" customFormat="1" ht="12.75">
      <c r="E288" s="195" t="s">
        <v>808</v>
      </c>
      <c r="F288" s="157"/>
      <c r="G288" s="521"/>
      <c r="H288" s="440"/>
      <c r="I288" s="103">
        <f>NPV(Input!$AJ$51,AJ288:AQ288)*(1+Input!$AJ$51)^0.5</f>
        <v>2452.7754594655139</v>
      </c>
      <c r="AJ288" s="523">
        <f t="shared" ref="AJ288:AQ288" si="75">AJ285+AJ287</f>
        <v>306.34137870708184</v>
      </c>
      <c r="AK288" s="523">
        <f t="shared" si="75"/>
        <v>308.69185264626498</v>
      </c>
      <c r="AL288" s="523">
        <f t="shared" si="75"/>
        <v>322.19537076776567</v>
      </c>
      <c r="AM288" s="523">
        <f t="shared" si="75"/>
        <v>346.28039169999118</v>
      </c>
      <c r="AN288" s="523">
        <f t="shared" si="75"/>
        <v>367.75118965694367</v>
      </c>
      <c r="AO288" s="523">
        <f t="shared" si="75"/>
        <v>386.21393877594028</v>
      </c>
      <c r="AP288" s="523">
        <f t="shared" si="75"/>
        <v>406.27361469771625</v>
      </c>
      <c r="AQ288" s="523">
        <f t="shared" si="75"/>
        <v>429.89701258615077</v>
      </c>
      <c r="AS288" s="293"/>
    </row>
    <row r="289" spans="5:45" s="195" customFormat="1" ht="12.75">
      <c r="E289" s="157"/>
      <c r="F289" s="157"/>
      <c r="H289" s="440"/>
      <c r="I289" s="103"/>
      <c r="AJ289" s="24"/>
      <c r="AK289" s="591">
        <f>(AK288-AJ288)/AJ288</f>
        <v>7.6727275600290794E-3</v>
      </c>
      <c r="AL289" s="591">
        <f t="shared" ref="AL289:AQ289" si="76">(AL288-AK288)/AK288</f>
        <v>4.3744329517418759E-2</v>
      </c>
      <c r="AM289" s="591">
        <f t="shared" si="76"/>
        <v>7.475284599785792E-2</v>
      </c>
      <c r="AN289" s="591">
        <f t="shared" si="76"/>
        <v>6.2004082447597128E-2</v>
      </c>
      <c r="AO289" s="591">
        <f t="shared" si="76"/>
        <v>5.0204457900515753E-2</v>
      </c>
      <c r="AP289" s="591">
        <f t="shared" si="76"/>
        <v>5.1939285219359935E-2</v>
      </c>
      <c r="AQ289" s="591">
        <f t="shared" si="76"/>
        <v>5.8146522525247574E-2</v>
      </c>
    </row>
    <row r="290" spans="5:45" s="195" customFormat="1" ht="12.75">
      <c r="E290" s="441" t="s">
        <v>828</v>
      </c>
      <c r="I290" s="157"/>
      <c r="AJ290" s="157"/>
      <c r="AK290" s="157"/>
      <c r="AL290" s="157"/>
      <c r="AM290" s="157"/>
      <c r="AN290" s="157"/>
      <c r="AO290" s="157"/>
      <c r="AP290" s="157"/>
      <c r="AQ290" s="157"/>
    </row>
    <row r="291" spans="5:45" s="195" customFormat="1" ht="12.75">
      <c r="E291" s="157" t="s">
        <v>803</v>
      </c>
      <c r="F291" s="157"/>
      <c r="AJ291" s="157">
        <f t="shared" ref="AJ291:AQ291" si="77">AI293</f>
        <v>0</v>
      </c>
      <c r="AK291" s="157">
        <f t="shared" si="77"/>
        <v>-17.732480356620897</v>
      </c>
      <c r="AL291" s="157">
        <f t="shared" si="77"/>
        <v>-42.615573299231926</v>
      </c>
      <c r="AM291" s="157">
        <f t="shared" si="77"/>
        <v>-63.793202856374307</v>
      </c>
      <c r="AN291" s="157">
        <f t="shared" si="77"/>
        <v>-70.57141263961995</v>
      </c>
      <c r="AO291" s="157">
        <f t="shared" si="77"/>
        <v>-65.259272910206391</v>
      </c>
      <c r="AP291" s="157">
        <f t="shared" si="77"/>
        <v>-50.75899780593403</v>
      </c>
      <c r="AQ291" s="157">
        <f t="shared" si="77"/>
        <v>-25.349435800531467</v>
      </c>
    </row>
    <row r="292" spans="5:45" s="195" customFormat="1" ht="12.75">
      <c r="E292" s="157" t="s">
        <v>805</v>
      </c>
      <c r="F292" s="157"/>
      <c r="AJ292" s="157">
        <f>AJ285-AJ281</f>
        <v>-17.732480356620897</v>
      </c>
      <c r="AK292" s="157">
        <f t="shared" ref="AK292:AQ292" si="78">AK285-AK281</f>
        <v>-24.883092942611029</v>
      </c>
      <c r="AL292" s="157">
        <f t="shared" si="78"/>
        <v>-21.177629557142382</v>
      </c>
      <c r="AM292" s="157">
        <f t="shared" si="78"/>
        <v>-6.7782097832456429</v>
      </c>
      <c r="AN292" s="157">
        <f t="shared" si="78"/>
        <v>5.3121397294135591</v>
      </c>
      <c r="AO292" s="157">
        <f t="shared" si="78"/>
        <v>14.500275104272362</v>
      </c>
      <c r="AP292" s="157">
        <f t="shared" si="78"/>
        <v>25.409562005402563</v>
      </c>
      <c r="AQ292" s="157">
        <f t="shared" si="78"/>
        <v>40.109070711088236</v>
      </c>
    </row>
    <row r="293" spans="5:45" s="195" customFormat="1" ht="12.75">
      <c r="E293" s="195" t="s">
        <v>806</v>
      </c>
      <c r="I293" s="157"/>
      <c r="AJ293" s="157">
        <f t="shared" ref="AJ293:AP293" si="79">SUM(AJ291:AJ292)</f>
        <v>-17.732480356620897</v>
      </c>
      <c r="AK293" s="157">
        <f t="shared" si="79"/>
        <v>-42.615573299231926</v>
      </c>
      <c r="AL293" s="157">
        <f t="shared" si="79"/>
        <v>-63.793202856374307</v>
      </c>
      <c r="AM293" s="157">
        <f t="shared" si="79"/>
        <v>-70.57141263961995</v>
      </c>
      <c r="AN293" s="157">
        <f t="shared" si="79"/>
        <v>-65.259272910206391</v>
      </c>
      <c r="AO293" s="157">
        <f t="shared" si="79"/>
        <v>-50.75899780593403</v>
      </c>
      <c r="AP293" s="157">
        <f t="shared" si="79"/>
        <v>-25.349435800531467</v>
      </c>
      <c r="AQ293" s="590">
        <f>SUM(AQ291:AQ292)</f>
        <v>14.75963491055677</v>
      </c>
      <c r="AS293" s="420" t="s">
        <v>829</v>
      </c>
    </row>
    <row r="294" spans="5:45" s="195" customFormat="1" ht="12.75">
      <c r="H294" s="157"/>
      <c r="I294" s="157"/>
      <c r="AJ294" s="157"/>
      <c r="AK294" s="157"/>
      <c r="AL294" s="157"/>
      <c r="AM294" s="157"/>
      <c r="AN294" s="157"/>
      <c r="AO294" s="157"/>
      <c r="AP294" s="157"/>
      <c r="AQ294" s="157"/>
    </row>
    <row r="295" spans="5:45" s="195" customFormat="1" ht="12.75">
      <c r="E295" s="195" t="s">
        <v>809</v>
      </c>
      <c r="H295" s="157"/>
      <c r="I295" s="157"/>
      <c r="AJ295" s="157">
        <f>-AVERAGE(AJ291,AJ293)*AJ276</f>
        <v>0.34294617009704814</v>
      </c>
      <c r="AK295" s="157">
        <f t="shared" ref="AK295:AQ295" si="80">-AVERAGE(AK291,AK293)*AK276</f>
        <v>1.1671313577041935</v>
      </c>
      <c r="AL295" s="157">
        <f t="shared" si="80"/>
        <v>2.0579457308494247</v>
      </c>
      <c r="AM295" s="157">
        <f t="shared" si="80"/>
        <v>2.5986116636925289</v>
      </c>
      <c r="AN295" s="157">
        <f t="shared" si="80"/>
        <v>2.6269654585336415</v>
      </c>
      <c r="AO295" s="157">
        <f t="shared" si="80"/>
        <v>2.2437933556501557</v>
      </c>
      <c r="AP295" s="157">
        <f t="shared" si="80"/>
        <v>1.4719371059490427</v>
      </c>
      <c r="AQ295" s="157">
        <f t="shared" si="80"/>
        <v>0.20480674921211064</v>
      </c>
    </row>
    <row r="296" spans="5:45" ht="15" customHeight="1"/>
    <row r="297" spans="5:45" ht="12" customHeight="1"/>
    <row r="298" spans="5:45" s="498" customFormat="1" ht="12" customHeight="1"/>
    <row r="299" spans="5:45" s="498" customFormat="1" ht="12" customHeight="1"/>
    <row r="300" spans="5:45" s="498" customFormat="1" ht="12" customHeight="1"/>
    <row r="301" spans="5:45" s="498" customFormat="1" ht="12" customHeight="1"/>
    <row r="302" spans="5:45" s="498" customFormat="1" ht="12" customHeight="1"/>
    <row r="303" spans="5:45" s="498" customFormat="1" ht="12" customHeight="1"/>
    <row r="304" spans="5:45" s="498" customFormat="1" ht="12" customHeight="1"/>
    <row r="305" s="498" customFormat="1" ht="12" customHeight="1"/>
    <row r="306" s="498" customFormat="1" ht="12" customHeight="1"/>
    <row r="307" s="498" customFormat="1" ht="12" customHeight="1"/>
    <row r="308" s="498" customFormat="1" ht="12" customHeight="1"/>
    <row r="309" s="498" customFormat="1" ht="12" customHeight="1"/>
    <row r="310" s="498" customFormat="1" ht="12" customHeight="1"/>
    <row r="311" s="498" customFormat="1" ht="12" customHeight="1"/>
    <row r="312" s="498" customFormat="1" ht="12" customHeight="1"/>
    <row r="313" s="498" customFormat="1" ht="12" customHeight="1"/>
    <row r="314" s="498" customFormat="1" ht="12" customHeight="1"/>
    <row r="315" s="498" customFormat="1" ht="12" customHeight="1"/>
    <row r="316" s="498" customFormat="1" ht="12" customHeight="1"/>
    <row r="317" s="498" customFormat="1" ht="12" customHeight="1"/>
    <row r="318" s="498" customFormat="1" ht="12" customHeight="1"/>
    <row r="319" s="498" customFormat="1" ht="12" customHeight="1"/>
    <row r="320" s="498" customFormat="1" ht="12" customHeight="1"/>
    <row r="321" s="498" customFormat="1" ht="12" customHeight="1"/>
    <row r="322" s="498" customFormat="1" ht="12" customHeight="1"/>
    <row r="323" s="498" customFormat="1" ht="12" customHeight="1"/>
    <row r="324" s="498" customFormat="1" ht="12" customHeight="1"/>
    <row r="325" s="498" customFormat="1" ht="12" customHeight="1"/>
    <row r="326" s="498" customFormat="1" ht="12" customHeight="1"/>
    <row r="327" s="498" customFormat="1" ht="12" customHeight="1"/>
    <row r="328" s="498" customFormat="1" ht="12" customHeight="1"/>
    <row r="329" s="498" customFormat="1" ht="12" customHeight="1"/>
    <row r="330" s="498" customFormat="1" ht="12" customHeight="1"/>
    <row r="331" s="498" customFormat="1" ht="12" customHeight="1"/>
    <row r="332" s="498" customFormat="1" ht="12" customHeight="1"/>
    <row r="333" s="498" customFormat="1" ht="12" customHeight="1"/>
    <row r="334" s="498" customFormat="1" ht="12" customHeight="1"/>
    <row r="335" s="498" customFormat="1" ht="12" customHeight="1"/>
    <row r="336" s="498" customFormat="1" ht="12" customHeight="1"/>
    <row r="337" s="498" customFormat="1" ht="12" customHeight="1"/>
    <row r="338" s="498" customFormat="1" ht="12" customHeight="1"/>
    <row r="339" s="498" customFormat="1" ht="12" customHeight="1"/>
    <row r="340" s="498" customFormat="1" ht="12" customHeight="1"/>
    <row r="341" s="498" customFormat="1" ht="12" customHeight="1"/>
    <row r="342" s="498" customFormat="1" ht="12" customHeight="1"/>
    <row r="343" s="498" customFormat="1" ht="12" customHeight="1"/>
    <row r="344" s="498" customFormat="1" ht="12" customHeight="1"/>
    <row r="345" s="498" customFormat="1" ht="12" customHeight="1"/>
    <row r="346" s="498" customFormat="1" ht="12" customHeight="1"/>
    <row r="347" s="498" customFormat="1" ht="12" customHeight="1"/>
    <row r="348" s="498" customFormat="1" ht="12" customHeight="1"/>
    <row r="349" s="498" customFormat="1" ht="12" customHeight="1"/>
    <row r="350" s="498" customFormat="1" ht="12" customHeight="1"/>
    <row r="351" s="498" customFormat="1" ht="12" customHeight="1"/>
    <row r="352" s="498" customFormat="1" ht="12" customHeight="1"/>
    <row r="353" s="498" customFormat="1" ht="12" customHeight="1"/>
    <row r="354" s="498" customFormat="1" ht="12" customHeight="1"/>
    <row r="355" s="498" customFormat="1" ht="12" customHeight="1"/>
    <row r="356" s="498" customFormat="1" ht="12" customHeight="1"/>
    <row r="357" s="498" customFormat="1" ht="12" customHeight="1"/>
    <row r="358" s="498" customFormat="1" ht="12" customHeight="1"/>
    <row r="359" s="498" customFormat="1" ht="12" customHeight="1"/>
    <row r="360" s="498" customFormat="1" ht="12"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sheetData>
  <conditionalFormatting sqref="AK78:AQ78">
    <cfRule type="cellIs" dxfId="28" priority="1" operator="equal">
      <formula>FALSE()</formula>
    </cfRule>
  </conditionalFormatting>
  <pageMargins left="0.23622047244094491" right="0.23622047244094491" top="0.74803149606299213" bottom="0.74803149606299213" header="0.31496062992125984" footer="0.31496062992125984"/>
  <pageSetup paperSize="8" scale="71" fitToHeight="0" orientation="landscape" r:id="rId1"/>
  <headerFooter>
    <oddFooter>&amp;LDraft at &amp;D&amp;C&amp;P of &amp;N&amp;R"&amp;A" sheet</oddFooter>
  </headerFooter>
  <rowBreaks count="3" manualBreakCount="3">
    <brk id="42" max="41" man="1"/>
    <brk id="90" max="41" man="1"/>
    <brk id="146"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369665" r:id="rId4" name="Drop Down 1">
              <controlPr defaultSize="0" autoLine="0" autoPict="0">
                <anchor moveWithCells="1">
                  <from>
                    <xdr:col>4</xdr:col>
                    <xdr:colOff>561975</xdr:colOff>
                    <xdr:row>1</xdr:row>
                    <xdr:rowOff>0</xdr:rowOff>
                  </from>
                  <to>
                    <xdr:col>4</xdr:col>
                    <xdr:colOff>3000375</xdr:colOff>
                    <xdr:row>2</xdr:row>
                    <xdr:rowOff>9525</xdr:rowOff>
                  </to>
                </anchor>
              </controlPr>
            </control>
          </mc:Choice>
        </mc:AlternateContent>
        <mc:AlternateContent xmlns:mc="http://schemas.openxmlformats.org/markup-compatibility/2006">
          <mc:Choice Requires="x14">
            <control shapeId="369676" r:id="rId5" name="Button 12">
              <controlPr defaultSize="0" print="0" autoFill="0" autoPict="0" macro="[0]!TVMmacro">
                <anchor moveWithCells="1" sizeWithCells="1">
                  <from>
                    <xdr:col>44</xdr:col>
                    <xdr:colOff>152400</xdr:colOff>
                    <xdr:row>272</xdr:row>
                    <xdr:rowOff>9525</xdr:rowOff>
                  </from>
                  <to>
                    <xdr:col>46</xdr:col>
                    <xdr:colOff>276225</xdr:colOff>
                    <xdr:row>273</xdr:row>
                    <xdr:rowOff>142875</xdr:rowOff>
                  </to>
                </anchor>
              </controlPr>
            </control>
          </mc:Choice>
        </mc:AlternateContent>
        <mc:AlternateContent xmlns:mc="http://schemas.openxmlformats.org/markup-compatibility/2006">
          <mc:Choice Requires="x14">
            <control shapeId="369678" r:id="rId6" name="Drop Down 14">
              <controlPr defaultSize="0" autoLine="0" autoPict="0">
                <anchor moveWithCells="1">
                  <from>
                    <xdr:col>35</xdr:col>
                    <xdr:colOff>390525</xdr:colOff>
                    <xdr:row>231</xdr:row>
                    <xdr:rowOff>0</xdr:rowOff>
                  </from>
                  <to>
                    <xdr:col>38</xdr:col>
                    <xdr:colOff>400050</xdr:colOff>
                    <xdr:row>231</xdr:row>
                    <xdr:rowOff>161925</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8">
    <tabColor theme="6"/>
    <pageSetUpPr fitToPage="1"/>
  </sheetPr>
  <dimension ref="A1:AH196"/>
  <sheetViews>
    <sheetView zoomScale="70" zoomScaleNormal="70" workbookViewId="0">
      <selection activeCell="C15" sqref="C15:O92"/>
    </sheetView>
  </sheetViews>
  <sheetFormatPr defaultColWidth="0" defaultRowHeight="0" customHeight="1" zeroHeight="1"/>
  <cols>
    <col min="1" max="2" width="1.625" style="149" customWidth="1"/>
    <col min="3" max="3" width="2.75" style="149" customWidth="1"/>
    <col min="4" max="4" width="3.125" style="149" customWidth="1"/>
    <col min="5" max="5" width="41.875" style="149" customWidth="1"/>
    <col min="6" max="15" width="12.625" style="149" customWidth="1"/>
    <col min="16" max="19" width="12.625" customWidth="1"/>
    <col min="20" max="34" width="0" style="149" hidden="1" customWidth="1"/>
    <col min="35" max="16384" width="9" style="149" hidden="1"/>
  </cols>
  <sheetData>
    <row r="1" spans="1:19" s="7" customFormat="1" ht="15">
      <c r="A1" s="384" t="s">
        <v>246</v>
      </c>
      <c r="B1" s="384"/>
      <c r="C1" s="384"/>
      <c r="P1"/>
      <c r="Q1"/>
      <c r="R1"/>
      <c r="S1"/>
    </row>
    <row r="2" spans="1:19" s="147" customFormat="1" ht="15" customHeight="1">
      <c r="P2"/>
      <c r="Q2"/>
      <c r="R2"/>
      <c r="S2"/>
    </row>
    <row r="3" spans="1:19" ht="15" customHeight="1">
      <c r="B3" s="334" t="s">
        <v>308</v>
      </c>
      <c r="C3" s="334"/>
      <c r="D3" s="334"/>
      <c r="E3" s="334"/>
      <c r="F3" s="334"/>
      <c r="G3" s="334"/>
      <c r="H3" s="334"/>
      <c r="I3" s="334"/>
      <c r="J3" s="334"/>
      <c r="K3" s="334"/>
      <c r="L3" s="334"/>
      <c r="M3" s="334"/>
      <c r="N3" s="334"/>
      <c r="O3" s="334"/>
    </row>
    <row r="4" spans="1:19" ht="15" customHeight="1">
      <c r="B4" s="197" t="s">
        <v>309</v>
      </c>
      <c r="C4" s="197"/>
      <c r="D4" s="197"/>
      <c r="E4" s="197"/>
      <c r="F4" s="197"/>
      <c r="G4" s="197"/>
      <c r="H4" s="197"/>
      <c r="I4" s="197"/>
      <c r="J4" s="197"/>
      <c r="K4" s="197"/>
      <c r="L4" s="197"/>
      <c r="M4" s="197"/>
      <c r="N4" s="197"/>
      <c r="O4" s="197"/>
    </row>
    <row r="5" spans="1:19" ht="15" customHeight="1">
      <c r="B5" s="197" t="s">
        <v>310</v>
      </c>
      <c r="C5" s="197"/>
      <c r="D5" s="197"/>
      <c r="E5" s="197"/>
      <c r="F5" s="197"/>
      <c r="G5" s="197"/>
      <c r="H5" s="197"/>
      <c r="I5" s="197"/>
      <c r="J5" s="197"/>
      <c r="K5" s="197"/>
      <c r="L5" s="197"/>
      <c r="M5" s="197"/>
      <c r="N5" s="197"/>
      <c r="O5" s="197"/>
    </row>
    <row r="6" spans="1:19" ht="15" customHeight="1">
      <c r="F6" s="385"/>
    </row>
    <row r="7" spans="1:19" s="210" customFormat="1" ht="15" customHeight="1">
      <c r="C7" s="331" t="s">
        <v>311</v>
      </c>
      <c r="D7" s="331"/>
      <c r="E7" s="331"/>
      <c r="F7" s="331"/>
      <c r="G7" s="331"/>
      <c r="H7" s="331"/>
      <c r="I7" s="331"/>
      <c r="J7" s="331"/>
      <c r="K7" s="331"/>
      <c r="L7" s="331"/>
      <c r="M7" s="331"/>
      <c r="N7" s="331"/>
      <c r="O7" s="331"/>
      <c r="P7"/>
      <c r="Q7"/>
      <c r="R7"/>
      <c r="S7"/>
    </row>
    <row r="8" spans="1:19" s="210" customFormat="1" ht="15" customHeight="1">
      <c r="C8" s="197" t="s">
        <v>313</v>
      </c>
      <c r="D8" s="197"/>
      <c r="E8" s="197"/>
      <c r="F8" s="197"/>
      <c r="G8" s="197"/>
      <c r="H8" s="197"/>
      <c r="I8" s="197"/>
      <c r="J8" s="197"/>
      <c r="K8" s="197"/>
      <c r="L8" s="197"/>
      <c r="M8" s="197"/>
      <c r="N8" s="197"/>
      <c r="O8" s="197"/>
      <c r="P8"/>
      <c r="Q8"/>
      <c r="R8"/>
      <c r="S8"/>
    </row>
    <row r="9" spans="1:19" s="210" customFormat="1" ht="15" customHeight="1">
      <c r="P9"/>
      <c r="Q9"/>
      <c r="R9"/>
      <c r="S9"/>
    </row>
    <row r="10" spans="1:19" ht="15" customHeight="1">
      <c r="E10" s="149" t="s">
        <v>249</v>
      </c>
      <c r="F10" s="385">
        <f>m_identity</f>
        <v>9</v>
      </c>
    </row>
    <row r="11" spans="1:19" ht="15" customHeight="1">
      <c r="E11" s="149" t="s">
        <v>312</v>
      </c>
      <c r="F11" s="385">
        <f>ROW(m_live_results_end) - ROW(m_live_results)</f>
        <v>77</v>
      </c>
    </row>
    <row r="12" spans="1:19" ht="15" customHeight="1">
      <c r="E12" s="149" t="s">
        <v>250</v>
      </c>
      <c r="F12" s="385">
        <f>UserInterface!E75</f>
        <v>1</v>
      </c>
    </row>
    <row r="13" spans="1:19" ht="15" customHeight="1">
      <c r="F13" s="385"/>
    </row>
    <row r="14" spans="1:19" s="210" customFormat="1" ht="15" customHeight="1">
      <c r="C14" s="386" t="s">
        <v>392</v>
      </c>
      <c r="P14"/>
      <c r="Q14"/>
      <c r="R14"/>
      <c r="S14"/>
    </row>
    <row r="15" spans="1:19" s="210" customFormat="1" ht="15" customHeight="1">
      <c r="C15" s="331" t="str">
        <f>"Values for "&amp;E19</f>
        <v>Values for SPN: Base (M1b)</v>
      </c>
      <c r="D15" s="331"/>
      <c r="E15" s="331"/>
      <c r="F15" s="331"/>
      <c r="G15" s="331"/>
      <c r="H15" s="331"/>
      <c r="I15" s="331"/>
      <c r="J15" s="331"/>
      <c r="K15" s="331"/>
      <c r="L15" s="331"/>
      <c r="M15" s="331"/>
      <c r="N15" s="331"/>
      <c r="O15" s="331"/>
      <c r="P15"/>
      <c r="Q15"/>
      <c r="R15"/>
      <c r="S15"/>
    </row>
    <row r="16" spans="1:19" s="210" customFormat="1" ht="15" customHeight="1">
      <c r="P16"/>
      <c r="Q16"/>
      <c r="R16"/>
      <c r="S16"/>
    </row>
    <row r="17" spans="4:19" s="210" customFormat="1" ht="15" customHeight="1">
      <c r="D17" s="116"/>
      <c r="E17" s="116"/>
      <c r="F17" s="117"/>
      <c r="G17" s="117"/>
      <c r="H17" s="117"/>
      <c r="I17" s="117"/>
      <c r="J17" s="117"/>
      <c r="K17" s="117"/>
      <c r="L17" s="117"/>
      <c r="M17" s="117"/>
      <c r="N17" s="116"/>
      <c r="O17" s="116"/>
      <c r="P17"/>
      <c r="Q17"/>
      <c r="R17"/>
      <c r="S17"/>
    </row>
    <row r="18" spans="4:19" s="210" customFormat="1" ht="15" customHeight="1">
      <c r="D18" s="116"/>
      <c r="E18" s="387" t="s">
        <v>58</v>
      </c>
      <c r="F18" s="387" t="s">
        <v>239</v>
      </c>
      <c r="G18" s="117"/>
      <c r="H18" s="387" t="s">
        <v>39</v>
      </c>
      <c r="I18" s="117"/>
      <c r="J18" s="117"/>
      <c r="K18" s="117"/>
      <c r="L18" s="117"/>
      <c r="M18" s="117"/>
      <c r="N18" s="116"/>
      <c r="O18" s="116"/>
      <c r="P18"/>
      <c r="Q18"/>
      <c r="R18"/>
      <c r="S18"/>
    </row>
    <row r="19" spans="4:19" s="210" customFormat="1" ht="15" customHeight="1">
      <c r="D19" s="118"/>
      <c r="E19" s="118" t="str">
        <f>UserInterface!G24&amp;": "&amp;UserInterface!G9</f>
        <v>SPN: Base (M1b)</v>
      </c>
      <c r="F19" s="388">
        <f>UserInterface!G17</f>
        <v>42460</v>
      </c>
      <c r="G19" s="119"/>
      <c r="H19" s="118" t="str">
        <f ca="1">MID(CELL("filename"),SEARCH("[",CELL("filename"))+1,SEARCH("]",CELL("filename"))-SEARCH("[",CELL("filename"))-1)</f>
        <v>UKPN_PCFM_Model_2014.xlsm</v>
      </c>
      <c r="I19" s="119"/>
      <c r="J19" s="119"/>
      <c r="K19" s="119"/>
      <c r="L19" s="119"/>
      <c r="M19" s="119"/>
      <c r="N19" s="118"/>
      <c r="O19" s="118"/>
      <c r="P19"/>
      <c r="Q19"/>
      <c r="R19"/>
      <c r="S19"/>
    </row>
    <row r="20" spans="4:19" s="210" customFormat="1" ht="40.5" customHeight="1" thickBot="1">
      <c r="G20" s="71"/>
      <c r="P20"/>
      <c r="Q20"/>
      <c r="R20"/>
      <c r="S20"/>
    </row>
    <row r="21" spans="4:19" s="210" customFormat="1" ht="15" customHeight="1">
      <c r="D21" s="120"/>
      <c r="E21" s="193" t="s">
        <v>236</v>
      </c>
      <c r="F21" s="185">
        <v>42460</v>
      </c>
      <c r="G21" s="186">
        <v>42825</v>
      </c>
      <c r="H21" s="186">
        <v>43190</v>
      </c>
      <c r="I21" s="186">
        <v>43555</v>
      </c>
      <c r="J21" s="186">
        <v>43921</v>
      </c>
      <c r="K21" s="186">
        <v>44286</v>
      </c>
      <c r="L21" s="186">
        <v>44651</v>
      </c>
      <c r="M21" s="187">
        <v>45016</v>
      </c>
      <c r="N21" s="253" t="s">
        <v>86</v>
      </c>
      <c r="O21" s="188" t="s">
        <v>87</v>
      </c>
      <c r="P21"/>
      <c r="Q21"/>
      <c r="R21"/>
      <c r="S21"/>
    </row>
    <row r="22" spans="4:19" s="210" customFormat="1" ht="15" customHeight="1">
      <c r="D22" s="121"/>
      <c r="E22" s="122" t="s">
        <v>240</v>
      </c>
      <c r="F22" s="189" t="s">
        <v>844</v>
      </c>
      <c r="G22" s="190" t="s">
        <v>844</v>
      </c>
      <c r="H22" s="190" t="s">
        <v>844</v>
      </c>
      <c r="I22" s="190" t="s">
        <v>844</v>
      </c>
      <c r="J22" s="190" t="s">
        <v>844</v>
      </c>
      <c r="K22" s="190" t="s">
        <v>844</v>
      </c>
      <c r="L22" s="190" t="s">
        <v>844</v>
      </c>
      <c r="M22" s="191" t="s">
        <v>844</v>
      </c>
      <c r="N22" s="192" t="s">
        <v>844</v>
      </c>
      <c r="O22" s="192" t="s">
        <v>844</v>
      </c>
      <c r="P22"/>
      <c r="Q22"/>
      <c r="R22"/>
      <c r="S22"/>
    </row>
    <row r="23" spans="4:19" s="210" customFormat="1" ht="15" customHeight="1">
      <c r="D23" s="123"/>
      <c r="E23" s="124" t="s">
        <v>69</v>
      </c>
      <c r="F23" s="125"/>
      <c r="G23" s="126"/>
      <c r="H23" s="126"/>
      <c r="I23" s="126"/>
      <c r="J23" s="126"/>
      <c r="K23" s="126"/>
      <c r="L23" s="126"/>
      <c r="M23" s="127"/>
      <c r="N23" s="128"/>
      <c r="O23" s="128"/>
      <c r="P23"/>
      <c r="Q23"/>
      <c r="R23"/>
      <c r="S23"/>
    </row>
    <row r="24" spans="4:19" s="210" customFormat="1" ht="15" customHeight="1">
      <c r="D24" s="129">
        <v>1</v>
      </c>
      <c r="E24" s="122" t="s">
        <v>213</v>
      </c>
      <c r="F24" s="135">
        <f>TIM!AJ72</f>
        <v>157.2306932997239</v>
      </c>
      <c r="G24" s="136">
        <f>TIM!AK72</f>
        <v>171.88702831647345</v>
      </c>
      <c r="H24" s="136">
        <f>TIM!AL72</f>
        <v>167.63012731337571</v>
      </c>
      <c r="I24" s="136">
        <f>TIM!AM72</f>
        <v>162.14536051015963</v>
      </c>
      <c r="J24" s="136">
        <f>TIM!AN72</f>
        <v>157.21615584475998</v>
      </c>
      <c r="K24" s="136">
        <f>TIM!AO72</f>
        <v>152.36174091460876</v>
      </c>
      <c r="L24" s="136">
        <f>TIM!AP72</f>
        <v>152.79897079574016</v>
      </c>
      <c r="M24" s="137">
        <f>TIM!AQ72</f>
        <v>148.8695577731709</v>
      </c>
      <c r="N24" s="130">
        <f>SUM(F24:M24)</f>
        <v>1270.1396347680125</v>
      </c>
      <c r="O24" s="130">
        <f>IFERROR(AVERAGE(F24:M24), 0 )</f>
        <v>158.76745434600156</v>
      </c>
      <c r="P24"/>
      <c r="Q24" s="297"/>
      <c r="R24"/>
      <c r="S24"/>
    </row>
    <row r="25" spans="4:19" s="210" customFormat="1" ht="15" customHeight="1">
      <c r="D25" s="129">
        <f>+D24+1</f>
        <v>2</v>
      </c>
      <c r="E25" s="122" t="s">
        <v>879</v>
      </c>
      <c r="F25" s="135">
        <f>TIM!AJ70</f>
        <v>73.990914493987702</v>
      </c>
      <c r="G25" s="136">
        <f>TIM!AK70</f>
        <v>80.888013325399243</v>
      </c>
      <c r="H25" s="136">
        <f>TIM!AL70</f>
        <v>78.884765794529727</v>
      </c>
      <c r="I25" s="136">
        <f>TIM!AM70</f>
        <v>76.303699063604512</v>
      </c>
      <c r="J25" s="136">
        <f>TIM!AN70</f>
        <v>73.984073338710544</v>
      </c>
      <c r="K25" s="136">
        <f>TIM!AO70</f>
        <v>71.699642783345297</v>
      </c>
      <c r="L25" s="136">
        <f>TIM!AP70</f>
        <v>71.905398021524775</v>
      </c>
      <c r="M25" s="137">
        <f>TIM!AQ70</f>
        <v>70.056262481492155</v>
      </c>
      <c r="N25" s="130">
        <f>SUM(F25:M25)</f>
        <v>597.71276930259398</v>
      </c>
      <c r="O25" s="130">
        <f>IFERROR(AVERAGE(F25:M25), 0 )</f>
        <v>74.714096162824248</v>
      </c>
      <c r="P25"/>
      <c r="Q25" s="297"/>
      <c r="R25"/>
      <c r="S25"/>
    </row>
    <row r="26" spans="4:19" s="210" customFormat="1" ht="15" customHeight="1">
      <c r="D26" s="129">
        <f>+D25+1</f>
        <v>3</v>
      </c>
      <c r="E26" s="122" t="s">
        <v>214</v>
      </c>
      <c r="F26" s="135">
        <f>TIM!AJ52</f>
        <v>231.2216077937116</v>
      </c>
      <c r="G26" s="136">
        <f>TIM!AK52</f>
        <v>252.77504164187269</v>
      </c>
      <c r="H26" s="136">
        <f>TIM!AL52</f>
        <v>246.51489310790544</v>
      </c>
      <c r="I26" s="136">
        <f>TIM!AM52</f>
        <v>238.44905957376415</v>
      </c>
      <c r="J26" s="136">
        <f>TIM!AN52</f>
        <v>231.20022918347053</v>
      </c>
      <c r="K26" s="136">
        <f>TIM!AO52</f>
        <v>224.06138369795406</v>
      </c>
      <c r="L26" s="136">
        <f>TIM!AP52</f>
        <v>224.70436881726494</v>
      </c>
      <c r="M26" s="137">
        <f>TIM!AQ52</f>
        <v>218.92582025466305</v>
      </c>
      <c r="N26" s="130">
        <f>SUM(F26:M26)</f>
        <v>1867.8524040706061</v>
      </c>
      <c r="O26" s="130">
        <f>IFERROR(AVERAGE(F26:M26), 0 )</f>
        <v>233.48155050882576</v>
      </c>
      <c r="P26"/>
      <c r="Q26" s="297"/>
      <c r="R26"/>
      <c r="S26"/>
    </row>
    <row r="27" spans="4:19" s="210" customFormat="1" ht="15" customHeight="1">
      <c r="D27" s="123"/>
      <c r="E27" s="124" t="s">
        <v>16</v>
      </c>
      <c r="F27" s="125"/>
      <c r="G27" s="126"/>
      <c r="H27" s="126"/>
      <c r="I27" s="126"/>
      <c r="J27" s="126"/>
      <c r="K27" s="126"/>
      <c r="L27" s="126"/>
      <c r="M27" s="127"/>
      <c r="N27" s="128"/>
      <c r="O27" s="128"/>
      <c r="P27"/>
      <c r="Q27" s="297"/>
      <c r="R27"/>
      <c r="S27"/>
    </row>
    <row r="28" spans="4:19" s="210" customFormat="1" ht="15" customHeight="1">
      <c r="D28" s="129">
        <f>D26+1</f>
        <v>4</v>
      </c>
      <c r="E28" s="122" t="s">
        <v>492</v>
      </c>
      <c r="F28" s="135">
        <f>'Return&amp;RAV'!AJ42</f>
        <v>1491.8427088208007</v>
      </c>
      <c r="G28" s="136">
        <f>'Return&amp;RAV'!AK42</f>
        <v>1524.8275770285732</v>
      </c>
      <c r="H28" s="136">
        <f>'Return&amp;RAV'!AL42</f>
        <v>1568.1270216022474</v>
      </c>
      <c r="I28" s="136">
        <f>'Return&amp;RAV'!AM42</f>
        <v>1603.764503068656</v>
      </c>
      <c r="J28" s="136">
        <f>'Return&amp;RAV'!AN42</f>
        <v>1630.4292591463091</v>
      </c>
      <c r="K28" s="136">
        <f>'Return&amp;RAV'!AO42</f>
        <v>1658.0061193574948</v>
      </c>
      <c r="L28" s="136">
        <f>'Return&amp;RAV'!AP42</f>
        <v>1679.3086483328495</v>
      </c>
      <c r="M28" s="137">
        <f>'Return&amp;RAV'!AQ42</f>
        <v>1700.8869475648303</v>
      </c>
      <c r="N28" s="130"/>
      <c r="O28" s="130">
        <f t="shared" ref="O28:O33" si="0">IFERROR(AVERAGE(F28:M28), 0 )</f>
        <v>1607.1490981152201</v>
      </c>
      <c r="P28"/>
      <c r="Q28" s="297"/>
      <c r="R28"/>
      <c r="S28"/>
    </row>
    <row r="29" spans="4:19" s="210" customFormat="1" ht="15" customHeight="1">
      <c r="D29" s="129">
        <f>+D28+1</f>
        <v>5</v>
      </c>
      <c r="E29" s="122" t="s">
        <v>122</v>
      </c>
      <c r="F29" s="135">
        <f>'Return&amp;RAV'!AJ43</f>
        <v>0</v>
      </c>
      <c r="G29" s="136">
        <f>'Return&amp;RAV'!AK43</f>
        <v>0</v>
      </c>
      <c r="H29" s="136">
        <f>'Return&amp;RAV'!AL43</f>
        <v>0</v>
      </c>
      <c r="I29" s="136">
        <f>'Return&amp;RAV'!AM43</f>
        <v>0</v>
      </c>
      <c r="J29" s="136">
        <f>'Return&amp;RAV'!AN43</f>
        <v>0</v>
      </c>
      <c r="K29" s="136">
        <f>'Return&amp;RAV'!AO43</f>
        <v>0</v>
      </c>
      <c r="L29" s="136">
        <f>'Return&amp;RAV'!AP43</f>
        <v>0</v>
      </c>
      <c r="M29" s="137">
        <f>'Return&amp;RAV'!AQ43</f>
        <v>0</v>
      </c>
      <c r="N29" s="130">
        <f>SUM(F29:M29)</f>
        <v>0</v>
      </c>
      <c r="O29" s="130">
        <f t="shared" si="0"/>
        <v>0</v>
      </c>
      <c r="P29"/>
      <c r="Q29" s="297"/>
      <c r="R29"/>
      <c r="S29"/>
    </row>
    <row r="30" spans="4:19" s="210" customFormat="1" ht="15" customHeight="1">
      <c r="D30" s="129">
        <f>+D29+1</f>
        <v>6</v>
      </c>
      <c r="E30" s="122" t="s">
        <v>493</v>
      </c>
      <c r="F30" s="135">
        <f>'Return&amp;RAV'!AJ44</f>
        <v>1491.8427088208007</v>
      </c>
      <c r="G30" s="136">
        <f>'Return&amp;RAV'!AK44</f>
        <v>1524.8275770285732</v>
      </c>
      <c r="H30" s="136">
        <f>'Return&amp;RAV'!AL44</f>
        <v>1568.1270216022474</v>
      </c>
      <c r="I30" s="136">
        <f>'Return&amp;RAV'!AM44</f>
        <v>1603.764503068656</v>
      </c>
      <c r="J30" s="136">
        <f>'Return&amp;RAV'!AN44</f>
        <v>1630.4292591463091</v>
      </c>
      <c r="K30" s="136">
        <f>'Return&amp;RAV'!AO44</f>
        <v>1658.0061193574948</v>
      </c>
      <c r="L30" s="136">
        <f>'Return&amp;RAV'!AP44</f>
        <v>1679.3086483328495</v>
      </c>
      <c r="M30" s="137">
        <f>'Return&amp;RAV'!AQ44</f>
        <v>1700.8869475648303</v>
      </c>
      <c r="N30" s="130"/>
      <c r="O30" s="130">
        <f t="shared" si="0"/>
        <v>1607.1490981152201</v>
      </c>
      <c r="P30"/>
      <c r="Q30" s="297"/>
      <c r="R30"/>
      <c r="S30"/>
    </row>
    <row r="31" spans="4:19" s="210" customFormat="1" ht="15" customHeight="1">
      <c r="D31" s="129">
        <f>+D30+1</f>
        <v>7</v>
      </c>
      <c r="E31" s="122" t="s">
        <v>215</v>
      </c>
      <c r="F31" s="135">
        <f>'Return&amp;RAV'!AJ45</f>
        <v>157.2306932997239</v>
      </c>
      <c r="G31" s="136">
        <f>'Return&amp;RAV'!AK45</f>
        <v>171.88702831647345</v>
      </c>
      <c r="H31" s="136">
        <f>'Return&amp;RAV'!AL45</f>
        <v>167.63012731337571</v>
      </c>
      <c r="I31" s="136">
        <f>'Return&amp;RAV'!AM45</f>
        <v>162.14536051015963</v>
      </c>
      <c r="J31" s="136">
        <f>'Return&amp;RAV'!AN45</f>
        <v>157.21615584475998</v>
      </c>
      <c r="K31" s="136">
        <f>'Return&amp;RAV'!AO45</f>
        <v>152.36174091460876</v>
      </c>
      <c r="L31" s="136">
        <f>'Return&amp;RAV'!AP45</f>
        <v>152.79897079574016</v>
      </c>
      <c r="M31" s="137">
        <f>'Return&amp;RAV'!AQ45</f>
        <v>148.8695577731709</v>
      </c>
      <c r="N31" s="130">
        <f>SUM(F31:M31)</f>
        <v>1270.1396347680125</v>
      </c>
      <c r="O31" s="130">
        <f t="shared" si="0"/>
        <v>158.76745434600156</v>
      </c>
      <c r="P31"/>
      <c r="Q31" s="297"/>
      <c r="R31"/>
      <c r="S31"/>
    </row>
    <row r="32" spans="4:19" s="210" customFormat="1" ht="15" customHeight="1">
      <c r="D32" s="129">
        <f>+D31+1</f>
        <v>8</v>
      </c>
      <c r="E32" s="122" t="s">
        <v>0</v>
      </c>
      <c r="F32" s="135">
        <f>'Return&amp;RAV'!AJ46</f>
        <v>-124.24582509195155</v>
      </c>
      <c r="G32" s="136">
        <f>'Return&amp;RAV'!AK46</f>
        <v>-128.58758374279918</v>
      </c>
      <c r="H32" s="136">
        <f>'Return&amp;RAV'!AL46</f>
        <v>-131.99264584696695</v>
      </c>
      <c r="I32" s="136">
        <f>'Return&amp;RAV'!AM46</f>
        <v>-135.48060443250662</v>
      </c>
      <c r="J32" s="136">
        <f>'Return&amp;RAV'!AN46</f>
        <v>-129.63929563357419</v>
      </c>
      <c r="K32" s="136">
        <f>'Return&amp;RAV'!AO46</f>
        <v>-131.05921193925411</v>
      </c>
      <c r="L32" s="136">
        <f>'Return&amp;RAV'!AP46</f>
        <v>-131.22067156375945</v>
      </c>
      <c r="M32" s="137">
        <f>'Return&amp;RAV'!AQ46</f>
        <v>-129.68023231829352</v>
      </c>
      <c r="N32" s="130">
        <f>SUM(F32:M32)</f>
        <v>-1041.9060705691056</v>
      </c>
      <c r="O32" s="130">
        <f t="shared" si="0"/>
        <v>-130.2382588211382</v>
      </c>
      <c r="P32"/>
      <c r="Q32" s="297"/>
      <c r="R32"/>
      <c r="S32"/>
    </row>
    <row r="33" spans="4:19" s="210" customFormat="1" ht="15" customHeight="1">
      <c r="D33" s="129">
        <f>+D32+1</f>
        <v>9</v>
      </c>
      <c r="E33" s="122" t="s">
        <v>17</v>
      </c>
      <c r="F33" s="135">
        <f>+F30+F31+F32</f>
        <v>1524.8275770285732</v>
      </c>
      <c r="G33" s="136">
        <f t="shared" ref="G33:M33" si="1">+G30+G31+G32</f>
        <v>1568.1270216022474</v>
      </c>
      <c r="H33" s="136">
        <f t="shared" si="1"/>
        <v>1603.764503068656</v>
      </c>
      <c r="I33" s="136">
        <f t="shared" si="1"/>
        <v>1630.4292591463091</v>
      </c>
      <c r="J33" s="136">
        <f t="shared" si="1"/>
        <v>1658.0061193574948</v>
      </c>
      <c r="K33" s="136">
        <f t="shared" si="1"/>
        <v>1679.3086483328495</v>
      </c>
      <c r="L33" s="136">
        <f t="shared" si="1"/>
        <v>1700.8869475648303</v>
      </c>
      <c r="M33" s="137">
        <f t="shared" si="1"/>
        <v>1720.0762730197077</v>
      </c>
      <c r="N33" s="130"/>
      <c r="O33" s="130">
        <f t="shared" si="0"/>
        <v>1635.6782936400834</v>
      </c>
      <c r="P33"/>
      <c r="Q33" s="297"/>
      <c r="R33"/>
      <c r="S33"/>
    </row>
    <row r="34" spans="4:19" s="210" customFormat="1" ht="15" customHeight="1">
      <c r="D34" s="123"/>
      <c r="E34" s="124" t="s">
        <v>301</v>
      </c>
      <c r="F34" s="131"/>
      <c r="G34" s="132"/>
      <c r="H34" s="132"/>
      <c r="I34" s="132"/>
      <c r="J34" s="132"/>
      <c r="K34" s="132"/>
      <c r="L34" s="132"/>
      <c r="M34" s="133"/>
      <c r="N34" s="134"/>
      <c r="O34" s="134"/>
      <c r="P34"/>
      <c r="Q34" s="297"/>
      <c r="R34"/>
      <c r="S34"/>
    </row>
    <row r="35" spans="4:19" s="210" customFormat="1" ht="15" customHeight="1">
      <c r="D35" s="129">
        <f>D33+1</f>
        <v>10</v>
      </c>
      <c r="E35" s="122" t="str">
        <f>E44</f>
        <v>Fast pot expenditure</v>
      </c>
      <c r="F35" s="135">
        <f t="shared" ref="F35:M42" ca="1" si="2">IF($F$19 = $F$21, F44, OFFSET(m_results_01, ($F$11 * ($F$10 - 1)) + ROW($D35) - ROW(m_live_results), COLUMN(F$21) - COLUMN(m_live_results)))</f>
        <v>73.990914493987702</v>
      </c>
      <c r="G35" s="136">
        <f t="shared" ca="1" si="2"/>
        <v>80.888013325399243</v>
      </c>
      <c r="H35" s="136">
        <f t="shared" ca="1" si="2"/>
        <v>78.884765794529727</v>
      </c>
      <c r="I35" s="136">
        <f t="shared" ca="1" si="2"/>
        <v>76.303699063604512</v>
      </c>
      <c r="J35" s="136">
        <f t="shared" ca="1" si="2"/>
        <v>73.984073338710544</v>
      </c>
      <c r="K35" s="136">
        <f t="shared" ca="1" si="2"/>
        <v>71.699642783345297</v>
      </c>
      <c r="L35" s="136">
        <f t="shared" ca="1" si="2"/>
        <v>71.905398021524775</v>
      </c>
      <c r="M35" s="137">
        <f t="shared" ca="1" si="2"/>
        <v>70.056262481492155</v>
      </c>
      <c r="N35" s="130">
        <f t="shared" ref="N35:N42" ca="1" si="3">SUM(F35:M35)</f>
        <v>597.71276930259398</v>
      </c>
      <c r="O35" s="130">
        <f t="shared" ref="O35:O42" ca="1" si="4">IFERROR(AVERAGE(F35:M35), 0 )</f>
        <v>74.714096162824248</v>
      </c>
      <c r="P35"/>
      <c r="Q35" s="297"/>
      <c r="R35"/>
      <c r="S35"/>
    </row>
    <row r="36" spans="4:19" s="210" customFormat="1" ht="15" customHeight="1">
      <c r="D36" s="129">
        <f t="shared" ref="D36:D42" si="5">+D35+1</f>
        <v>11</v>
      </c>
      <c r="E36" s="122" t="str">
        <f t="shared" ref="E36:E42" si="6">E45</f>
        <v xml:space="preserve">Non-controllable opex </v>
      </c>
      <c r="F36" s="135">
        <f t="shared" ca="1" si="2"/>
        <v>33.603943550905051</v>
      </c>
      <c r="G36" s="136">
        <f t="shared" ca="1" si="2"/>
        <v>34.133943550905052</v>
      </c>
      <c r="H36" s="136">
        <f t="shared" ca="1" si="2"/>
        <v>35.827276884238387</v>
      </c>
      <c r="I36" s="136">
        <f t="shared" ca="1" si="2"/>
        <v>36.160610217571715</v>
      </c>
      <c r="J36" s="136">
        <f t="shared" ca="1" si="2"/>
        <v>36.03394355090505</v>
      </c>
      <c r="K36" s="136">
        <f t="shared" ca="1" si="2"/>
        <v>37.000610217571719</v>
      </c>
      <c r="L36" s="136">
        <f t="shared" ca="1" si="2"/>
        <v>35.538164106782752</v>
      </c>
      <c r="M36" s="137">
        <f t="shared" ca="1" si="2"/>
        <v>35.748164106782752</v>
      </c>
      <c r="N36" s="130">
        <f t="shared" ca="1" si="3"/>
        <v>284.04665618566241</v>
      </c>
      <c r="O36" s="130">
        <f t="shared" ca="1" si="4"/>
        <v>35.505832023207802</v>
      </c>
      <c r="P36"/>
      <c r="Q36" s="297"/>
      <c r="R36"/>
      <c r="S36"/>
    </row>
    <row r="37" spans="4:19" s="210" customFormat="1" ht="15" customHeight="1">
      <c r="D37" s="129">
        <f t="shared" si="5"/>
        <v>12</v>
      </c>
      <c r="E37" s="122" t="str">
        <f t="shared" si="6"/>
        <v>RAV depreciation</v>
      </c>
      <c r="F37" s="135">
        <f t="shared" ca="1" si="2"/>
        <v>124.24582509195155</v>
      </c>
      <c r="G37" s="136">
        <f t="shared" ca="1" si="2"/>
        <v>128.58758374279918</v>
      </c>
      <c r="H37" s="136">
        <f t="shared" ca="1" si="2"/>
        <v>131.99264584696695</v>
      </c>
      <c r="I37" s="136">
        <f t="shared" ca="1" si="2"/>
        <v>135.48060443250662</v>
      </c>
      <c r="J37" s="136">
        <f t="shared" ca="1" si="2"/>
        <v>129.63929563357419</v>
      </c>
      <c r="K37" s="136">
        <f t="shared" ca="1" si="2"/>
        <v>131.05921193925411</v>
      </c>
      <c r="L37" s="136">
        <f t="shared" ca="1" si="2"/>
        <v>131.22067156375945</v>
      </c>
      <c r="M37" s="137">
        <f t="shared" ca="1" si="2"/>
        <v>129.68023231829352</v>
      </c>
      <c r="N37" s="130">
        <f t="shared" ca="1" si="3"/>
        <v>1041.9060705691056</v>
      </c>
      <c r="O37" s="130">
        <f t="shared" ca="1" si="4"/>
        <v>130.2382588211382</v>
      </c>
      <c r="P37"/>
      <c r="Q37" s="297"/>
      <c r="R37"/>
      <c r="S37"/>
    </row>
    <row r="38" spans="4:19" s="210" customFormat="1" ht="15" customHeight="1">
      <c r="D38" s="129">
        <f t="shared" si="5"/>
        <v>13</v>
      </c>
      <c r="E38" s="122" t="str">
        <f t="shared" si="6"/>
        <v>Return</v>
      </c>
      <c r="F38" s="135">
        <f t="shared" ca="1" si="2"/>
        <v>57.244202154393761</v>
      </c>
      <c r="G38" s="136">
        <f t="shared" ca="1" si="2"/>
        <v>58.688355925656531</v>
      </c>
      <c r="H38" s="136">
        <f t="shared" ca="1" si="2"/>
        <v>60.189329485440837</v>
      </c>
      <c r="I38" s="136">
        <f t="shared" ca="1" si="2"/>
        <v>61.37505044630241</v>
      </c>
      <c r="J38" s="136">
        <f t="shared" ca="1" si="2"/>
        <v>62.404222082516519</v>
      </c>
      <c r="K38" s="136">
        <f t="shared" ca="1" si="2"/>
        <v>63.334207103676164</v>
      </c>
      <c r="L38" s="136">
        <f t="shared" ca="1" si="2"/>
        <v>64.147981342078268</v>
      </c>
      <c r="M38" s="137">
        <f t="shared" ca="1" si="2"/>
        <v>64.922606795195932</v>
      </c>
      <c r="N38" s="130">
        <f t="shared" ca="1" si="3"/>
        <v>492.30595533526036</v>
      </c>
      <c r="O38" s="130">
        <f t="shared" ca="1" si="4"/>
        <v>61.538244416907546</v>
      </c>
      <c r="P38"/>
      <c r="Q38" s="297"/>
      <c r="R38"/>
      <c r="S38"/>
    </row>
    <row r="39" spans="4:19" s="210" customFormat="1" ht="15" customHeight="1">
      <c r="D39" s="129">
        <f t="shared" si="5"/>
        <v>14</v>
      </c>
      <c r="E39" s="122" t="str">
        <f t="shared" si="6"/>
        <v>Equity issuance cost</v>
      </c>
      <c r="F39" s="135">
        <f t="shared" ca="1" si="2"/>
        <v>0</v>
      </c>
      <c r="G39" s="136">
        <f t="shared" ca="1" si="2"/>
        <v>0</v>
      </c>
      <c r="H39" s="136">
        <f t="shared" ca="1" si="2"/>
        <v>0</v>
      </c>
      <c r="I39" s="136">
        <f t="shared" ca="1" si="2"/>
        <v>0</v>
      </c>
      <c r="J39" s="136">
        <f t="shared" ca="1" si="2"/>
        <v>0</v>
      </c>
      <c r="K39" s="136">
        <f t="shared" ca="1" si="2"/>
        <v>0</v>
      </c>
      <c r="L39" s="136">
        <f t="shared" ca="1" si="2"/>
        <v>0</v>
      </c>
      <c r="M39" s="137">
        <f t="shared" ca="1" si="2"/>
        <v>0</v>
      </c>
      <c r="N39" s="130">
        <f t="shared" ca="1" si="3"/>
        <v>0</v>
      </c>
      <c r="O39" s="130">
        <f t="shared" ca="1" si="4"/>
        <v>0</v>
      </c>
      <c r="P39"/>
      <c r="Q39" s="297"/>
      <c r="R39"/>
      <c r="S39"/>
    </row>
    <row r="40" spans="4:19" s="210" customFormat="1" ht="15" customHeight="1">
      <c r="D40" s="129">
        <f t="shared" si="5"/>
        <v>15</v>
      </c>
      <c r="E40" s="122" t="str">
        <f t="shared" si="6"/>
        <v>Additional income</v>
      </c>
      <c r="F40" s="135">
        <f t="shared" ca="1" si="2"/>
        <v>0</v>
      </c>
      <c r="G40" s="136">
        <f t="shared" ca="1" si="2"/>
        <v>0</v>
      </c>
      <c r="H40" s="136">
        <f t="shared" ca="1" si="2"/>
        <v>0</v>
      </c>
      <c r="I40" s="136">
        <f t="shared" ca="1" si="2"/>
        <v>0</v>
      </c>
      <c r="J40" s="136">
        <f t="shared" ca="1" si="2"/>
        <v>0</v>
      </c>
      <c r="K40" s="136">
        <f t="shared" ca="1" si="2"/>
        <v>0</v>
      </c>
      <c r="L40" s="136">
        <f t="shared" ca="1" si="2"/>
        <v>0</v>
      </c>
      <c r="M40" s="137">
        <f t="shared" ca="1" si="2"/>
        <v>0</v>
      </c>
      <c r="N40" s="130">
        <f t="shared" ca="1" si="3"/>
        <v>0</v>
      </c>
      <c r="O40" s="130">
        <f t="shared" ca="1" si="4"/>
        <v>0</v>
      </c>
      <c r="P40"/>
      <c r="Q40" s="297"/>
      <c r="R40"/>
      <c r="S40"/>
    </row>
    <row r="41" spans="4:19" s="210" customFormat="1" ht="15" customHeight="1">
      <c r="D41" s="129">
        <f t="shared" si="5"/>
        <v>16</v>
      </c>
      <c r="E41" s="122" t="str">
        <f t="shared" si="6"/>
        <v>Core DARTs</v>
      </c>
      <c r="F41" s="135">
        <f t="shared" ca="1" si="2"/>
        <v>19.368148304193433</v>
      </c>
      <c r="G41" s="136">
        <f t="shared" ca="1" si="2"/>
        <v>14.592654196632846</v>
      </c>
      <c r="H41" s="136">
        <f t="shared" ca="1" si="2"/>
        <v>18.56992898761159</v>
      </c>
      <c r="I41" s="136">
        <f t="shared" ca="1" si="2"/>
        <v>24.405023279697769</v>
      </c>
      <c r="J41" s="136">
        <f t="shared" ca="1" si="2"/>
        <v>39.613423928034422</v>
      </c>
      <c r="K41" s="136">
        <f t="shared" ca="1" si="2"/>
        <v>46.69229918053248</v>
      </c>
      <c r="L41" s="136">
        <f t="shared" ca="1" si="2"/>
        <v>54.753511361654773</v>
      </c>
      <c r="M41" s="137">
        <f t="shared" ca="1" si="2"/>
        <v>65.344387923066535</v>
      </c>
      <c r="N41" s="130">
        <f t="shared" ca="1" si="3"/>
        <v>283.33937716142384</v>
      </c>
      <c r="O41" s="130">
        <f t="shared" ca="1" si="4"/>
        <v>35.41742214517798</v>
      </c>
      <c r="P41"/>
      <c r="Q41" s="297"/>
      <c r="R41"/>
      <c r="S41"/>
    </row>
    <row r="42" spans="4:19" s="210" customFormat="1" ht="15" customHeight="1">
      <c r="D42" s="129">
        <f t="shared" si="5"/>
        <v>17</v>
      </c>
      <c r="E42" s="122" t="str">
        <f t="shared" si="6"/>
        <v>Tax allowance</v>
      </c>
      <c r="F42" s="135">
        <f t="shared" ca="1" si="2"/>
        <v>15.277879298174241</v>
      </c>
      <c r="G42" s="136">
        <f t="shared" ca="1" si="2"/>
        <v>15.517263489778957</v>
      </c>
      <c r="H42" s="136">
        <f t="shared" ca="1" si="2"/>
        <v>15.851107595271136</v>
      </c>
      <c r="I42" s="136">
        <f t="shared" ca="1" si="2"/>
        <v>16.735002379861289</v>
      </c>
      <c r="J42" s="136">
        <f t="shared" ca="1" si="2"/>
        <v>18.137125935255749</v>
      </c>
      <c r="K42" s="136">
        <f t="shared" ca="1" si="2"/>
        <v>19.683899091638025</v>
      </c>
      <c r="L42" s="136">
        <f t="shared" ca="1" si="2"/>
        <v>21.826389190564619</v>
      </c>
      <c r="M42" s="137">
        <f t="shared" ca="1" si="2"/>
        <v>23.83148150101951</v>
      </c>
      <c r="N42" s="130">
        <f t="shared" ca="1" si="3"/>
        <v>146.86014848156353</v>
      </c>
      <c r="O42" s="130">
        <f t="shared" ca="1" si="4"/>
        <v>18.357518560195441</v>
      </c>
      <c r="P42"/>
      <c r="Q42" s="297"/>
      <c r="R42"/>
      <c r="S42"/>
    </row>
    <row r="43" spans="4:19" s="210" customFormat="1" ht="15" customHeight="1">
      <c r="D43" s="123"/>
      <c r="E43" s="124" t="s">
        <v>167</v>
      </c>
      <c r="F43" s="131"/>
      <c r="G43" s="132"/>
      <c r="H43" s="132"/>
      <c r="I43" s="132"/>
      <c r="J43" s="132"/>
      <c r="K43" s="132"/>
      <c r="L43" s="132"/>
      <c r="M43" s="133"/>
      <c r="N43" s="134"/>
      <c r="O43" s="134"/>
      <c r="P43"/>
      <c r="Q43" s="297"/>
      <c r="R43"/>
      <c r="S43"/>
    </row>
    <row r="44" spans="4:19" s="210" customFormat="1" ht="15" customHeight="1">
      <c r="D44" s="129">
        <f>D42+1</f>
        <v>18</v>
      </c>
      <c r="E44" s="122" t="str">
        <f>Revenue!E13</f>
        <v>Fast pot expenditure</v>
      </c>
      <c r="F44" s="135">
        <f>Revenue!AJ13</f>
        <v>73.990914493987702</v>
      </c>
      <c r="G44" s="136">
        <f>Revenue!AK13</f>
        <v>80.888013325399243</v>
      </c>
      <c r="H44" s="136">
        <f>Revenue!AL13</f>
        <v>78.884765794529727</v>
      </c>
      <c r="I44" s="136">
        <f>Revenue!AM13</f>
        <v>76.303699063604512</v>
      </c>
      <c r="J44" s="136">
        <f>Revenue!AN13</f>
        <v>73.984073338710544</v>
      </c>
      <c r="K44" s="136">
        <f>Revenue!AO13</f>
        <v>71.699642783345297</v>
      </c>
      <c r="L44" s="136">
        <f>Revenue!AP13</f>
        <v>71.905398021524775</v>
      </c>
      <c r="M44" s="137">
        <f>Revenue!AQ13</f>
        <v>70.056262481492155</v>
      </c>
      <c r="N44" s="130">
        <f t="shared" ref="N44:N51" si="7">SUM(F44:M44)</f>
        <v>597.71276930259398</v>
      </c>
      <c r="O44" s="130">
        <f t="shared" ref="O44:O51" si="8">IFERROR(AVERAGE(F44:M44), 0 )</f>
        <v>74.714096162824248</v>
      </c>
      <c r="P44"/>
      <c r="Q44" s="297"/>
      <c r="R44"/>
      <c r="S44"/>
    </row>
    <row r="45" spans="4:19" s="210" customFormat="1" ht="15" customHeight="1">
      <c r="D45" s="129">
        <f t="shared" ref="D45:D51" si="9">+D44+1</f>
        <v>19</v>
      </c>
      <c r="E45" s="122" t="str">
        <f>Revenue!E14</f>
        <v xml:space="preserve">Non-controllable opex </v>
      </c>
      <c r="F45" s="135">
        <f>Revenue!AJ14</f>
        <v>33.603943550905051</v>
      </c>
      <c r="G45" s="136">
        <f>Revenue!AK14</f>
        <v>34.133943550905052</v>
      </c>
      <c r="H45" s="136">
        <f>Revenue!AL14</f>
        <v>35.827276884238387</v>
      </c>
      <c r="I45" s="136">
        <f>Revenue!AM14</f>
        <v>36.160610217571715</v>
      </c>
      <c r="J45" s="136">
        <f>Revenue!AN14</f>
        <v>36.03394355090505</v>
      </c>
      <c r="K45" s="136">
        <f>Revenue!AO14</f>
        <v>37.000610217571719</v>
      </c>
      <c r="L45" s="136">
        <f>Revenue!AP14</f>
        <v>35.538164106782752</v>
      </c>
      <c r="M45" s="137">
        <f>Revenue!AQ14</f>
        <v>35.748164106782752</v>
      </c>
      <c r="N45" s="130">
        <f t="shared" si="7"/>
        <v>284.04665618566241</v>
      </c>
      <c r="O45" s="130">
        <f t="shared" si="8"/>
        <v>35.505832023207802</v>
      </c>
      <c r="P45"/>
      <c r="Q45" s="297"/>
      <c r="R45"/>
      <c r="S45"/>
    </row>
    <row r="46" spans="4:19" s="210" customFormat="1" ht="15" customHeight="1">
      <c r="D46" s="129">
        <f t="shared" si="9"/>
        <v>20</v>
      </c>
      <c r="E46" s="122" t="str">
        <f>Revenue!E15</f>
        <v>RAV depreciation</v>
      </c>
      <c r="F46" s="135">
        <f>Revenue!AJ15</f>
        <v>124.24582509195155</v>
      </c>
      <c r="G46" s="136">
        <f>Revenue!AK15</f>
        <v>128.58758374279918</v>
      </c>
      <c r="H46" s="136">
        <f>Revenue!AL15</f>
        <v>131.99264584696695</v>
      </c>
      <c r="I46" s="136">
        <f>Revenue!AM15</f>
        <v>135.48060443250662</v>
      </c>
      <c r="J46" s="136">
        <f>Revenue!AN15</f>
        <v>129.63929563357419</v>
      </c>
      <c r="K46" s="136">
        <f>Revenue!AO15</f>
        <v>131.05921193925411</v>
      </c>
      <c r="L46" s="136">
        <f>Revenue!AP15</f>
        <v>131.22067156375945</v>
      </c>
      <c r="M46" s="137">
        <f>Revenue!AQ15</f>
        <v>129.68023231829352</v>
      </c>
      <c r="N46" s="130">
        <f t="shared" si="7"/>
        <v>1041.9060705691056</v>
      </c>
      <c r="O46" s="130">
        <f t="shared" si="8"/>
        <v>130.2382588211382</v>
      </c>
      <c r="P46"/>
      <c r="Q46" s="297"/>
      <c r="R46"/>
      <c r="S46"/>
    </row>
    <row r="47" spans="4:19" s="210" customFormat="1" ht="15" customHeight="1">
      <c r="D47" s="129">
        <f t="shared" si="9"/>
        <v>21</v>
      </c>
      <c r="E47" s="122" t="str">
        <f>Revenue!E16</f>
        <v>Return</v>
      </c>
      <c r="F47" s="135">
        <f>Revenue!AJ16</f>
        <v>57.244202154393761</v>
      </c>
      <c r="G47" s="136">
        <f>Revenue!AK16</f>
        <v>58.688355925656531</v>
      </c>
      <c r="H47" s="136">
        <f>Revenue!AL16</f>
        <v>60.189329485440837</v>
      </c>
      <c r="I47" s="136">
        <f>Revenue!AM16</f>
        <v>61.37505044630241</v>
      </c>
      <c r="J47" s="136">
        <f>Revenue!AN16</f>
        <v>62.404222082516519</v>
      </c>
      <c r="K47" s="136">
        <f>Revenue!AO16</f>
        <v>63.334207103676164</v>
      </c>
      <c r="L47" s="136">
        <f>Revenue!AP16</f>
        <v>64.147981342078268</v>
      </c>
      <c r="M47" s="137">
        <f>Revenue!AQ16</f>
        <v>64.922606795195932</v>
      </c>
      <c r="N47" s="130">
        <f t="shared" si="7"/>
        <v>492.30595533526036</v>
      </c>
      <c r="O47" s="130">
        <f t="shared" si="8"/>
        <v>61.538244416907546</v>
      </c>
      <c r="P47"/>
      <c r="Q47" s="297"/>
      <c r="R47"/>
      <c r="S47"/>
    </row>
    <row r="48" spans="4:19" s="210" customFormat="1" ht="15" customHeight="1">
      <c r="D48" s="129">
        <f t="shared" si="9"/>
        <v>22</v>
      </c>
      <c r="E48" s="122" t="str">
        <f>Revenue!E17</f>
        <v>Equity issuance cost</v>
      </c>
      <c r="F48" s="135">
        <f>Revenue!AJ17</f>
        <v>0</v>
      </c>
      <c r="G48" s="136">
        <f>Revenue!AK17</f>
        <v>0</v>
      </c>
      <c r="H48" s="136">
        <f>Revenue!AL17</f>
        <v>0</v>
      </c>
      <c r="I48" s="136">
        <f>Revenue!AM17</f>
        <v>0</v>
      </c>
      <c r="J48" s="136">
        <f>Revenue!AN17</f>
        <v>0</v>
      </c>
      <c r="K48" s="136">
        <f>Revenue!AO17</f>
        <v>0</v>
      </c>
      <c r="L48" s="136">
        <f>Revenue!AP17</f>
        <v>0</v>
      </c>
      <c r="M48" s="137">
        <f>Revenue!AQ17</f>
        <v>0</v>
      </c>
      <c r="N48" s="130">
        <f t="shared" si="7"/>
        <v>0</v>
      </c>
      <c r="O48" s="130">
        <f t="shared" si="8"/>
        <v>0</v>
      </c>
      <c r="P48"/>
      <c r="Q48" s="297"/>
      <c r="R48"/>
      <c r="S48"/>
    </row>
    <row r="49" spans="3:19" s="210" customFormat="1" ht="15" customHeight="1">
      <c r="D49" s="129">
        <f t="shared" si="9"/>
        <v>23</v>
      </c>
      <c r="E49" s="122" t="str">
        <f>Revenue!E18</f>
        <v>Additional income</v>
      </c>
      <c r="F49" s="135">
        <f>Revenue!AJ18</f>
        <v>0</v>
      </c>
      <c r="G49" s="136">
        <f>Revenue!AK18</f>
        <v>0</v>
      </c>
      <c r="H49" s="136">
        <f>Revenue!AL18</f>
        <v>0</v>
      </c>
      <c r="I49" s="136">
        <f>Revenue!AM18</f>
        <v>0</v>
      </c>
      <c r="J49" s="136">
        <f>Revenue!AN18</f>
        <v>0</v>
      </c>
      <c r="K49" s="136">
        <f>Revenue!AO18</f>
        <v>0</v>
      </c>
      <c r="L49" s="136">
        <f>Revenue!AP18</f>
        <v>0</v>
      </c>
      <c r="M49" s="137">
        <f>Revenue!AQ18</f>
        <v>0</v>
      </c>
      <c r="N49" s="130">
        <f t="shared" si="7"/>
        <v>0</v>
      </c>
      <c r="O49" s="130">
        <f t="shared" si="8"/>
        <v>0</v>
      </c>
      <c r="P49"/>
      <c r="Q49" s="297"/>
      <c r="R49"/>
      <c r="S49"/>
    </row>
    <row r="50" spans="3:19" s="210" customFormat="1" ht="15" customHeight="1">
      <c r="D50" s="129">
        <f t="shared" si="9"/>
        <v>24</v>
      </c>
      <c r="E50" s="122" t="str">
        <f>Revenue!E19</f>
        <v>Core DARTs</v>
      </c>
      <c r="F50" s="135">
        <f>Revenue!AJ19</f>
        <v>19.368148304193433</v>
      </c>
      <c r="G50" s="136">
        <f>Revenue!AK19</f>
        <v>14.592654196632846</v>
      </c>
      <c r="H50" s="136">
        <f>Revenue!AL19</f>
        <v>18.56992898761159</v>
      </c>
      <c r="I50" s="136">
        <f>Revenue!AM19</f>
        <v>24.405023279697769</v>
      </c>
      <c r="J50" s="136">
        <f>Revenue!AN19</f>
        <v>39.613423928034422</v>
      </c>
      <c r="K50" s="136">
        <f>Revenue!AO19</f>
        <v>46.69229918053248</v>
      </c>
      <c r="L50" s="136">
        <f>Revenue!AP19</f>
        <v>54.753511361654773</v>
      </c>
      <c r="M50" s="137">
        <f>Revenue!AQ19</f>
        <v>65.344387923066535</v>
      </c>
      <c r="N50" s="130">
        <f t="shared" si="7"/>
        <v>283.33937716142384</v>
      </c>
      <c r="O50" s="130">
        <f t="shared" si="8"/>
        <v>35.41742214517798</v>
      </c>
      <c r="P50"/>
      <c r="Q50" s="297"/>
      <c r="R50"/>
      <c r="S50"/>
    </row>
    <row r="51" spans="3:19" s="210" customFormat="1" ht="15" customHeight="1">
      <c r="D51" s="129">
        <f t="shared" si="9"/>
        <v>25</v>
      </c>
      <c r="E51" s="122" t="str">
        <f>Revenue!E21</f>
        <v>Tax allowance</v>
      </c>
      <c r="F51" s="135">
        <f>Revenue!AJ21</f>
        <v>15.277879298174241</v>
      </c>
      <c r="G51" s="136">
        <f>Revenue!AK21</f>
        <v>15.517263489778957</v>
      </c>
      <c r="H51" s="136">
        <f>Revenue!AL21</f>
        <v>15.851107595271136</v>
      </c>
      <c r="I51" s="136">
        <f>Revenue!AM21</f>
        <v>16.735002379861289</v>
      </c>
      <c r="J51" s="136">
        <f>Revenue!AN21</f>
        <v>18.137125935255749</v>
      </c>
      <c r="K51" s="136">
        <f>Revenue!AO21</f>
        <v>19.683899091638025</v>
      </c>
      <c r="L51" s="136">
        <f>Revenue!AP21</f>
        <v>21.826389190564619</v>
      </c>
      <c r="M51" s="137">
        <f>Revenue!AQ21</f>
        <v>23.83148150101951</v>
      </c>
      <c r="N51" s="130">
        <f t="shared" si="7"/>
        <v>146.86014848156353</v>
      </c>
      <c r="O51" s="130">
        <f t="shared" si="8"/>
        <v>18.357518560195441</v>
      </c>
      <c r="P51"/>
      <c r="Q51" s="297"/>
      <c r="R51"/>
      <c r="S51"/>
    </row>
    <row r="52" spans="3:19" s="210" customFormat="1" ht="15" customHeight="1">
      <c r="D52" s="123"/>
      <c r="E52" s="124" t="s">
        <v>20</v>
      </c>
      <c r="F52" s="131"/>
      <c r="G52" s="132"/>
      <c r="H52" s="132"/>
      <c r="I52" s="132"/>
      <c r="J52" s="132"/>
      <c r="K52" s="132"/>
      <c r="L52" s="132"/>
      <c r="M52" s="133"/>
      <c r="N52" s="254"/>
      <c r="O52" s="138"/>
      <c r="P52"/>
      <c r="Q52" s="297"/>
      <c r="R52"/>
      <c r="S52"/>
    </row>
    <row r="53" spans="3:19" s="210" customFormat="1" ht="15" customHeight="1">
      <c r="D53" s="129">
        <f>D51+1</f>
        <v>26</v>
      </c>
      <c r="E53" s="122" t="s">
        <v>505</v>
      </c>
      <c r="F53" s="135">
        <f t="shared" ref="F53:M53" ca="1" si="10">F64</f>
        <v>323.7309128936057</v>
      </c>
      <c r="G53" s="136">
        <f t="shared" ca="1" si="10"/>
        <v>332.40781423117181</v>
      </c>
      <c r="H53" s="136">
        <f t="shared" ca="1" si="10"/>
        <v>341.31505459405861</v>
      </c>
      <c r="I53" s="136">
        <f t="shared" ca="1" si="10"/>
        <v>350.45998981954432</v>
      </c>
      <c r="J53" s="136">
        <f t="shared" ca="1" si="10"/>
        <v>359.81208446899649</v>
      </c>
      <c r="K53" s="136">
        <f t="shared" ca="1" si="10"/>
        <v>369.46987031601776</v>
      </c>
      <c r="L53" s="136">
        <f t="shared" ca="1" si="10"/>
        <v>379.39211558636464</v>
      </c>
      <c r="M53" s="137">
        <f t="shared" ca="1" si="10"/>
        <v>389.58313512585039</v>
      </c>
      <c r="N53" s="130">
        <f ca="1">SUM(F53:M53)</f>
        <v>2846.1709770356097</v>
      </c>
      <c r="O53" s="130">
        <f ca="1">IFERROR(AVERAGE(F53:M53), 0 )</f>
        <v>355.77137212945121</v>
      </c>
      <c r="P53"/>
      <c r="Q53" s="297"/>
      <c r="R53"/>
      <c r="S53"/>
    </row>
    <row r="54" spans="3:19" s="210" customFormat="1" ht="15" customHeight="1">
      <c r="D54" s="129">
        <f t="shared" ref="D54:D59" si="11">+D53+1</f>
        <v>27</v>
      </c>
      <c r="E54" s="122" t="s">
        <v>60</v>
      </c>
      <c r="F54" s="135">
        <f ca="1">IF(F$21=$F$19,Revenue!AJ61,IF(F$21 &lt; $F$19,OFFSET(m_results_01, ($F$11 * ($F$10 - 1)) + ROW($D73) + ((F$21 - $F$21)/365) - ROW(m_live_results), COLUMN(F$21) - COLUMN(m_live_results)), 0))</f>
        <v>0</v>
      </c>
      <c r="G54" s="136">
        <f ca="1">IF(G$21=$F$19,Revenue!AK61,IF(G$21 &lt; $F$19,OFFSET(m_results_01, ($F$11 * ($F$10 - 1)) + ROW($D73) + ((G$21 - $F$21)/365) - ROW(m_live_results), COLUMN(G$21) - COLUMN(m_live_results)), 0))</f>
        <v>0</v>
      </c>
      <c r="H54" s="136">
        <f ca="1">IF(H$21=$F$19,Revenue!AL61,IF(H$21 &lt; $F$19,OFFSET(m_results_01, ($F$11 * ($F$10 - 1)) + ROW($D73) + ((H$21 - $F$21)/365) - ROW(m_live_results), COLUMN(H$21) - COLUMN(m_live_results)), 0))</f>
        <v>0</v>
      </c>
      <c r="I54" s="136">
        <f ca="1">IF(I$21=$F$19,Revenue!AM61,IF(I$21 &lt; $F$19,OFFSET(m_results_01, ($F$11 * ($F$10 - 1)) + ROW($D73) + ((I$21 - $F$21)/365) - ROW(m_live_results), COLUMN(I$21) - COLUMN(m_live_results)), 0))</f>
        <v>0</v>
      </c>
      <c r="J54" s="136">
        <f ca="1">IF(J$21=$F$19,Revenue!AN61,IF(J$21 &lt; $F$19,OFFSET(m_results_01, ($F$11 * ($F$10 - 1)) + ROW($D73) + ((J$21 - $F$21)/365) - ROW(m_live_results), COLUMN(J$21) - COLUMN(m_live_results)), 0))</f>
        <v>0</v>
      </c>
      <c r="K54" s="136">
        <f ca="1">IF(K$21=$F$19,Revenue!AO61,IF(K$21 &lt; $F$19,OFFSET(m_results_01, ($F$11 * ($F$10 - 1)) + ROW($D73) + ((K$21 - $F$21)/365) - ROW(m_live_results), COLUMN(K$21) - COLUMN(m_live_results)), 0))</f>
        <v>0</v>
      </c>
      <c r="L54" s="136">
        <f ca="1">IF(L$21=$F$19,Revenue!AP61,IF(L$21 &lt; $F$19,OFFSET(m_results_01, ($F$11 * ($F$10 - 1)) + ROW($D73) + ((L$21 - $F$21)/365) - ROW(m_live_results), COLUMN(L$21) - COLUMN(m_live_results)), 0))</f>
        <v>0</v>
      </c>
      <c r="M54" s="137">
        <f ca="1">IF(M$21=$F$19,Revenue!AQ61,IF(M$21 &lt; $F$19,OFFSET(m_results_01, ($F$11 * ($F$10 - 1)) + ROW($D73) + ((M$21 - $F$21)/365) - ROW(m_live_results), COLUMN(M$21) - COLUMN(m_live_results)), 0))</f>
        <v>0</v>
      </c>
      <c r="N54" s="130">
        <f ca="1">SUM(F54:M54)</f>
        <v>0</v>
      </c>
      <c r="O54" s="130">
        <f ca="1">IFERROR(AVERAGE(F54:M54), 0 )</f>
        <v>0</v>
      </c>
      <c r="P54"/>
      <c r="Q54" s="297"/>
      <c r="R54"/>
      <c r="S54"/>
    </row>
    <row r="55" spans="3:19" s="210" customFormat="1" ht="15" customHeight="1">
      <c r="D55" s="129">
        <f t="shared" si="11"/>
        <v>28</v>
      </c>
      <c r="E55" s="122" t="s">
        <v>45</v>
      </c>
      <c r="F55" s="139">
        <f ca="1">IF(F$21 = $F$19, Revenue!AJ54, IF(F$21 &lt; $F$19, OFFSET(m_results_01, ($F$11 * ($F$10 - 1)) + ROW($D55) - ROW(m_live_results), COLUMN(F$21) - COLUMN(m_live_results)), F53))</f>
        <v>323.7309128936057</v>
      </c>
      <c r="G55" s="136">
        <f ca="1">IF(G$21 = $F$19, Revenue!AK54, IF(G$21 &lt; $F$19, OFFSET(m_results_01, ($F$11 * ($F$10 - 1)) + ROW($D55) - ROW(m_live_results), COLUMN(G$21) - COLUMN(m_live_results)), G53))</f>
        <v>332.40781423117181</v>
      </c>
      <c r="H55" s="136">
        <f ca="1">IF(H$21 = $F$19, Revenue!AL54, IF(H$21 &lt; $F$19, OFFSET(m_results_01, ($F$11 * ($F$10 - 1)) + ROW($D55) - ROW(m_live_results), COLUMN(H$21) - COLUMN(m_live_results)), H53))</f>
        <v>341.31505459405861</v>
      </c>
      <c r="I55" s="136">
        <f ca="1">IF(I$21 = $F$19, Revenue!AM54, IF(I$21 &lt; $F$19, OFFSET(m_results_01, ($F$11 * ($F$10 - 1)) + ROW($D55) - ROW(m_live_results), COLUMN(I$21) - COLUMN(m_live_results)), I53))</f>
        <v>350.45998981954432</v>
      </c>
      <c r="J55" s="136">
        <f ca="1">IF(J$21 = $F$19, Revenue!AN54, IF(J$21 &lt; $F$19, OFFSET(m_results_01, ($F$11 * ($F$10 - 1)) + ROW($D55) - ROW(m_live_results), COLUMN(J$21) - COLUMN(m_live_results)), J53))</f>
        <v>359.81208446899649</v>
      </c>
      <c r="K55" s="136">
        <f ca="1">IF(K$21 = $F$19, Revenue!AO54, IF(K$21 &lt; $F$19, OFFSET(m_results_01, ($F$11 * ($F$10 - 1)) + ROW($D55) - ROW(m_live_results), COLUMN(K$21) - COLUMN(m_live_results)), K53))</f>
        <v>369.46987031601776</v>
      </c>
      <c r="L55" s="136">
        <f ca="1">IF(L$21 = $F$19, Revenue!AP54, IF(L$21 &lt; $F$19, OFFSET(m_results_01, ($F$11 * ($F$10 - 1)) + ROW($D55) - ROW(m_live_results), COLUMN(L$21) - COLUMN(m_live_results)), L53))</f>
        <v>379.39211558636464</v>
      </c>
      <c r="M55" s="137">
        <f ca="1">IF(M$21 = $F$19, Revenue!AQ54, IF(M$21 &lt; $F$19, OFFSET(m_results_01, ($F$11 * ($F$10 - 1)) + ROW($D55) - ROW(m_live_results), COLUMN(M$21) - COLUMN(m_live_results)), M53))</f>
        <v>389.58313512585039</v>
      </c>
      <c r="N55" s="130">
        <f ca="1">SUM(F55:M55)</f>
        <v>2846.1709770356097</v>
      </c>
      <c r="O55" s="130">
        <f ca="1">IFERROR(AVERAGE(F55:M55), 0 )</f>
        <v>355.77137212945121</v>
      </c>
      <c r="P55"/>
      <c r="Q55" s="297"/>
      <c r="R55"/>
      <c r="S55"/>
    </row>
    <row r="56" spans="3:19" s="210" customFormat="1" ht="15" customHeight="1">
      <c r="D56" s="129">
        <f t="shared" si="11"/>
        <v>29</v>
      </c>
      <c r="E56" s="122" t="s">
        <v>521</v>
      </c>
      <c r="F56" s="139"/>
      <c r="G56" s="136"/>
      <c r="H56" s="136"/>
      <c r="I56" s="136"/>
      <c r="J56" s="136"/>
      <c r="K56" s="136"/>
      <c r="L56" s="136"/>
      <c r="M56" s="137"/>
      <c r="N56" s="130"/>
      <c r="O56" s="130"/>
      <c r="P56"/>
      <c r="Q56" s="297"/>
      <c r="R56"/>
      <c r="S56"/>
    </row>
    <row r="57" spans="3:19" s="210" customFormat="1" ht="15" customHeight="1">
      <c r="D57" s="129">
        <f>+D56+1</f>
        <v>30</v>
      </c>
      <c r="E57" s="122" t="s">
        <v>521</v>
      </c>
      <c r="F57" s="139"/>
      <c r="G57" s="136"/>
      <c r="H57" s="136"/>
      <c r="I57" s="136"/>
      <c r="J57" s="136"/>
      <c r="K57" s="136"/>
      <c r="L57" s="136"/>
      <c r="M57" s="137"/>
      <c r="N57" s="130"/>
      <c r="O57" s="130"/>
      <c r="P57"/>
      <c r="Q57" s="297"/>
      <c r="R57"/>
      <c r="S57"/>
    </row>
    <row r="58" spans="3:19" s="210" customFormat="1" ht="15" customHeight="1">
      <c r="D58" s="129">
        <f>+D57+1</f>
        <v>31</v>
      </c>
      <c r="E58" s="122" t="s">
        <v>729</v>
      </c>
      <c r="F58" s="139">
        <f>Input!AJ253</f>
        <v>0</v>
      </c>
      <c r="G58" s="136">
        <f>Input!AK253</f>
        <v>0</v>
      </c>
      <c r="H58" s="136">
        <f>Input!AL253</f>
        <v>0</v>
      </c>
      <c r="I58" s="136">
        <f>Input!AM253</f>
        <v>0</v>
      </c>
      <c r="J58" s="136">
        <f>Input!AN253</f>
        <v>0</v>
      </c>
      <c r="K58" s="136">
        <f>Input!AO253</f>
        <v>0</v>
      </c>
      <c r="L58" s="136">
        <f>Input!AP253</f>
        <v>0</v>
      </c>
      <c r="M58" s="137">
        <f>Input!AQ253</f>
        <v>0</v>
      </c>
      <c r="N58" s="130">
        <f t="shared" ref="N58" si="12">SUM(F58:M58)</f>
        <v>0</v>
      </c>
      <c r="O58" s="130">
        <f t="shared" ref="O58" si="13">IFERROR(AVERAGE(F58:M58), 0 )</f>
        <v>0</v>
      </c>
      <c r="P58"/>
      <c r="Q58" s="297"/>
      <c r="R58"/>
      <c r="S58"/>
    </row>
    <row r="59" spans="3:19" s="210" customFormat="1" ht="15" customHeight="1">
      <c r="D59" s="129">
        <f t="shared" si="11"/>
        <v>32</v>
      </c>
      <c r="E59" s="122" t="s">
        <v>10</v>
      </c>
      <c r="F59" s="139">
        <f t="shared" ref="F59:M59" ca="1" si="14">SUM(F55:F58)</f>
        <v>323.7309128936057</v>
      </c>
      <c r="G59" s="136">
        <f t="shared" ca="1" si="14"/>
        <v>332.40781423117181</v>
      </c>
      <c r="H59" s="136">
        <f t="shared" ca="1" si="14"/>
        <v>341.31505459405861</v>
      </c>
      <c r="I59" s="136">
        <f t="shared" ca="1" si="14"/>
        <v>350.45998981954432</v>
      </c>
      <c r="J59" s="136">
        <f t="shared" ca="1" si="14"/>
        <v>359.81208446899649</v>
      </c>
      <c r="K59" s="136">
        <f t="shared" ca="1" si="14"/>
        <v>369.46987031601776</v>
      </c>
      <c r="L59" s="136">
        <f t="shared" ca="1" si="14"/>
        <v>379.39211558636464</v>
      </c>
      <c r="M59" s="431">
        <f t="shared" ca="1" si="14"/>
        <v>389.58313512585039</v>
      </c>
      <c r="N59" s="130">
        <f ca="1">SUM(F59:M59)</f>
        <v>2846.1709770356097</v>
      </c>
      <c r="O59" s="130">
        <f ca="1">IFERROR(AVERAGE(F59:M59), 0 )</f>
        <v>355.77137212945121</v>
      </c>
      <c r="P59"/>
      <c r="Q59" s="297"/>
      <c r="R59"/>
      <c r="S59"/>
    </row>
    <row r="60" spans="3:19" ht="15" customHeight="1">
      <c r="C60" s="210"/>
      <c r="D60" s="123"/>
      <c r="E60" s="124" t="s">
        <v>176</v>
      </c>
      <c r="F60" s="131"/>
      <c r="G60" s="132"/>
      <c r="H60" s="132"/>
      <c r="I60" s="132"/>
      <c r="J60" s="132"/>
      <c r="K60" s="203"/>
      <c r="L60" s="132"/>
      <c r="M60" s="133"/>
      <c r="N60" s="254"/>
      <c r="O60" s="138"/>
      <c r="Q60" s="297"/>
    </row>
    <row r="61" spans="3:19" s="210" customFormat="1" ht="15" customHeight="1">
      <c r="D61" s="129">
        <f>D59+1</f>
        <v>33</v>
      </c>
      <c r="E61" s="122" t="s">
        <v>176</v>
      </c>
      <c r="F61" s="135">
        <f>Revenue!AJ22</f>
        <v>323.7309128936057</v>
      </c>
      <c r="G61" s="136">
        <f>Revenue!AK22</f>
        <v>332.40781423117181</v>
      </c>
      <c r="H61" s="136">
        <f>Revenue!AL22</f>
        <v>341.31505459405861</v>
      </c>
      <c r="I61" s="136">
        <f>Revenue!AM22</f>
        <v>350.45998981954432</v>
      </c>
      <c r="J61" s="136">
        <f>Revenue!AN22</f>
        <v>359.81208446899649</v>
      </c>
      <c r="K61" s="136">
        <f>Revenue!AO22</f>
        <v>369.46987031601776</v>
      </c>
      <c r="L61" s="136">
        <f>Revenue!AP22</f>
        <v>379.39211558636464</v>
      </c>
      <c r="M61" s="137">
        <f>Revenue!AQ22</f>
        <v>389.58313512585039</v>
      </c>
      <c r="N61" s="130">
        <f>SUM(F61:M61)</f>
        <v>2846.1709770356097</v>
      </c>
      <c r="O61" s="130">
        <f>IFERROR(AVERAGE(F61:M61), 0 )</f>
        <v>355.77137212945121</v>
      </c>
      <c r="P61"/>
      <c r="Q61" s="297"/>
      <c r="R61"/>
      <c r="S61"/>
    </row>
    <row r="62" spans="3:19" s="210" customFormat="1" ht="15" customHeight="1">
      <c r="D62" s="129">
        <f>+D61+1</f>
        <v>34</v>
      </c>
      <c r="E62" s="122" t="s">
        <v>191</v>
      </c>
      <c r="F62" s="135">
        <f t="shared" ref="F62:M62" ca="1" si="15">IF($F$12=1, 0,  OFFSET(F64, $F$12 - 2, 0))</f>
        <v>0</v>
      </c>
      <c r="G62" s="136">
        <f t="shared" ca="1" si="15"/>
        <v>0</v>
      </c>
      <c r="H62" s="136">
        <f t="shared" ca="1" si="15"/>
        <v>0</v>
      </c>
      <c r="I62" s="136">
        <f t="shared" ca="1" si="15"/>
        <v>0</v>
      </c>
      <c r="J62" s="136">
        <f t="shared" ca="1" si="15"/>
        <v>0</v>
      </c>
      <c r="K62" s="136">
        <f t="shared" ca="1" si="15"/>
        <v>0</v>
      </c>
      <c r="L62" s="136">
        <f t="shared" ca="1" si="15"/>
        <v>0</v>
      </c>
      <c r="M62" s="137">
        <f t="shared" ca="1" si="15"/>
        <v>0</v>
      </c>
      <c r="N62" s="130">
        <f ca="1">SUM(F62:M62)</f>
        <v>0</v>
      </c>
      <c r="O62" s="130">
        <f ca="1">IFERROR(AVERAGE(F62:M62), 0 )</f>
        <v>0</v>
      </c>
      <c r="P62"/>
      <c r="Q62" s="297"/>
      <c r="R62"/>
      <c r="S62"/>
    </row>
    <row r="63" spans="3:19" ht="15" customHeight="1">
      <c r="D63" s="123"/>
      <c r="E63" s="124" t="s">
        <v>302</v>
      </c>
      <c r="F63" s="131"/>
      <c r="G63" s="132"/>
      <c r="H63" s="132"/>
      <c r="I63" s="132"/>
      <c r="J63" s="132"/>
      <c r="K63" s="203"/>
      <c r="L63" s="132"/>
      <c r="M63" s="133"/>
      <c r="N63" s="254"/>
      <c r="O63" s="138"/>
      <c r="Q63" s="297"/>
    </row>
    <row r="64" spans="3:19" ht="15" customHeight="1">
      <c r="D64" s="129">
        <f>D62+1</f>
        <v>35</v>
      </c>
      <c r="E64" s="206">
        <v>42460</v>
      </c>
      <c r="F64" s="139">
        <f t="shared" ref="F64:M71" ca="1" si="16">IF($E64 = $F$19, F$61, IF($E64 &lt; $F$19,OFFSET(m_results_01, ($F$11 * ($F$10 - 1)) + ROW($D64) - ROW(m_live_results), COLUMN(F$21) - COLUMN(m_live_results)), ""))</f>
        <v>323.7309128936057</v>
      </c>
      <c r="G64" s="136">
        <f t="shared" ca="1" si="16"/>
        <v>332.40781423117181</v>
      </c>
      <c r="H64" s="136">
        <f t="shared" ca="1" si="16"/>
        <v>341.31505459405861</v>
      </c>
      <c r="I64" s="136">
        <f t="shared" ca="1" si="16"/>
        <v>350.45998981954432</v>
      </c>
      <c r="J64" s="136">
        <f t="shared" ca="1" si="16"/>
        <v>359.81208446899649</v>
      </c>
      <c r="K64" s="136">
        <f t="shared" ca="1" si="16"/>
        <v>369.46987031601776</v>
      </c>
      <c r="L64" s="136">
        <f t="shared" ca="1" si="16"/>
        <v>379.39211558636464</v>
      </c>
      <c r="M64" s="137">
        <f t="shared" ca="1" si="16"/>
        <v>389.58313512585039</v>
      </c>
      <c r="N64" s="130">
        <f t="shared" ref="N64:N71" ca="1" si="17">SUM(F64:M64)</f>
        <v>2846.1709770356097</v>
      </c>
      <c r="O64" s="130">
        <f t="shared" ref="O64:O71" ca="1" si="18">IFERROR(AVERAGE(F64:M64), 0 )</f>
        <v>355.77137212945121</v>
      </c>
      <c r="Q64" s="297"/>
    </row>
    <row r="65" spans="4:17" ht="15" customHeight="1">
      <c r="D65" s="129">
        <f>+D64+1</f>
        <v>36</v>
      </c>
      <c r="E65" s="206">
        <v>42825</v>
      </c>
      <c r="F65" s="139" t="str">
        <f t="shared" ca="1" si="16"/>
        <v/>
      </c>
      <c r="G65" s="136" t="str">
        <f t="shared" ca="1" si="16"/>
        <v/>
      </c>
      <c r="H65" s="136" t="str">
        <f t="shared" ca="1" si="16"/>
        <v/>
      </c>
      <c r="I65" s="136" t="str">
        <f t="shared" ca="1" si="16"/>
        <v/>
      </c>
      <c r="J65" s="136" t="str">
        <f t="shared" ca="1" si="16"/>
        <v/>
      </c>
      <c r="K65" s="136" t="str">
        <f t="shared" ca="1" si="16"/>
        <v/>
      </c>
      <c r="L65" s="136" t="str">
        <f t="shared" ca="1" si="16"/>
        <v/>
      </c>
      <c r="M65" s="137" t="str">
        <f t="shared" ca="1" si="16"/>
        <v/>
      </c>
      <c r="N65" s="130">
        <f t="shared" ca="1" si="17"/>
        <v>0</v>
      </c>
      <c r="O65" s="130">
        <f t="shared" ca="1" si="18"/>
        <v>0</v>
      </c>
      <c r="Q65" s="297"/>
    </row>
    <row r="66" spans="4:17" ht="15" customHeight="1">
      <c r="D66" s="129">
        <f>+D65+1</f>
        <v>37</v>
      </c>
      <c r="E66" s="206">
        <v>43190</v>
      </c>
      <c r="F66" s="139" t="str">
        <f t="shared" ca="1" si="16"/>
        <v/>
      </c>
      <c r="G66" s="136" t="str">
        <f t="shared" ca="1" si="16"/>
        <v/>
      </c>
      <c r="H66" s="136" t="str">
        <f t="shared" ca="1" si="16"/>
        <v/>
      </c>
      <c r="I66" s="136" t="str">
        <f t="shared" ca="1" si="16"/>
        <v/>
      </c>
      <c r="J66" s="136" t="str">
        <f t="shared" ca="1" si="16"/>
        <v/>
      </c>
      <c r="K66" s="136" t="str">
        <f t="shared" ca="1" si="16"/>
        <v/>
      </c>
      <c r="L66" s="136" t="str">
        <f t="shared" ca="1" si="16"/>
        <v/>
      </c>
      <c r="M66" s="137" t="str">
        <f t="shared" ca="1" si="16"/>
        <v/>
      </c>
      <c r="N66" s="130">
        <f t="shared" ca="1" si="17"/>
        <v>0</v>
      </c>
      <c r="O66" s="130">
        <f t="shared" ca="1" si="18"/>
        <v>0</v>
      </c>
      <c r="Q66" s="297"/>
    </row>
    <row r="67" spans="4:17" ht="15" customHeight="1">
      <c r="D67" s="129">
        <f>D66+1</f>
        <v>38</v>
      </c>
      <c r="E67" s="206">
        <v>43555</v>
      </c>
      <c r="F67" s="139" t="str">
        <f t="shared" ca="1" si="16"/>
        <v/>
      </c>
      <c r="G67" s="136" t="str">
        <f t="shared" ca="1" si="16"/>
        <v/>
      </c>
      <c r="H67" s="136" t="str">
        <f t="shared" ca="1" si="16"/>
        <v/>
      </c>
      <c r="I67" s="136" t="str">
        <f t="shared" ca="1" si="16"/>
        <v/>
      </c>
      <c r="J67" s="136" t="str">
        <f t="shared" ca="1" si="16"/>
        <v/>
      </c>
      <c r="K67" s="136" t="str">
        <f t="shared" ca="1" si="16"/>
        <v/>
      </c>
      <c r="L67" s="136" t="str">
        <f t="shared" ca="1" si="16"/>
        <v/>
      </c>
      <c r="M67" s="137" t="str">
        <f t="shared" ca="1" si="16"/>
        <v/>
      </c>
      <c r="N67" s="130">
        <f t="shared" ca="1" si="17"/>
        <v>0</v>
      </c>
      <c r="O67" s="130">
        <f t="shared" ca="1" si="18"/>
        <v>0</v>
      </c>
      <c r="Q67" s="297"/>
    </row>
    <row r="68" spans="4:17" ht="15" customHeight="1">
      <c r="D68" s="129">
        <f>D67+1</f>
        <v>39</v>
      </c>
      <c r="E68" s="206">
        <v>43921</v>
      </c>
      <c r="F68" s="139" t="str">
        <f t="shared" ca="1" si="16"/>
        <v/>
      </c>
      <c r="G68" s="136" t="str">
        <f t="shared" ca="1" si="16"/>
        <v/>
      </c>
      <c r="H68" s="136" t="str">
        <f t="shared" ca="1" si="16"/>
        <v/>
      </c>
      <c r="I68" s="136" t="str">
        <f t="shared" ca="1" si="16"/>
        <v/>
      </c>
      <c r="J68" s="136" t="str">
        <f t="shared" ca="1" si="16"/>
        <v/>
      </c>
      <c r="K68" s="136" t="str">
        <f t="shared" ca="1" si="16"/>
        <v/>
      </c>
      <c r="L68" s="136" t="str">
        <f t="shared" ca="1" si="16"/>
        <v/>
      </c>
      <c r="M68" s="137" t="str">
        <f t="shared" ca="1" si="16"/>
        <v/>
      </c>
      <c r="N68" s="130">
        <f t="shared" ca="1" si="17"/>
        <v>0</v>
      </c>
      <c r="O68" s="130">
        <f t="shared" ca="1" si="18"/>
        <v>0</v>
      </c>
      <c r="Q68" s="297"/>
    </row>
    <row r="69" spans="4:17" ht="15" customHeight="1">
      <c r="D69" s="129">
        <f>D68+1</f>
        <v>40</v>
      </c>
      <c r="E69" s="206">
        <v>44286</v>
      </c>
      <c r="F69" s="139" t="str">
        <f t="shared" ca="1" si="16"/>
        <v/>
      </c>
      <c r="G69" s="136" t="str">
        <f t="shared" ca="1" si="16"/>
        <v/>
      </c>
      <c r="H69" s="136" t="str">
        <f t="shared" ca="1" si="16"/>
        <v/>
      </c>
      <c r="I69" s="136" t="str">
        <f t="shared" ca="1" si="16"/>
        <v/>
      </c>
      <c r="J69" s="136" t="str">
        <f t="shared" ca="1" si="16"/>
        <v/>
      </c>
      <c r="K69" s="136" t="str">
        <f t="shared" ca="1" si="16"/>
        <v/>
      </c>
      <c r="L69" s="136" t="str">
        <f t="shared" ca="1" si="16"/>
        <v/>
      </c>
      <c r="M69" s="137" t="str">
        <f t="shared" ca="1" si="16"/>
        <v/>
      </c>
      <c r="N69" s="130">
        <f t="shared" ca="1" si="17"/>
        <v>0</v>
      </c>
      <c r="O69" s="130">
        <f t="shared" ca="1" si="18"/>
        <v>0</v>
      </c>
      <c r="Q69" s="297"/>
    </row>
    <row r="70" spans="4:17" ht="15" customHeight="1">
      <c r="D70" s="129">
        <f>D69+1</f>
        <v>41</v>
      </c>
      <c r="E70" s="206">
        <v>44651</v>
      </c>
      <c r="F70" s="139" t="str">
        <f t="shared" ca="1" si="16"/>
        <v/>
      </c>
      <c r="G70" s="136" t="str">
        <f t="shared" ca="1" si="16"/>
        <v/>
      </c>
      <c r="H70" s="136" t="str">
        <f t="shared" ca="1" si="16"/>
        <v/>
      </c>
      <c r="I70" s="136" t="str">
        <f t="shared" ca="1" si="16"/>
        <v/>
      </c>
      <c r="J70" s="136" t="str">
        <f t="shared" ca="1" si="16"/>
        <v/>
      </c>
      <c r="K70" s="136" t="str">
        <f t="shared" ca="1" si="16"/>
        <v/>
      </c>
      <c r="L70" s="136" t="str">
        <f t="shared" ca="1" si="16"/>
        <v/>
      </c>
      <c r="M70" s="137" t="str">
        <f t="shared" ca="1" si="16"/>
        <v/>
      </c>
      <c r="N70" s="130">
        <f t="shared" ca="1" si="17"/>
        <v>0</v>
      </c>
      <c r="O70" s="130">
        <f t="shared" ca="1" si="18"/>
        <v>0</v>
      </c>
      <c r="Q70" s="297"/>
    </row>
    <row r="71" spans="4:17" ht="15" customHeight="1">
      <c r="D71" s="129">
        <f>D70+1</f>
        <v>42</v>
      </c>
      <c r="E71" s="206">
        <v>45016</v>
      </c>
      <c r="F71" s="139" t="str">
        <f t="shared" ca="1" si="16"/>
        <v/>
      </c>
      <c r="G71" s="136" t="str">
        <f t="shared" ca="1" si="16"/>
        <v/>
      </c>
      <c r="H71" s="136" t="str">
        <f t="shared" ca="1" si="16"/>
        <v/>
      </c>
      <c r="I71" s="136" t="str">
        <f t="shared" ca="1" si="16"/>
        <v/>
      </c>
      <c r="J71" s="136" t="str">
        <f t="shared" ca="1" si="16"/>
        <v/>
      </c>
      <c r="K71" s="136" t="str">
        <f t="shared" ca="1" si="16"/>
        <v/>
      </c>
      <c r="L71" s="136" t="str">
        <f t="shared" ca="1" si="16"/>
        <v/>
      </c>
      <c r="M71" s="137" t="str">
        <f t="shared" ca="1" si="16"/>
        <v/>
      </c>
      <c r="N71" s="130">
        <f t="shared" ca="1" si="17"/>
        <v>0</v>
      </c>
      <c r="O71" s="130">
        <f t="shared" ca="1" si="18"/>
        <v>0</v>
      </c>
      <c r="Q71" s="297"/>
    </row>
    <row r="72" spans="4:17" ht="15" customHeight="1">
      <c r="D72" s="123"/>
      <c r="E72" s="124" t="s">
        <v>506</v>
      </c>
      <c r="F72" s="131"/>
      <c r="G72" s="132"/>
      <c r="H72" s="132"/>
      <c r="I72" s="132"/>
      <c r="J72" s="132"/>
      <c r="K72" s="203"/>
      <c r="L72" s="132"/>
      <c r="M72" s="133"/>
      <c r="N72" s="254"/>
      <c r="O72" s="138"/>
      <c r="Q72" s="297"/>
    </row>
    <row r="73" spans="4:17" ht="15" customHeight="1">
      <c r="D73" s="129">
        <f>D71+1</f>
        <v>43</v>
      </c>
      <c r="E73" s="206">
        <v>42460</v>
      </c>
      <c r="F73" s="139">
        <f t="shared" ref="F73:M80" ca="1" si="19">IF($E73 = $F$19, F$54, IF($E73 &lt; $F$19,OFFSET(m_results_01, ($F$11 * ($F$10 - 1)) + ROW($D73) - ROW(m_live_results), COLUMN(F$21) - COLUMN(m_live_results)), ""))</f>
        <v>0</v>
      </c>
      <c r="G73" s="136">
        <f t="shared" ca="1" si="19"/>
        <v>0</v>
      </c>
      <c r="H73" s="136">
        <f t="shared" ca="1" si="19"/>
        <v>0</v>
      </c>
      <c r="I73" s="136">
        <f t="shared" ca="1" si="19"/>
        <v>0</v>
      </c>
      <c r="J73" s="136">
        <f t="shared" ca="1" si="19"/>
        <v>0</v>
      </c>
      <c r="K73" s="136">
        <f t="shared" ca="1" si="19"/>
        <v>0</v>
      </c>
      <c r="L73" s="136">
        <f t="shared" ca="1" si="19"/>
        <v>0</v>
      </c>
      <c r="M73" s="137">
        <f t="shared" ca="1" si="19"/>
        <v>0</v>
      </c>
      <c r="N73" s="130">
        <f t="shared" ref="N73:N80" ca="1" si="20">SUM(F73:M73)</f>
        <v>0</v>
      </c>
      <c r="O73" s="130"/>
      <c r="Q73" s="297"/>
    </row>
    <row r="74" spans="4:17" ht="15" customHeight="1">
      <c r="D74" s="129">
        <f>+D73+1</f>
        <v>44</v>
      </c>
      <c r="E74" s="206">
        <v>42825</v>
      </c>
      <c r="F74" s="139" t="str">
        <f t="shared" ca="1" si="19"/>
        <v/>
      </c>
      <c r="G74" s="136" t="str">
        <f t="shared" ca="1" si="19"/>
        <v/>
      </c>
      <c r="H74" s="136" t="str">
        <f t="shared" ca="1" si="19"/>
        <v/>
      </c>
      <c r="I74" s="136" t="str">
        <f t="shared" ca="1" si="19"/>
        <v/>
      </c>
      <c r="J74" s="136" t="str">
        <f t="shared" ca="1" si="19"/>
        <v/>
      </c>
      <c r="K74" s="136" t="str">
        <f t="shared" ca="1" si="19"/>
        <v/>
      </c>
      <c r="L74" s="136" t="str">
        <f t="shared" ca="1" si="19"/>
        <v/>
      </c>
      <c r="M74" s="137" t="str">
        <f t="shared" ca="1" si="19"/>
        <v/>
      </c>
      <c r="N74" s="130">
        <f t="shared" ca="1" si="20"/>
        <v>0</v>
      </c>
      <c r="O74" s="130"/>
      <c r="Q74" s="297"/>
    </row>
    <row r="75" spans="4:17" ht="15" customHeight="1">
      <c r="D75" s="129">
        <f>+D74+1</f>
        <v>45</v>
      </c>
      <c r="E75" s="206">
        <v>43190</v>
      </c>
      <c r="F75" s="139" t="str">
        <f t="shared" ca="1" si="19"/>
        <v/>
      </c>
      <c r="G75" s="136" t="str">
        <f t="shared" ca="1" si="19"/>
        <v/>
      </c>
      <c r="H75" s="136" t="str">
        <f t="shared" ca="1" si="19"/>
        <v/>
      </c>
      <c r="I75" s="136" t="str">
        <f t="shared" ca="1" si="19"/>
        <v/>
      </c>
      <c r="J75" s="136" t="str">
        <f t="shared" ca="1" si="19"/>
        <v/>
      </c>
      <c r="K75" s="136" t="str">
        <f t="shared" ca="1" si="19"/>
        <v/>
      </c>
      <c r="L75" s="136" t="str">
        <f t="shared" ca="1" si="19"/>
        <v/>
      </c>
      <c r="M75" s="137" t="str">
        <f t="shared" ca="1" si="19"/>
        <v/>
      </c>
      <c r="N75" s="130">
        <f t="shared" ca="1" si="20"/>
        <v>0</v>
      </c>
      <c r="O75" s="130"/>
      <c r="Q75" s="297"/>
    </row>
    <row r="76" spans="4:17" ht="15" customHeight="1">
      <c r="D76" s="129">
        <f>D75+1</f>
        <v>46</v>
      </c>
      <c r="E76" s="206">
        <v>43555</v>
      </c>
      <c r="F76" s="139" t="str">
        <f t="shared" ca="1" si="19"/>
        <v/>
      </c>
      <c r="G76" s="136" t="str">
        <f t="shared" ca="1" si="19"/>
        <v/>
      </c>
      <c r="H76" s="136" t="str">
        <f t="shared" ca="1" si="19"/>
        <v/>
      </c>
      <c r="I76" s="136" t="str">
        <f t="shared" ca="1" si="19"/>
        <v/>
      </c>
      <c r="J76" s="136" t="str">
        <f t="shared" ca="1" si="19"/>
        <v/>
      </c>
      <c r="K76" s="136" t="str">
        <f t="shared" ca="1" si="19"/>
        <v/>
      </c>
      <c r="L76" s="136" t="str">
        <f t="shared" ca="1" si="19"/>
        <v/>
      </c>
      <c r="M76" s="137" t="str">
        <f t="shared" ca="1" si="19"/>
        <v/>
      </c>
      <c r="N76" s="130">
        <f t="shared" ca="1" si="20"/>
        <v>0</v>
      </c>
      <c r="O76" s="130"/>
      <c r="Q76" s="297"/>
    </row>
    <row r="77" spans="4:17" ht="15" customHeight="1">
      <c r="D77" s="129">
        <f>D76+1</f>
        <v>47</v>
      </c>
      <c r="E77" s="206">
        <v>43921</v>
      </c>
      <c r="F77" s="139" t="str">
        <f t="shared" ca="1" si="19"/>
        <v/>
      </c>
      <c r="G77" s="136" t="str">
        <f t="shared" ca="1" si="19"/>
        <v/>
      </c>
      <c r="H77" s="136" t="str">
        <f t="shared" ca="1" si="19"/>
        <v/>
      </c>
      <c r="I77" s="136" t="str">
        <f t="shared" ca="1" si="19"/>
        <v/>
      </c>
      <c r="J77" s="136" t="str">
        <f t="shared" ca="1" si="19"/>
        <v/>
      </c>
      <c r="K77" s="136" t="str">
        <f t="shared" ca="1" si="19"/>
        <v/>
      </c>
      <c r="L77" s="136" t="str">
        <f t="shared" ca="1" si="19"/>
        <v/>
      </c>
      <c r="M77" s="137" t="str">
        <f t="shared" ca="1" si="19"/>
        <v/>
      </c>
      <c r="N77" s="130">
        <f t="shared" ca="1" si="20"/>
        <v>0</v>
      </c>
      <c r="O77" s="130"/>
      <c r="Q77" s="297"/>
    </row>
    <row r="78" spans="4:17" ht="15" customHeight="1">
      <c r="D78" s="129">
        <f>D77+1</f>
        <v>48</v>
      </c>
      <c r="E78" s="206">
        <v>44286</v>
      </c>
      <c r="F78" s="139" t="str">
        <f t="shared" ca="1" si="19"/>
        <v/>
      </c>
      <c r="G78" s="136" t="str">
        <f t="shared" ca="1" si="19"/>
        <v/>
      </c>
      <c r="H78" s="136" t="str">
        <f t="shared" ca="1" si="19"/>
        <v/>
      </c>
      <c r="I78" s="136" t="str">
        <f t="shared" ca="1" si="19"/>
        <v/>
      </c>
      <c r="J78" s="136" t="str">
        <f t="shared" ca="1" si="19"/>
        <v/>
      </c>
      <c r="K78" s="136" t="str">
        <f t="shared" ca="1" si="19"/>
        <v/>
      </c>
      <c r="L78" s="136" t="str">
        <f t="shared" ca="1" si="19"/>
        <v/>
      </c>
      <c r="M78" s="137" t="str">
        <f t="shared" ca="1" si="19"/>
        <v/>
      </c>
      <c r="N78" s="130">
        <f t="shared" ca="1" si="20"/>
        <v>0</v>
      </c>
      <c r="O78" s="130"/>
      <c r="Q78" s="297"/>
    </row>
    <row r="79" spans="4:17" ht="15" customHeight="1">
      <c r="D79" s="129">
        <f>D78+1</f>
        <v>49</v>
      </c>
      <c r="E79" s="206">
        <v>44651</v>
      </c>
      <c r="F79" s="139" t="str">
        <f t="shared" ca="1" si="19"/>
        <v/>
      </c>
      <c r="G79" s="136" t="str">
        <f t="shared" ca="1" si="19"/>
        <v/>
      </c>
      <c r="H79" s="136" t="str">
        <f t="shared" ca="1" si="19"/>
        <v/>
      </c>
      <c r="I79" s="136" t="str">
        <f t="shared" ca="1" si="19"/>
        <v/>
      </c>
      <c r="J79" s="136" t="str">
        <f t="shared" ca="1" si="19"/>
        <v/>
      </c>
      <c r="K79" s="136" t="str">
        <f t="shared" ca="1" si="19"/>
        <v/>
      </c>
      <c r="L79" s="136" t="str">
        <f t="shared" ca="1" si="19"/>
        <v/>
      </c>
      <c r="M79" s="137" t="str">
        <f t="shared" ca="1" si="19"/>
        <v/>
      </c>
      <c r="N79" s="130">
        <f t="shared" ca="1" si="20"/>
        <v>0</v>
      </c>
      <c r="O79" s="130"/>
      <c r="Q79" s="297"/>
    </row>
    <row r="80" spans="4:17" ht="15" customHeight="1">
      <c r="D80" s="129">
        <f>D79+1</f>
        <v>50</v>
      </c>
      <c r="E80" s="206">
        <v>45016</v>
      </c>
      <c r="F80" s="139" t="str">
        <f t="shared" ca="1" si="19"/>
        <v/>
      </c>
      <c r="G80" s="136" t="str">
        <f t="shared" ca="1" si="19"/>
        <v/>
      </c>
      <c r="H80" s="136" t="str">
        <f t="shared" ca="1" si="19"/>
        <v/>
      </c>
      <c r="I80" s="136" t="str">
        <f t="shared" ca="1" si="19"/>
        <v/>
      </c>
      <c r="J80" s="136" t="str">
        <f t="shared" ca="1" si="19"/>
        <v/>
      </c>
      <c r="K80" s="136" t="str">
        <f t="shared" ca="1" si="19"/>
        <v/>
      </c>
      <c r="L80" s="136" t="str">
        <f t="shared" ca="1" si="19"/>
        <v/>
      </c>
      <c r="M80" s="137" t="str">
        <f t="shared" ca="1" si="19"/>
        <v/>
      </c>
      <c r="N80" s="130">
        <f t="shared" ca="1" si="20"/>
        <v>0</v>
      </c>
      <c r="O80" s="130"/>
      <c r="Q80" s="297"/>
    </row>
    <row r="81" spans="4:19" ht="15" customHeight="1">
      <c r="D81" s="123"/>
      <c r="E81" s="124" t="s">
        <v>518</v>
      </c>
      <c r="F81" s="131"/>
      <c r="G81" s="132"/>
      <c r="H81" s="132"/>
      <c r="I81" s="132"/>
      <c r="J81" s="132"/>
      <c r="K81" s="203"/>
      <c r="L81" s="132"/>
      <c r="M81" s="133"/>
      <c r="N81" s="254"/>
      <c r="O81" s="138"/>
    </row>
    <row r="82" spans="4:19" ht="15" customHeight="1">
      <c r="D82" s="129">
        <f>D80+1</f>
        <v>51</v>
      </c>
      <c r="E82" s="122" t="s">
        <v>489</v>
      </c>
      <c r="F82" s="135">
        <f>AVERAGE(F28 +F29, (F33*'Return&amp;RAV'!AJ17))</f>
        <v>1479.9431787588874</v>
      </c>
      <c r="G82" s="136">
        <f>AVERAGE(G28 +G29, (G33*'Return&amp;RAV'!AK17))</f>
        <v>1517.2791087294863</v>
      </c>
      <c r="H82" s="136">
        <f>AVERAGE(H28 +H29, (H33*'Return&amp;RAV'!AL17))</f>
        <v>1556.0840094477983</v>
      </c>
      <c r="I82" s="136">
        <f>AVERAGE(I28 +I29, (I33*'Return&amp;RAV'!AM17))</f>
        <v>1586.7386361505278</v>
      </c>
      <c r="J82" s="136">
        <f>AVERAGE(J28 +J29, (J33*'Return&amp;RAV'!AN17))</f>
        <v>1613.3459690412751</v>
      </c>
      <c r="K82" s="136">
        <f>AVERAGE(K28 +K29, (K33*'Return&amp;RAV'!AO17))</f>
        <v>1637.3890150898699</v>
      </c>
      <c r="L82" s="136">
        <f>AVERAGE(L28 +L29, (L33*'Return&amp;RAV'!AP17))</f>
        <v>1658.427645865519</v>
      </c>
      <c r="M82" s="137">
        <f>AVERAGE(M28 +M29, (M33*'Return&amp;RAV'!AQ17))</f>
        <v>1678.4541570629767</v>
      </c>
      <c r="N82" s="130">
        <f>SUM(F82:M82)</f>
        <v>12727.66172014634</v>
      </c>
      <c r="O82" s="130">
        <f>IFERROR(AVERAGE(F82:M82), 0 )</f>
        <v>1590.9577150182924</v>
      </c>
    </row>
    <row r="83" spans="4:19" ht="15" customHeight="1">
      <c r="D83" s="129">
        <f>D82+1</f>
        <v>52</v>
      </c>
      <c r="E83" s="122" t="s">
        <v>490</v>
      </c>
      <c r="F83" s="231">
        <f>Input!AJ49</f>
        <v>0.65</v>
      </c>
      <c r="G83" s="232">
        <f>Input!AK49</f>
        <v>0.65</v>
      </c>
      <c r="H83" s="232">
        <f>Input!AL49</f>
        <v>0.65</v>
      </c>
      <c r="I83" s="232">
        <f>Input!AM49</f>
        <v>0.65</v>
      </c>
      <c r="J83" s="232">
        <f>Input!AN49</f>
        <v>0.65</v>
      </c>
      <c r="K83" s="232">
        <f>Input!AO49</f>
        <v>0.65</v>
      </c>
      <c r="L83" s="232">
        <f>Input!AP49</f>
        <v>0.65</v>
      </c>
      <c r="M83" s="233">
        <f>Input!AQ49</f>
        <v>0.65</v>
      </c>
      <c r="N83" s="234">
        <f>1- (N84 /N82)</f>
        <v>0.64999999999999991</v>
      </c>
      <c r="O83" s="234">
        <f>IFERROR(AVERAGE(F83:M83), 0 )</f>
        <v>0.65</v>
      </c>
    </row>
    <row r="84" spans="4:19" s="210" customFormat="1" ht="15" customHeight="1">
      <c r="D84" s="129">
        <f>D83+1</f>
        <v>53</v>
      </c>
      <c r="E84" s="122" t="s">
        <v>465</v>
      </c>
      <c r="F84" s="135">
        <f>F82 * (1 - F83)</f>
        <v>517.98011256561051</v>
      </c>
      <c r="G84" s="136">
        <f t="shared" ref="G84:M84" si="21">G82 * (1 - G83)</f>
        <v>531.04768805532024</v>
      </c>
      <c r="H84" s="136">
        <f t="shared" si="21"/>
        <v>544.62940330672939</v>
      </c>
      <c r="I84" s="136">
        <f t="shared" si="21"/>
        <v>555.35852265268466</v>
      </c>
      <c r="J84" s="136">
        <f t="shared" si="21"/>
        <v>564.67108916444624</v>
      </c>
      <c r="K84" s="136">
        <f t="shared" si="21"/>
        <v>573.08615528145447</v>
      </c>
      <c r="L84" s="136">
        <f t="shared" si="21"/>
        <v>580.44967605293164</v>
      </c>
      <c r="M84" s="137">
        <f t="shared" si="21"/>
        <v>587.45895497204185</v>
      </c>
      <c r="N84" s="130">
        <f>SUM(F84:M84)</f>
        <v>4454.6816020512197</v>
      </c>
      <c r="O84" s="130">
        <f>IFERROR(AVERAGE(F84:M84), 0 )</f>
        <v>556.83520025640246</v>
      </c>
      <c r="P84"/>
      <c r="Q84"/>
      <c r="R84"/>
      <c r="S84"/>
    </row>
    <row r="85" spans="4:19" s="210" customFormat="1" ht="15" customHeight="1">
      <c r="D85" s="129">
        <f>D84+1</f>
        <v>54</v>
      </c>
      <c r="E85" s="122" t="s">
        <v>491</v>
      </c>
      <c r="F85" s="139">
        <f>(F82 * F83) * Input!AJ11</f>
        <v>26.165395400457129</v>
      </c>
      <c r="G85" s="136">
        <f>(G82 * G83) * Input!AK11</f>
        <v>26.825494642337315</v>
      </c>
      <c r="H85" s="136">
        <f>(H82 * H83) * Input!AL11</f>
        <v>27.511565287037072</v>
      </c>
      <c r="I85" s="136">
        <f>(I82 * I83) * Input!AM11</f>
        <v>28.053539087141328</v>
      </c>
      <c r="J85" s="136">
        <f>(J82 * J83) * Input!AN11</f>
        <v>28.52395673264974</v>
      </c>
      <c r="K85" s="136">
        <f>(K82 * K83) * Input!AO11</f>
        <v>28.949037786788896</v>
      </c>
      <c r="L85" s="136">
        <f>(L82 * L83) * Input!AP11</f>
        <v>29.321000778902377</v>
      </c>
      <c r="M85" s="137">
        <f>(M82 * M83) * Input!AQ11</f>
        <v>29.67506949687343</v>
      </c>
      <c r="N85" s="130">
        <f>SUM(F85:M85)</f>
        <v>225.02505921218727</v>
      </c>
      <c r="O85" s="130">
        <f>IFERROR(AVERAGE(F85:M85), 0 )</f>
        <v>28.128132401523409</v>
      </c>
      <c r="P85"/>
      <c r="Q85"/>
      <c r="R85"/>
      <c r="S85"/>
    </row>
    <row r="86" spans="4:19" s="210" customFormat="1" ht="15" customHeight="1" thickBot="1">
      <c r="D86" s="140">
        <f>D85+1</f>
        <v>55</v>
      </c>
      <c r="E86" s="467" t="s">
        <v>874</v>
      </c>
      <c r="F86" s="283">
        <f>'Return&amp;RAV'!AJ28*(1-F83)</f>
        <v>517.98011256561051</v>
      </c>
      <c r="G86" s="141">
        <f>'Return&amp;RAV'!AK28*(1-G83)</f>
        <v>531.04768805532024</v>
      </c>
      <c r="H86" s="141">
        <f>'Return&amp;RAV'!AL28*(1-H83)</f>
        <v>544.62940330672939</v>
      </c>
      <c r="I86" s="141">
        <f>'Return&amp;RAV'!AM28*(1-I83)</f>
        <v>555.35852265268466</v>
      </c>
      <c r="J86" s="141">
        <f>'Return&amp;RAV'!AN28*(1-J83)</f>
        <v>564.67108916444624</v>
      </c>
      <c r="K86" s="141">
        <f>'Return&amp;RAV'!AO28*(1-K83)</f>
        <v>573.08615528145447</v>
      </c>
      <c r="L86" s="141">
        <f>'Return&amp;RAV'!AP28*(1-L83)</f>
        <v>580.44967605293164</v>
      </c>
      <c r="M86" s="235">
        <f>'Return&amp;RAV'!AQ28*(1-M83)</f>
        <v>587.45895497204185</v>
      </c>
      <c r="N86" s="282"/>
      <c r="O86" s="282">
        <f>IFERROR(AVERAGE(F86:M86), 0 )</f>
        <v>556.83520025640246</v>
      </c>
      <c r="P86"/>
      <c r="Q86"/>
      <c r="R86"/>
      <c r="S86"/>
    </row>
    <row r="87" spans="4:19" s="498" customFormat="1" ht="15" customHeight="1">
      <c r="D87" s="256"/>
      <c r="E87" s="195"/>
      <c r="F87" s="157"/>
      <c r="G87" s="157"/>
      <c r="H87" s="157"/>
      <c r="I87" s="157"/>
      <c r="J87" s="157"/>
      <c r="K87" s="157"/>
      <c r="L87" s="157"/>
      <c r="M87" s="523"/>
      <c r="N87" s="157"/>
      <c r="O87" s="157"/>
      <c r="P87"/>
      <c r="Q87"/>
      <c r="R87"/>
      <c r="S87"/>
    </row>
    <row r="88" spans="4:19" s="498" customFormat="1" ht="15" customHeight="1">
      <c r="D88" s="256"/>
      <c r="E88" s="195"/>
      <c r="F88" s="157"/>
      <c r="G88" s="157"/>
      <c r="H88" s="157"/>
      <c r="I88" s="157"/>
      <c r="J88" s="157"/>
      <c r="K88" s="157"/>
      <c r="L88" s="157"/>
      <c r="M88" s="523"/>
      <c r="N88" s="157"/>
      <c r="O88" s="157"/>
      <c r="P88"/>
      <c r="Q88"/>
      <c r="R88"/>
      <c r="S88"/>
    </row>
    <row r="89" spans="4:19" s="498" customFormat="1" ht="15" customHeight="1">
      <c r="D89" s="256"/>
      <c r="E89" s="195"/>
      <c r="F89" s="157"/>
      <c r="G89" s="157"/>
      <c r="H89" s="157"/>
      <c r="I89" s="157"/>
      <c r="J89" s="157"/>
      <c r="K89" s="157"/>
      <c r="L89" s="157"/>
      <c r="M89" s="523"/>
      <c r="N89" s="157"/>
      <c r="O89" s="157"/>
      <c r="P89"/>
      <c r="Q89"/>
      <c r="R89"/>
      <c r="S89"/>
    </row>
    <row r="90" spans="4:19" s="498" customFormat="1" ht="15" customHeight="1">
      <c r="D90" s="256"/>
      <c r="E90" s="195"/>
      <c r="F90" s="157"/>
      <c r="G90" s="157"/>
      <c r="H90" s="157"/>
      <c r="I90" s="157"/>
      <c r="J90" s="157"/>
      <c r="K90" s="157"/>
      <c r="L90" s="157"/>
      <c r="M90" s="523"/>
      <c r="N90" s="157"/>
      <c r="O90" s="157"/>
      <c r="P90"/>
      <c r="Q90"/>
      <c r="R90"/>
      <c r="S90"/>
    </row>
    <row r="91" spans="4:19" s="498" customFormat="1" ht="15" customHeight="1">
      <c r="D91" s="256"/>
      <c r="E91" s="195"/>
      <c r="F91" s="157"/>
      <c r="G91" s="157"/>
      <c r="H91" s="157"/>
      <c r="I91" s="157"/>
      <c r="J91" s="157"/>
      <c r="K91" s="157"/>
      <c r="L91" s="157"/>
      <c r="M91" s="523"/>
      <c r="N91" s="157"/>
      <c r="O91" s="157"/>
      <c r="P91"/>
      <c r="Q91"/>
      <c r="R91"/>
      <c r="S91"/>
    </row>
    <row r="92" spans="4:19" ht="15" customHeight="1"/>
    <row r="93" spans="4:19" ht="15" customHeight="1"/>
    <row r="94" spans="4:19" ht="15" customHeight="1"/>
    <row r="95" spans="4:19" ht="15" customHeight="1"/>
    <row r="96" spans="4:19" ht="15"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sheetData>
  <pageMargins left="0.23622047244094491" right="0.23622047244094491" top="0.74803149606299213" bottom="0.74803149606299213" header="0.31496062992125984" footer="0.31496062992125984"/>
  <pageSetup paperSize="8" scale="70"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24961" r:id="rId4" name="Drop Down 1">
              <controlPr defaultSize="0" autoLine="0" autoPict="0">
                <anchor moveWithCells="1">
                  <from>
                    <xdr:col>7</xdr:col>
                    <xdr:colOff>142875</xdr:colOff>
                    <xdr:row>9</xdr:row>
                    <xdr:rowOff>0</xdr:rowOff>
                  </from>
                  <to>
                    <xdr:col>9</xdr:col>
                    <xdr:colOff>657225</xdr:colOff>
                    <xdr:row>9</xdr:row>
                    <xdr:rowOff>161925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tabColor theme="6"/>
    <pageSetUpPr fitToPage="1"/>
  </sheetPr>
  <dimension ref="A1:W2852"/>
  <sheetViews>
    <sheetView zoomScale="70" zoomScaleNormal="70" workbookViewId="0">
      <pane ySplit="1" topLeftCell="A2" activePane="bottomLeft" state="frozen"/>
      <selection activeCell="F444" sqref="F444"/>
      <selection pane="bottomLeft" activeCell="I10" sqref="I10"/>
    </sheetView>
  </sheetViews>
  <sheetFormatPr defaultColWidth="9" defaultRowHeight="15" customHeight="1"/>
  <cols>
    <col min="1" max="3" width="1.625" style="394" customWidth="1"/>
    <col min="4" max="4" width="2.625" style="394" customWidth="1"/>
    <col min="5" max="5" width="40.625" style="394" customWidth="1"/>
    <col min="6" max="34" width="12.625" style="394" customWidth="1"/>
    <col min="35" max="16384" width="9" style="394"/>
  </cols>
  <sheetData>
    <row r="1" spans="1:17" s="390" customFormat="1">
      <c r="A1" s="389" t="s">
        <v>247</v>
      </c>
      <c r="B1" s="389"/>
      <c r="C1" s="389"/>
    </row>
    <row r="2" spans="1:17" s="290" customFormat="1" ht="15" customHeight="1">
      <c r="A2" s="195"/>
      <c r="B2" s="195"/>
      <c r="G2" s="195"/>
      <c r="Q2" s="391"/>
    </row>
    <row r="3" spans="1:17" s="210" customFormat="1" ht="15" customHeight="1">
      <c r="A3" s="195"/>
      <c r="B3" s="334" t="s">
        <v>305</v>
      </c>
      <c r="C3" s="334"/>
      <c r="D3" s="334"/>
      <c r="E3" s="334"/>
      <c r="F3" s="334"/>
      <c r="G3" s="334"/>
      <c r="H3" s="334"/>
      <c r="I3" s="334"/>
      <c r="J3" s="334"/>
      <c r="K3" s="334"/>
      <c r="L3" s="334"/>
      <c r="M3" s="334"/>
      <c r="N3" s="334"/>
      <c r="O3" s="334"/>
      <c r="Q3" s="392"/>
    </row>
    <row r="4" spans="1:17" s="210" customFormat="1" ht="15" customHeight="1">
      <c r="A4" s="195"/>
      <c r="B4" s="197" t="s">
        <v>393</v>
      </c>
      <c r="C4" s="197"/>
      <c r="D4" s="197"/>
      <c r="E4" s="197"/>
      <c r="F4" s="197"/>
      <c r="G4" s="197"/>
      <c r="H4" s="197"/>
      <c r="I4" s="197"/>
      <c r="J4" s="197"/>
      <c r="K4" s="197"/>
      <c r="L4" s="197"/>
      <c r="M4" s="197"/>
      <c r="N4" s="197"/>
      <c r="O4" s="197"/>
      <c r="Q4" s="392"/>
    </row>
    <row r="5" spans="1:17" s="210" customFormat="1" ht="15" customHeight="1">
      <c r="A5" s="195"/>
      <c r="B5" s="197" t="s">
        <v>306</v>
      </c>
      <c r="C5" s="197"/>
      <c r="D5" s="197"/>
      <c r="E5" s="197"/>
      <c r="F5" s="197"/>
      <c r="G5" s="197"/>
      <c r="H5" s="197"/>
      <c r="I5" s="197"/>
      <c r="J5" s="197"/>
      <c r="K5" s="197"/>
      <c r="L5" s="197"/>
      <c r="M5" s="197"/>
      <c r="N5" s="197"/>
      <c r="O5" s="197"/>
      <c r="Q5" s="392"/>
    </row>
    <row r="6" spans="1:17" s="210" customFormat="1" ht="15" customHeight="1">
      <c r="A6" s="195"/>
      <c r="B6" s="197" t="s">
        <v>394</v>
      </c>
      <c r="C6" s="197"/>
      <c r="D6" s="197"/>
      <c r="E6" s="197"/>
      <c r="F6" s="197"/>
      <c r="G6" s="197"/>
      <c r="H6" s="197"/>
      <c r="I6" s="197"/>
      <c r="J6" s="197"/>
      <c r="K6" s="197"/>
      <c r="L6" s="197"/>
      <c r="M6" s="197"/>
      <c r="N6" s="197"/>
      <c r="O6" s="197"/>
      <c r="Q6" s="392"/>
    </row>
    <row r="7" spans="1:17" s="210" customFormat="1" ht="15" customHeight="1">
      <c r="A7" s="195"/>
      <c r="B7" s="195"/>
      <c r="G7" s="71"/>
      <c r="Q7" s="392"/>
    </row>
    <row r="8" spans="1:17" s="210" customFormat="1" ht="15" customHeight="1">
      <c r="A8" s="195"/>
      <c r="B8" s="195"/>
      <c r="E8" s="393" t="str">
        <f>UserInterface!E49</f>
        <v>ENWL</v>
      </c>
      <c r="F8" s="393" t="str">
        <f>UserInterface!E56</f>
        <v>LPN</v>
      </c>
      <c r="G8" s="71"/>
      <c r="Q8" s="392"/>
    </row>
    <row r="9" spans="1:17" s="210" customFormat="1" ht="15" customHeight="1">
      <c r="A9" s="195"/>
      <c r="B9" s="195"/>
      <c r="E9" s="393" t="str">
        <f>UserInterface!E50</f>
        <v>NPgN</v>
      </c>
      <c r="F9" s="393" t="str">
        <f>UserInterface!E57</f>
        <v>SPN</v>
      </c>
      <c r="G9" s="71"/>
      <c r="Q9" s="392"/>
    </row>
    <row r="10" spans="1:17" s="210" customFormat="1" ht="15" customHeight="1">
      <c r="A10" s="195"/>
      <c r="B10" s="195"/>
      <c r="E10" s="393" t="str">
        <f>UserInterface!E51</f>
        <v>NPgY</v>
      </c>
      <c r="F10" s="393" t="str">
        <f>UserInterface!E58</f>
        <v>EPN</v>
      </c>
      <c r="G10" s="71"/>
      <c r="Q10" s="392"/>
    </row>
    <row r="11" spans="1:17" s="210" customFormat="1" ht="15" customHeight="1">
      <c r="A11" s="195"/>
      <c r="B11" s="195"/>
      <c r="E11" s="393" t="str">
        <f>UserInterface!E52</f>
        <v>WMID</v>
      </c>
      <c r="F11" s="393" t="str">
        <f>UserInterface!E59</f>
        <v>SPD</v>
      </c>
      <c r="G11" s="71"/>
      <c r="Q11" s="392"/>
    </row>
    <row r="12" spans="1:17" s="210" customFormat="1" ht="15" customHeight="1">
      <c r="A12" s="195"/>
      <c r="B12" s="195"/>
      <c r="E12" s="393" t="str">
        <f>UserInterface!E53</f>
        <v>EMID</v>
      </c>
      <c r="F12" s="393" t="str">
        <f>UserInterface!E60</f>
        <v>SPMW</v>
      </c>
      <c r="G12" s="71"/>
      <c r="Q12" s="392"/>
    </row>
    <row r="13" spans="1:17" s="210" customFormat="1" ht="15" customHeight="1">
      <c r="A13" s="195"/>
      <c r="B13" s="195"/>
      <c r="E13" s="393" t="str">
        <f>UserInterface!E54</f>
        <v>SWALES</v>
      </c>
      <c r="F13" s="393" t="str">
        <f>UserInterface!E61</f>
        <v>SSEH</v>
      </c>
      <c r="G13" s="71"/>
      <c r="Q13" s="392"/>
    </row>
    <row r="14" spans="1:17" s="210" customFormat="1" ht="15" customHeight="1">
      <c r="A14" s="195"/>
      <c r="B14" s="195"/>
      <c r="E14" s="393" t="str">
        <f>UserInterface!E55</f>
        <v>SWEST</v>
      </c>
      <c r="F14" s="393" t="str">
        <f>UserInterface!E62</f>
        <v>SSES</v>
      </c>
      <c r="G14" s="71"/>
      <c r="Q14" s="392"/>
    </row>
    <row r="15" spans="1:17" s="210" customFormat="1" ht="15" customHeight="1">
      <c r="A15" s="195"/>
      <c r="B15" s="195"/>
      <c r="F15" s="393" t="s">
        <v>873</v>
      </c>
      <c r="G15" s="71"/>
      <c r="Q15" s="392"/>
    </row>
    <row r="16" spans="1:17" s="210" customFormat="1" ht="15" customHeight="1">
      <c r="A16" s="195"/>
      <c r="B16" s="195"/>
      <c r="E16" s="393"/>
      <c r="G16" s="71"/>
      <c r="Q16" s="392"/>
    </row>
    <row r="17" spans="1:17" s="210" customFormat="1" ht="15" customHeight="1">
      <c r="A17" s="195"/>
      <c r="B17" s="334" t="s">
        <v>307</v>
      </c>
      <c r="C17" s="334"/>
      <c r="D17" s="334"/>
      <c r="E17" s="334"/>
      <c r="F17" s="334"/>
      <c r="G17" s="334"/>
      <c r="H17" s="334"/>
      <c r="I17" s="334"/>
      <c r="J17" s="334"/>
      <c r="K17" s="334"/>
      <c r="L17" s="334"/>
      <c r="M17" s="334"/>
      <c r="N17" s="334"/>
      <c r="O17" s="334"/>
      <c r="Q17" s="392"/>
    </row>
    <row r="18" spans="1:17" s="210" customFormat="1" ht="15" customHeight="1">
      <c r="A18" s="195"/>
      <c r="B18" s="195"/>
      <c r="G18" s="71"/>
      <c r="Q18" s="392"/>
    </row>
    <row r="19" spans="1:17" ht="15" customHeight="1">
      <c r="A19" s="195"/>
      <c r="B19" s="195"/>
      <c r="C19" s="517" t="s">
        <v>1014</v>
      </c>
      <c r="D19" s="517"/>
      <c r="E19" s="517"/>
      <c r="F19" s="517"/>
      <c r="G19" s="517"/>
      <c r="H19" s="517"/>
      <c r="I19" s="517"/>
      <c r="J19" s="517"/>
      <c r="K19" s="517"/>
      <c r="L19" s="517"/>
      <c r="M19" s="517"/>
      <c r="N19" s="517"/>
      <c r="O19" s="517"/>
      <c r="P19" s="210"/>
    </row>
    <row r="20" spans="1:17" ht="15" customHeight="1">
      <c r="C20" s="508"/>
      <c r="D20" s="508"/>
      <c r="E20" s="508"/>
      <c r="F20" s="508"/>
      <c r="G20" s="508"/>
      <c r="H20" s="508"/>
      <c r="I20" s="508"/>
      <c r="J20" s="508"/>
      <c r="K20" s="508"/>
      <c r="L20" s="508"/>
      <c r="M20" s="508"/>
      <c r="N20" s="508"/>
      <c r="O20" s="508"/>
      <c r="P20" s="210"/>
    </row>
    <row r="21" spans="1:17" s="258" customFormat="1" ht="15" customHeight="1">
      <c r="C21" s="508"/>
      <c r="D21" s="479"/>
      <c r="E21" s="479"/>
      <c r="F21" s="480"/>
      <c r="G21" s="480"/>
      <c r="H21" s="480"/>
      <c r="I21" s="480"/>
      <c r="J21" s="480"/>
      <c r="K21" s="480"/>
      <c r="L21" s="480"/>
      <c r="M21" s="480"/>
      <c r="N21" s="479"/>
      <c r="O21" s="479"/>
      <c r="P21" s="195"/>
    </row>
    <row r="22" spans="1:17" s="258" customFormat="1" ht="15" customHeight="1">
      <c r="C22" s="508"/>
      <c r="D22" s="479"/>
      <c r="E22" s="518" t="s">
        <v>58</v>
      </c>
      <c r="F22" s="518" t="s">
        <v>239</v>
      </c>
      <c r="G22" s="480"/>
      <c r="H22" s="518" t="s">
        <v>39</v>
      </c>
      <c r="I22" s="480"/>
      <c r="J22" s="480"/>
      <c r="K22" s="480"/>
      <c r="L22" s="480"/>
      <c r="M22" s="480"/>
      <c r="N22" s="479"/>
      <c r="O22" s="479"/>
      <c r="P22" s="195"/>
    </row>
    <row r="23" spans="1:17" s="258" customFormat="1" ht="15" customHeight="1">
      <c r="C23" s="508"/>
      <c r="D23" s="118"/>
      <c r="E23" s="118" t="s">
        <v>1015</v>
      </c>
      <c r="F23" s="388">
        <v>42460</v>
      </c>
      <c r="G23" s="119"/>
      <c r="H23" s="118" t="s">
        <v>1042</v>
      </c>
      <c r="I23" s="119"/>
      <c r="J23" s="119"/>
      <c r="K23" s="119"/>
      <c r="L23" s="119"/>
      <c r="M23" s="119"/>
      <c r="N23" s="118"/>
      <c r="O23" s="118"/>
      <c r="P23" s="195"/>
    </row>
    <row r="24" spans="1:17" s="258" customFormat="1" ht="15" customHeight="1" thickBot="1">
      <c r="C24" s="508"/>
      <c r="D24" s="508"/>
      <c r="E24" s="508"/>
      <c r="F24" s="508"/>
      <c r="G24" s="478"/>
      <c r="H24" s="508"/>
      <c r="I24" s="508"/>
      <c r="J24" s="508"/>
      <c r="K24" s="508"/>
      <c r="L24" s="508"/>
      <c r="M24" s="508"/>
      <c r="N24" s="508"/>
      <c r="O24" s="508"/>
      <c r="P24" s="195"/>
    </row>
    <row r="25" spans="1:17" s="258" customFormat="1" ht="15" customHeight="1">
      <c r="C25" s="508"/>
      <c r="D25" s="481"/>
      <c r="E25" s="506" t="s">
        <v>236</v>
      </c>
      <c r="F25" s="499">
        <v>42460</v>
      </c>
      <c r="G25" s="500">
        <v>42825</v>
      </c>
      <c r="H25" s="500">
        <v>43190</v>
      </c>
      <c r="I25" s="500">
        <v>43555</v>
      </c>
      <c r="J25" s="500">
        <v>43921</v>
      </c>
      <c r="K25" s="500">
        <v>44286</v>
      </c>
      <c r="L25" s="500">
        <v>44651</v>
      </c>
      <c r="M25" s="501">
        <v>45016</v>
      </c>
      <c r="N25" s="513" t="s">
        <v>86</v>
      </c>
      <c r="O25" s="502" t="s">
        <v>87</v>
      </c>
      <c r="P25" s="195"/>
    </row>
    <row r="26" spans="1:17" s="258" customFormat="1" ht="15" customHeight="1">
      <c r="C26" s="508"/>
      <c r="D26" s="482"/>
      <c r="E26" s="122" t="s">
        <v>240</v>
      </c>
      <c r="F26" s="503" t="s">
        <v>844</v>
      </c>
      <c r="G26" s="504" t="s">
        <v>844</v>
      </c>
      <c r="H26" s="504" t="s">
        <v>844</v>
      </c>
      <c r="I26" s="504" t="s">
        <v>844</v>
      </c>
      <c r="J26" s="504" t="s">
        <v>844</v>
      </c>
      <c r="K26" s="504" t="s">
        <v>844</v>
      </c>
      <c r="L26" s="504" t="s">
        <v>844</v>
      </c>
      <c r="M26" s="505" t="s">
        <v>844</v>
      </c>
      <c r="N26" s="192" t="s">
        <v>844</v>
      </c>
      <c r="O26" s="192" t="s">
        <v>844</v>
      </c>
      <c r="P26" s="195"/>
    </row>
    <row r="27" spans="1:17" s="258" customFormat="1" ht="15" customHeight="1">
      <c r="C27" s="508"/>
      <c r="D27" s="483"/>
      <c r="E27" s="124" t="s">
        <v>69</v>
      </c>
      <c r="F27" s="484"/>
      <c r="G27" s="485"/>
      <c r="H27" s="485"/>
      <c r="I27" s="485"/>
      <c r="J27" s="485"/>
      <c r="K27" s="485"/>
      <c r="L27" s="485"/>
      <c r="M27" s="486"/>
      <c r="N27" s="128"/>
      <c r="O27" s="128"/>
      <c r="P27" s="195"/>
    </row>
    <row r="28" spans="1:17" s="258" customFormat="1" ht="15" customHeight="1">
      <c r="C28" s="508"/>
      <c r="D28" s="487">
        <v>1</v>
      </c>
      <c r="E28" s="122" t="s">
        <v>213</v>
      </c>
      <c r="F28" s="491"/>
      <c r="G28" s="492"/>
      <c r="H28" s="492"/>
      <c r="I28" s="492"/>
      <c r="J28" s="492"/>
      <c r="K28" s="492"/>
      <c r="L28" s="492"/>
      <c r="M28" s="493"/>
      <c r="N28" s="130"/>
      <c r="O28" s="130"/>
      <c r="P28" s="195"/>
    </row>
    <row r="29" spans="1:17" s="258" customFormat="1" ht="15" customHeight="1">
      <c r="C29" s="508"/>
      <c r="D29" s="487">
        <v>2</v>
      </c>
      <c r="E29" s="122" t="s">
        <v>879</v>
      </c>
      <c r="F29" s="491"/>
      <c r="G29" s="492"/>
      <c r="H29" s="492"/>
      <c r="I29" s="492"/>
      <c r="J29" s="492"/>
      <c r="K29" s="492"/>
      <c r="L29" s="492"/>
      <c r="M29" s="493"/>
      <c r="N29" s="130"/>
      <c r="O29" s="130"/>
      <c r="P29" s="195"/>
    </row>
    <row r="30" spans="1:17" s="258" customFormat="1" ht="15" customHeight="1">
      <c r="C30" s="508"/>
      <c r="D30" s="487">
        <v>3</v>
      </c>
      <c r="E30" s="122" t="s">
        <v>214</v>
      </c>
      <c r="F30" s="491"/>
      <c r="G30" s="492"/>
      <c r="H30" s="492"/>
      <c r="I30" s="492"/>
      <c r="J30" s="492"/>
      <c r="K30" s="492"/>
      <c r="L30" s="492"/>
      <c r="M30" s="493"/>
      <c r="N30" s="130"/>
      <c r="O30" s="130"/>
      <c r="P30" s="195"/>
    </row>
    <row r="31" spans="1:17" s="258" customFormat="1" ht="15" customHeight="1">
      <c r="C31" s="508"/>
      <c r="D31" s="483"/>
      <c r="E31" s="124" t="s">
        <v>16</v>
      </c>
      <c r="F31" s="484"/>
      <c r="G31" s="485"/>
      <c r="H31" s="485"/>
      <c r="I31" s="485"/>
      <c r="J31" s="485"/>
      <c r="K31" s="485"/>
      <c r="L31" s="485"/>
      <c r="M31" s="486"/>
      <c r="N31" s="128"/>
      <c r="O31" s="128"/>
      <c r="P31" s="195"/>
    </row>
    <row r="32" spans="1:17" s="258" customFormat="1" ht="15" customHeight="1">
      <c r="C32" s="508"/>
      <c r="D32" s="487">
        <v>4</v>
      </c>
      <c r="E32" s="122" t="s">
        <v>492</v>
      </c>
      <c r="F32" s="491"/>
      <c r="G32" s="492"/>
      <c r="H32" s="492"/>
      <c r="I32" s="492"/>
      <c r="J32" s="492"/>
      <c r="K32" s="492"/>
      <c r="L32" s="492"/>
      <c r="M32" s="493"/>
      <c r="N32" s="130"/>
      <c r="O32" s="130"/>
      <c r="P32" s="195"/>
    </row>
    <row r="33" spans="3:17" s="258" customFormat="1" ht="15" customHeight="1">
      <c r="C33" s="508"/>
      <c r="D33" s="487">
        <v>5</v>
      </c>
      <c r="E33" s="122" t="s">
        <v>122</v>
      </c>
      <c r="F33" s="491"/>
      <c r="G33" s="492"/>
      <c r="H33" s="492"/>
      <c r="I33" s="492"/>
      <c r="J33" s="492"/>
      <c r="K33" s="492"/>
      <c r="L33" s="492"/>
      <c r="M33" s="493"/>
      <c r="N33" s="130"/>
      <c r="O33" s="130"/>
      <c r="P33" s="195"/>
    </row>
    <row r="34" spans="3:17" s="258" customFormat="1" ht="15" customHeight="1">
      <c r="C34" s="508"/>
      <c r="D34" s="487">
        <v>6</v>
      </c>
      <c r="E34" s="122" t="s">
        <v>493</v>
      </c>
      <c r="F34" s="491"/>
      <c r="G34" s="492"/>
      <c r="H34" s="492"/>
      <c r="I34" s="492"/>
      <c r="J34" s="492"/>
      <c r="K34" s="492"/>
      <c r="L34" s="492"/>
      <c r="M34" s="493"/>
      <c r="N34" s="130"/>
      <c r="O34" s="130"/>
      <c r="P34" s="195"/>
    </row>
    <row r="35" spans="3:17" s="258" customFormat="1" ht="15" customHeight="1">
      <c r="C35" s="508"/>
      <c r="D35" s="487">
        <v>7</v>
      </c>
      <c r="E35" s="122" t="s">
        <v>215</v>
      </c>
      <c r="F35" s="491"/>
      <c r="G35" s="492"/>
      <c r="H35" s="492"/>
      <c r="I35" s="492"/>
      <c r="J35" s="492"/>
      <c r="K35" s="492"/>
      <c r="L35" s="492"/>
      <c r="M35" s="493"/>
      <c r="N35" s="130"/>
      <c r="O35" s="130"/>
      <c r="P35" s="195"/>
    </row>
    <row r="36" spans="3:17" s="258" customFormat="1" ht="15" customHeight="1">
      <c r="C36" s="508"/>
      <c r="D36" s="487">
        <v>8</v>
      </c>
      <c r="E36" s="122" t="s">
        <v>0</v>
      </c>
      <c r="F36" s="491"/>
      <c r="G36" s="492"/>
      <c r="H36" s="492"/>
      <c r="I36" s="492"/>
      <c r="J36" s="492"/>
      <c r="K36" s="492"/>
      <c r="L36" s="492"/>
      <c r="M36" s="493"/>
      <c r="N36" s="130"/>
      <c r="O36" s="130"/>
      <c r="P36" s="195"/>
    </row>
    <row r="37" spans="3:17" s="258" customFormat="1" ht="15" customHeight="1">
      <c r="C37" s="508"/>
      <c r="D37" s="487">
        <v>9</v>
      </c>
      <c r="E37" s="122" t="s">
        <v>17</v>
      </c>
      <c r="F37" s="491"/>
      <c r="G37" s="492"/>
      <c r="H37" s="492"/>
      <c r="I37" s="492"/>
      <c r="J37" s="492"/>
      <c r="K37" s="492"/>
      <c r="L37" s="492"/>
      <c r="M37" s="493"/>
      <c r="N37" s="130"/>
      <c r="O37" s="130"/>
      <c r="P37" s="195"/>
    </row>
    <row r="38" spans="3:17" s="258" customFormat="1" ht="15" customHeight="1">
      <c r="C38" s="508"/>
      <c r="D38" s="483"/>
      <c r="E38" s="124" t="s">
        <v>301</v>
      </c>
      <c r="F38" s="488"/>
      <c r="G38" s="489"/>
      <c r="H38" s="489"/>
      <c r="I38" s="489"/>
      <c r="J38" s="489"/>
      <c r="K38" s="489"/>
      <c r="L38" s="489"/>
      <c r="M38" s="490"/>
      <c r="N38" s="134"/>
      <c r="O38" s="134"/>
      <c r="P38" s="195"/>
    </row>
    <row r="39" spans="3:17" s="258" customFormat="1" ht="15" customHeight="1">
      <c r="C39" s="508"/>
      <c r="D39" s="487">
        <v>10</v>
      </c>
      <c r="E39" s="122" t="s">
        <v>100</v>
      </c>
      <c r="F39" s="491"/>
      <c r="G39" s="492"/>
      <c r="H39" s="492"/>
      <c r="I39" s="492"/>
      <c r="J39" s="492"/>
      <c r="K39" s="492"/>
      <c r="L39" s="492"/>
      <c r="M39" s="493"/>
      <c r="N39" s="130"/>
      <c r="O39" s="130"/>
      <c r="P39" s="195"/>
    </row>
    <row r="40" spans="3:17" s="258" customFormat="1" ht="15" customHeight="1">
      <c r="C40" s="508"/>
      <c r="D40" s="487">
        <v>11</v>
      </c>
      <c r="E40" s="122" t="s">
        <v>740</v>
      </c>
      <c r="F40" s="491"/>
      <c r="G40" s="492"/>
      <c r="H40" s="492"/>
      <c r="I40" s="492"/>
      <c r="J40" s="492"/>
      <c r="K40" s="492"/>
      <c r="L40" s="492"/>
      <c r="M40" s="493"/>
      <c r="N40" s="130"/>
      <c r="O40" s="130"/>
      <c r="P40" s="195"/>
    </row>
    <row r="41" spans="3:17" s="258" customFormat="1" ht="15" customHeight="1">
      <c r="C41" s="508"/>
      <c r="D41" s="487">
        <v>12</v>
      </c>
      <c r="E41" s="122" t="s">
        <v>67</v>
      </c>
      <c r="F41" s="491"/>
      <c r="G41" s="492"/>
      <c r="H41" s="492"/>
      <c r="I41" s="492"/>
      <c r="J41" s="492"/>
      <c r="K41" s="492"/>
      <c r="L41" s="492"/>
      <c r="M41" s="493"/>
      <c r="N41" s="130"/>
      <c r="O41" s="130"/>
      <c r="P41" s="195"/>
    </row>
    <row r="42" spans="3:17" s="258" customFormat="1" ht="15" customHeight="1">
      <c r="C42" s="508"/>
      <c r="D42" s="487">
        <v>13</v>
      </c>
      <c r="E42" s="122" t="s">
        <v>19</v>
      </c>
      <c r="F42" s="491"/>
      <c r="G42" s="492"/>
      <c r="H42" s="492"/>
      <c r="I42" s="492"/>
      <c r="J42" s="492"/>
      <c r="K42" s="492"/>
      <c r="L42" s="492"/>
      <c r="M42" s="493"/>
      <c r="N42" s="130"/>
      <c r="O42" s="130"/>
      <c r="P42" s="195"/>
    </row>
    <row r="43" spans="3:17" s="258" customFormat="1" ht="15" customHeight="1">
      <c r="C43" s="508"/>
      <c r="D43" s="487">
        <v>14</v>
      </c>
      <c r="E43" s="122" t="s">
        <v>105</v>
      </c>
      <c r="F43" s="491"/>
      <c r="G43" s="492"/>
      <c r="H43" s="492"/>
      <c r="I43" s="492"/>
      <c r="J43" s="492"/>
      <c r="K43" s="492"/>
      <c r="L43" s="492"/>
      <c r="M43" s="493"/>
      <c r="N43" s="130"/>
      <c r="O43" s="130"/>
      <c r="P43" s="195"/>
    </row>
    <row r="44" spans="3:17" s="258" customFormat="1" ht="15" customHeight="1">
      <c r="C44" s="508"/>
      <c r="D44" s="487">
        <v>15</v>
      </c>
      <c r="E44" s="122" t="s">
        <v>23</v>
      </c>
      <c r="F44" s="491"/>
      <c r="G44" s="492"/>
      <c r="H44" s="492"/>
      <c r="I44" s="492"/>
      <c r="J44" s="492"/>
      <c r="K44" s="492"/>
      <c r="L44" s="492"/>
      <c r="M44" s="493"/>
      <c r="N44" s="130"/>
      <c r="O44" s="130"/>
      <c r="P44" s="195"/>
    </row>
    <row r="45" spans="3:17" s="258" customFormat="1" ht="15" customHeight="1">
      <c r="C45" s="508"/>
      <c r="D45" s="487">
        <v>16</v>
      </c>
      <c r="E45" s="122" t="s">
        <v>220</v>
      </c>
      <c r="F45" s="491"/>
      <c r="G45" s="492"/>
      <c r="H45" s="492"/>
      <c r="I45" s="492"/>
      <c r="J45" s="492"/>
      <c r="K45" s="492"/>
      <c r="L45" s="492"/>
      <c r="M45" s="493"/>
      <c r="N45" s="130"/>
      <c r="O45" s="130"/>
      <c r="P45" s="195"/>
    </row>
    <row r="46" spans="3:17" s="258" customFormat="1" ht="15" customHeight="1">
      <c r="C46" s="508"/>
      <c r="D46" s="487">
        <v>17</v>
      </c>
      <c r="E46" s="122" t="s">
        <v>7</v>
      </c>
      <c r="F46" s="491"/>
      <c r="G46" s="492"/>
      <c r="H46" s="492"/>
      <c r="I46" s="492"/>
      <c r="J46" s="492"/>
      <c r="K46" s="492"/>
      <c r="L46" s="492"/>
      <c r="M46" s="493"/>
      <c r="N46" s="130"/>
      <c r="O46" s="130"/>
      <c r="P46" s="195"/>
    </row>
    <row r="47" spans="3:17" s="258" customFormat="1" ht="15" customHeight="1">
      <c r="C47" s="508"/>
      <c r="D47" s="483"/>
      <c r="E47" s="124" t="s">
        <v>167</v>
      </c>
      <c r="F47" s="488"/>
      <c r="G47" s="489"/>
      <c r="H47" s="489"/>
      <c r="I47" s="489"/>
      <c r="J47" s="489"/>
      <c r="K47" s="489"/>
      <c r="L47" s="489"/>
      <c r="M47" s="490"/>
      <c r="N47" s="134"/>
      <c r="O47" s="134"/>
      <c r="P47" s="195"/>
    </row>
    <row r="48" spans="3:17" s="258" customFormat="1" ht="15" customHeight="1">
      <c r="C48" s="508"/>
      <c r="D48" s="487">
        <v>18</v>
      </c>
      <c r="E48" s="122" t="s">
        <v>100</v>
      </c>
      <c r="F48" s="491"/>
      <c r="G48" s="492"/>
      <c r="H48" s="492"/>
      <c r="I48" s="492"/>
      <c r="J48" s="492"/>
      <c r="K48" s="492"/>
      <c r="L48" s="492"/>
      <c r="M48" s="493"/>
      <c r="N48" s="130"/>
      <c r="O48" s="130"/>
      <c r="P48" s="195"/>
      <c r="Q48" s="524"/>
    </row>
    <row r="49" spans="3:23" s="258" customFormat="1" ht="15" customHeight="1">
      <c r="C49" s="508"/>
      <c r="D49" s="487">
        <v>19</v>
      </c>
      <c r="E49" s="122" t="s">
        <v>740</v>
      </c>
      <c r="F49" s="491"/>
      <c r="G49" s="492"/>
      <c r="H49" s="492"/>
      <c r="I49" s="492"/>
      <c r="J49" s="492"/>
      <c r="K49" s="492"/>
      <c r="L49" s="492"/>
      <c r="M49" s="493"/>
      <c r="N49" s="130"/>
      <c r="O49" s="130"/>
      <c r="P49" s="195"/>
      <c r="Q49" s="524"/>
      <c r="R49" s="524"/>
      <c r="S49" s="524"/>
      <c r="T49" s="524"/>
      <c r="U49" s="524"/>
      <c r="V49" s="524"/>
      <c r="W49" s="524"/>
    </row>
    <row r="50" spans="3:23" s="258" customFormat="1" ht="15" customHeight="1">
      <c r="C50" s="508"/>
      <c r="D50" s="487">
        <v>20</v>
      </c>
      <c r="E50" s="122" t="s">
        <v>67</v>
      </c>
      <c r="F50" s="491"/>
      <c r="G50" s="492"/>
      <c r="H50" s="492"/>
      <c r="I50" s="492"/>
      <c r="J50" s="492"/>
      <c r="K50" s="492"/>
      <c r="L50" s="492"/>
      <c r="M50" s="493"/>
      <c r="N50" s="130"/>
      <c r="O50" s="130"/>
      <c r="P50" s="195"/>
      <c r="Q50" s="524"/>
    </row>
    <row r="51" spans="3:23" s="258" customFormat="1" ht="15" customHeight="1">
      <c r="C51" s="508"/>
      <c r="D51" s="487">
        <v>21</v>
      </c>
      <c r="E51" s="122" t="s">
        <v>19</v>
      </c>
      <c r="F51" s="491"/>
      <c r="G51" s="492"/>
      <c r="H51" s="492"/>
      <c r="I51" s="492"/>
      <c r="J51" s="492"/>
      <c r="K51" s="492"/>
      <c r="L51" s="492"/>
      <c r="M51" s="493"/>
      <c r="N51" s="130"/>
      <c r="O51" s="130"/>
      <c r="P51" s="195"/>
      <c r="Q51" s="524"/>
    </row>
    <row r="52" spans="3:23" s="258" customFormat="1" ht="15" customHeight="1">
      <c r="C52" s="508"/>
      <c r="D52" s="487">
        <v>22</v>
      </c>
      <c r="E52" s="122" t="s">
        <v>105</v>
      </c>
      <c r="F52" s="491"/>
      <c r="G52" s="492"/>
      <c r="H52" s="492"/>
      <c r="I52" s="492"/>
      <c r="J52" s="492"/>
      <c r="K52" s="492"/>
      <c r="L52" s="492"/>
      <c r="M52" s="493"/>
      <c r="N52" s="130"/>
      <c r="O52" s="130"/>
      <c r="P52" s="195"/>
      <c r="Q52" s="524"/>
    </row>
    <row r="53" spans="3:23" s="258" customFormat="1" ht="15" customHeight="1">
      <c r="C53" s="508"/>
      <c r="D53" s="487">
        <v>23</v>
      </c>
      <c r="E53" s="122" t="s">
        <v>23</v>
      </c>
      <c r="F53" s="491"/>
      <c r="G53" s="492"/>
      <c r="H53" s="492"/>
      <c r="I53" s="492"/>
      <c r="J53" s="492"/>
      <c r="K53" s="492"/>
      <c r="L53" s="492"/>
      <c r="M53" s="493"/>
      <c r="N53" s="130"/>
      <c r="O53" s="130"/>
      <c r="P53" s="195"/>
      <c r="Q53" s="524"/>
    </row>
    <row r="54" spans="3:23" s="258" customFormat="1" ht="15" customHeight="1">
      <c r="C54" s="508"/>
      <c r="D54" s="487">
        <v>24</v>
      </c>
      <c r="E54" s="122" t="s">
        <v>220</v>
      </c>
      <c r="F54" s="491"/>
      <c r="G54" s="492"/>
      <c r="H54" s="492"/>
      <c r="I54" s="492"/>
      <c r="J54" s="492"/>
      <c r="K54" s="492"/>
      <c r="L54" s="492"/>
      <c r="M54" s="493"/>
      <c r="N54" s="130"/>
      <c r="O54" s="130"/>
      <c r="P54" s="195"/>
      <c r="Q54" s="524"/>
    </row>
    <row r="55" spans="3:23" s="258" customFormat="1" ht="15" customHeight="1">
      <c r="C55" s="508"/>
      <c r="D55" s="487">
        <v>25</v>
      </c>
      <c r="E55" s="122" t="s">
        <v>7</v>
      </c>
      <c r="F55" s="491"/>
      <c r="G55" s="492"/>
      <c r="H55" s="492"/>
      <c r="I55" s="492"/>
      <c r="J55" s="492"/>
      <c r="K55" s="492"/>
      <c r="L55" s="492"/>
      <c r="M55" s="493"/>
      <c r="N55" s="130"/>
      <c r="O55" s="130"/>
      <c r="P55" s="195"/>
      <c r="Q55" s="524"/>
    </row>
    <row r="56" spans="3:23" s="258" customFormat="1" ht="15" customHeight="1">
      <c r="C56" s="508"/>
      <c r="D56" s="483"/>
      <c r="E56" s="124" t="s">
        <v>20</v>
      </c>
      <c r="F56" s="488"/>
      <c r="G56" s="489"/>
      <c r="H56" s="489"/>
      <c r="I56" s="489"/>
      <c r="J56" s="489"/>
      <c r="K56" s="489"/>
      <c r="L56" s="489"/>
      <c r="M56" s="490"/>
      <c r="N56" s="474"/>
      <c r="O56" s="494"/>
      <c r="P56" s="195"/>
    </row>
    <row r="57" spans="3:23" s="258" customFormat="1" ht="15" customHeight="1">
      <c r="C57" s="508"/>
      <c r="D57" s="487">
        <v>26</v>
      </c>
      <c r="E57" s="122" t="s">
        <v>505</v>
      </c>
      <c r="F57" s="491"/>
      <c r="G57" s="492"/>
      <c r="H57" s="492"/>
      <c r="I57" s="492"/>
      <c r="J57" s="492"/>
      <c r="K57" s="492"/>
      <c r="L57" s="492"/>
      <c r="M57" s="493"/>
      <c r="N57" s="130"/>
      <c r="O57" s="130"/>
      <c r="P57" s="195"/>
    </row>
    <row r="58" spans="3:23" s="258" customFormat="1" ht="15" customHeight="1">
      <c r="C58" s="508"/>
      <c r="D58" s="487">
        <v>27</v>
      </c>
      <c r="E58" s="122" t="s">
        <v>60</v>
      </c>
      <c r="F58" s="491"/>
      <c r="G58" s="492"/>
      <c r="H58" s="492"/>
      <c r="I58" s="492"/>
      <c r="J58" s="492"/>
      <c r="K58" s="492"/>
      <c r="L58" s="492"/>
      <c r="M58" s="493"/>
      <c r="N58" s="130"/>
      <c r="O58" s="130"/>
      <c r="P58" s="195"/>
    </row>
    <row r="59" spans="3:23" s="258" customFormat="1" ht="15" customHeight="1">
      <c r="C59" s="508"/>
      <c r="D59" s="487">
        <v>28</v>
      </c>
      <c r="E59" s="122" t="s">
        <v>45</v>
      </c>
      <c r="F59" s="495"/>
      <c r="G59" s="492"/>
      <c r="H59" s="492"/>
      <c r="I59" s="492"/>
      <c r="J59" s="492"/>
      <c r="K59" s="492"/>
      <c r="L59" s="492"/>
      <c r="M59" s="493"/>
      <c r="N59" s="130"/>
      <c r="O59" s="130"/>
      <c r="P59" s="195"/>
    </row>
    <row r="60" spans="3:23" s="258" customFormat="1" ht="15" customHeight="1">
      <c r="C60" s="508"/>
      <c r="D60" s="487">
        <v>29</v>
      </c>
      <c r="E60" s="122" t="s">
        <v>521</v>
      </c>
      <c r="F60" s="495"/>
      <c r="G60" s="492"/>
      <c r="H60" s="492"/>
      <c r="I60" s="492"/>
      <c r="J60" s="492"/>
      <c r="K60" s="492"/>
      <c r="L60" s="492"/>
      <c r="M60" s="493"/>
      <c r="N60" s="130"/>
      <c r="O60" s="130"/>
      <c r="P60" s="195"/>
    </row>
    <row r="61" spans="3:23" s="258" customFormat="1" ht="15" customHeight="1">
      <c r="C61" s="508"/>
      <c r="D61" s="487">
        <v>30</v>
      </c>
      <c r="E61" s="122" t="s">
        <v>521</v>
      </c>
      <c r="F61" s="495"/>
      <c r="G61" s="492"/>
      <c r="H61" s="492"/>
      <c r="I61" s="492"/>
      <c r="J61" s="492"/>
      <c r="K61" s="492"/>
      <c r="L61" s="492"/>
      <c r="M61" s="493"/>
      <c r="N61" s="130"/>
      <c r="O61" s="130"/>
      <c r="P61" s="157"/>
    </row>
    <row r="62" spans="3:23" s="258" customFormat="1" ht="15" customHeight="1">
      <c r="C62" s="508"/>
      <c r="D62" s="487">
        <v>31</v>
      </c>
      <c r="E62" s="122" t="s">
        <v>729</v>
      </c>
      <c r="F62" s="495"/>
      <c r="G62" s="492"/>
      <c r="H62" s="492"/>
      <c r="I62" s="492"/>
      <c r="J62" s="492"/>
      <c r="K62" s="492"/>
      <c r="L62" s="492"/>
      <c r="M62" s="493"/>
      <c r="N62" s="130"/>
      <c r="O62" s="130"/>
      <c r="P62" s="195"/>
    </row>
    <row r="63" spans="3:23" s="258" customFormat="1" ht="15" customHeight="1">
      <c r="C63" s="508"/>
      <c r="D63" s="487">
        <v>32</v>
      </c>
      <c r="E63" s="122" t="s">
        <v>10</v>
      </c>
      <c r="F63" s="495"/>
      <c r="G63" s="492"/>
      <c r="H63" s="492"/>
      <c r="I63" s="492"/>
      <c r="J63" s="492"/>
      <c r="K63" s="492"/>
      <c r="L63" s="492"/>
      <c r="M63" s="519"/>
      <c r="N63" s="130"/>
      <c r="O63" s="130"/>
      <c r="P63" s="195"/>
    </row>
    <row r="64" spans="3:23" s="258" customFormat="1" ht="15" customHeight="1">
      <c r="C64" s="508"/>
      <c r="D64" s="483"/>
      <c r="E64" s="124" t="s">
        <v>176</v>
      </c>
      <c r="F64" s="488"/>
      <c r="G64" s="489"/>
      <c r="H64" s="489"/>
      <c r="I64" s="489"/>
      <c r="J64" s="489"/>
      <c r="K64" s="507"/>
      <c r="L64" s="489"/>
      <c r="M64" s="490"/>
      <c r="N64" s="474"/>
      <c r="O64" s="494"/>
      <c r="P64" s="157"/>
    </row>
    <row r="65" spans="3:16" s="258" customFormat="1" ht="15" customHeight="1">
      <c r="C65" s="508"/>
      <c r="D65" s="487">
        <v>33</v>
      </c>
      <c r="E65" s="122" t="s">
        <v>176</v>
      </c>
      <c r="F65" s="491"/>
      <c r="G65" s="492"/>
      <c r="H65" s="492"/>
      <c r="I65" s="492"/>
      <c r="J65" s="492"/>
      <c r="K65" s="492"/>
      <c r="L65" s="492"/>
      <c r="M65" s="493"/>
      <c r="N65" s="130"/>
      <c r="O65" s="130"/>
      <c r="P65" s="157"/>
    </row>
    <row r="66" spans="3:16" s="258" customFormat="1" ht="15" customHeight="1">
      <c r="C66" s="508"/>
      <c r="D66" s="487">
        <v>34</v>
      </c>
      <c r="E66" s="122" t="s">
        <v>191</v>
      </c>
      <c r="F66" s="491"/>
      <c r="G66" s="492"/>
      <c r="H66" s="492"/>
      <c r="I66" s="492"/>
      <c r="J66" s="492"/>
      <c r="K66" s="492"/>
      <c r="L66" s="492"/>
      <c r="M66" s="493"/>
      <c r="N66" s="130"/>
      <c r="O66" s="130"/>
      <c r="P66" s="157"/>
    </row>
    <row r="67" spans="3:16" s="258" customFormat="1" ht="15" customHeight="1">
      <c r="C67" s="498"/>
      <c r="D67" s="483"/>
      <c r="E67" s="124" t="s">
        <v>302</v>
      </c>
      <c r="F67" s="488"/>
      <c r="G67" s="489"/>
      <c r="H67" s="489"/>
      <c r="I67" s="489"/>
      <c r="J67" s="489"/>
      <c r="K67" s="507"/>
      <c r="L67" s="489"/>
      <c r="M67" s="490"/>
      <c r="N67" s="474"/>
      <c r="O67" s="494"/>
      <c r="P67" s="157"/>
    </row>
    <row r="68" spans="3:16" s="258" customFormat="1" ht="15" customHeight="1">
      <c r="C68" s="498"/>
      <c r="D68" s="487">
        <v>35</v>
      </c>
      <c r="E68" s="206">
        <v>42460</v>
      </c>
      <c r="F68" s="495"/>
      <c r="G68" s="492"/>
      <c r="H68" s="492"/>
      <c r="I68" s="492"/>
      <c r="J68" s="492"/>
      <c r="K68" s="492"/>
      <c r="L68" s="492"/>
      <c r="M68" s="493"/>
      <c r="N68" s="130"/>
      <c r="O68" s="130"/>
      <c r="P68" s="157"/>
    </row>
    <row r="69" spans="3:16" s="258" customFormat="1" ht="15" customHeight="1">
      <c r="C69" s="498"/>
      <c r="D69" s="487">
        <v>36</v>
      </c>
      <c r="E69" s="206">
        <v>42825</v>
      </c>
      <c r="F69" s="495"/>
      <c r="G69" s="492"/>
      <c r="H69" s="492"/>
      <c r="I69" s="492"/>
      <c r="J69" s="492"/>
      <c r="K69" s="492"/>
      <c r="L69" s="492"/>
      <c r="M69" s="493"/>
      <c r="N69" s="130"/>
      <c r="O69" s="130"/>
      <c r="P69" s="157"/>
    </row>
    <row r="70" spans="3:16" s="258" customFormat="1" ht="15" customHeight="1">
      <c r="C70" s="498"/>
      <c r="D70" s="487">
        <v>37</v>
      </c>
      <c r="E70" s="206">
        <v>43190</v>
      </c>
      <c r="F70" s="495"/>
      <c r="G70" s="492"/>
      <c r="H70" s="492"/>
      <c r="I70" s="492"/>
      <c r="J70" s="492"/>
      <c r="K70" s="492"/>
      <c r="L70" s="492"/>
      <c r="M70" s="493"/>
      <c r="N70" s="130"/>
      <c r="O70" s="130"/>
      <c r="P70" s="157"/>
    </row>
    <row r="71" spans="3:16" s="258" customFormat="1" ht="15" customHeight="1">
      <c r="C71" s="498"/>
      <c r="D71" s="487">
        <v>38</v>
      </c>
      <c r="E71" s="206">
        <v>43555</v>
      </c>
      <c r="F71" s="495"/>
      <c r="G71" s="492"/>
      <c r="H71" s="492"/>
      <c r="I71" s="492"/>
      <c r="J71" s="492"/>
      <c r="K71" s="492"/>
      <c r="L71" s="492"/>
      <c r="M71" s="493"/>
      <c r="N71" s="130"/>
      <c r="O71" s="130"/>
      <c r="P71" s="157"/>
    </row>
    <row r="72" spans="3:16" s="258" customFormat="1" ht="15" customHeight="1">
      <c r="C72" s="498"/>
      <c r="D72" s="487">
        <v>39</v>
      </c>
      <c r="E72" s="206">
        <v>43921</v>
      </c>
      <c r="F72" s="495"/>
      <c r="G72" s="492"/>
      <c r="H72" s="492"/>
      <c r="I72" s="492"/>
      <c r="J72" s="492"/>
      <c r="K72" s="492"/>
      <c r="L72" s="492"/>
      <c r="M72" s="493"/>
      <c r="N72" s="130"/>
      <c r="O72" s="130"/>
      <c r="P72" s="157"/>
    </row>
    <row r="73" spans="3:16" s="258" customFormat="1" ht="15" customHeight="1">
      <c r="C73" s="498"/>
      <c r="D73" s="487">
        <v>40</v>
      </c>
      <c r="E73" s="206">
        <v>44286</v>
      </c>
      <c r="F73" s="495"/>
      <c r="G73" s="492"/>
      <c r="H73" s="492"/>
      <c r="I73" s="492"/>
      <c r="J73" s="492"/>
      <c r="K73" s="492"/>
      <c r="L73" s="492"/>
      <c r="M73" s="493"/>
      <c r="N73" s="130"/>
      <c r="O73" s="130"/>
      <c r="P73" s="157"/>
    </row>
    <row r="74" spans="3:16" s="258" customFormat="1" ht="15" customHeight="1">
      <c r="C74" s="498"/>
      <c r="D74" s="487">
        <v>41</v>
      </c>
      <c r="E74" s="206">
        <v>44651</v>
      </c>
      <c r="F74" s="495"/>
      <c r="G74" s="492"/>
      <c r="H74" s="492"/>
      <c r="I74" s="492"/>
      <c r="J74" s="492"/>
      <c r="K74" s="492"/>
      <c r="L74" s="492"/>
      <c r="M74" s="493"/>
      <c r="N74" s="130"/>
      <c r="O74" s="130"/>
      <c r="P74" s="157"/>
    </row>
    <row r="75" spans="3:16" s="258" customFormat="1" ht="15" customHeight="1">
      <c r="C75" s="498"/>
      <c r="D75" s="487">
        <v>42</v>
      </c>
      <c r="E75" s="206">
        <v>45016</v>
      </c>
      <c r="F75" s="495"/>
      <c r="G75" s="492"/>
      <c r="H75" s="492"/>
      <c r="I75" s="492"/>
      <c r="J75" s="492"/>
      <c r="K75" s="492"/>
      <c r="L75" s="492"/>
      <c r="M75" s="493"/>
      <c r="N75" s="130"/>
      <c r="O75" s="130"/>
      <c r="P75" s="157"/>
    </row>
    <row r="76" spans="3:16" s="258" customFormat="1" ht="15" customHeight="1">
      <c r="C76" s="498"/>
      <c r="D76" s="483"/>
      <c r="E76" s="124" t="s">
        <v>506</v>
      </c>
      <c r="F76" s="488"/>
      <c r="G76" s="489"/>
      <c r="H76" s="489"/>
      <c r="I76" s="489"/>
      <c r="J76" s="489"/>
      <c r="K76" s="507"/>
      <c r="L76" s="489"/>
      <c r="M76" s="490"/>
      <c r="N76" s="474"/>
      <c r="O76" s="494"/>
      <c r="P76" s="157"/>
    </row>
    <row r="77" spans="3:16" s="258" customFormat="1" ht="15" customHeight="1">
      <c r="C77" s="498"/>
      <c r="D77" s="487">
        <v>43</v>
      </c>
      <c r="E77" s="206">
        <v>42460</v>
      </c>
      <c r="F77" s="495"/>
      <c r="G77" s="492"/>
      <c r="H77" s="492"/>
      <c r="I77" s="492"/>
      <c r="J77" s="492"/>
      <c r="K77" s="492"/>
      <c r="L77" s="492"/>
      <c r="M77" s="493"/>
      <c r="N77" s="130"/>
      <c r="O77" s="130"/>
      <c r="P77" s="157"/>
    </row>
    <row r="78" spans="3:16" s="258" customFormat="1" ht="15" customHeight="1">
      <c r="C78" s="498"/>
      <c r="D78" s="487">
        <v>44</v>
      </c>
      <c r="E78" s="206">
        <v>42825</v>
      </c>
      <c r="F78" s="495"/>
      <c r="G78" s="492"/>
      <c r="H78" s="492"/>
      <c r="I78" s="492"/>
      <c r="J78" s="492"/>
      <c r="K78" s="492"/>
      <c r="L78" s="492"/>
      <c r="M78" s="493"/>
      <c r="N78" s="130"/>
      <c r="O78" s="130"/>
      <c r="P78" s="157"/>
    </row>
    <row r="79" spans="3:16" s="258" customFormat="1" ht="15" customHeight="1">
      <c r="C79" s="498"/>
      <c r="D79" s="487">
        <v>45</v>
      </c>
      <c r="E79" s="206">
        <v>43190</v>
      </c>
      <c r="F79" s="495"/>
      <c r="G79" s="492"/>
      <c r="H79" s="492"/>
      <c r="I79" s="492"/>
      <c r="J79" s="492"/>
      <c r="K79" s="492"/>
      <c r="L79" s="492"/>
      <c r="M79" s="493"/>
      <c r="N79" s="130"/>
      <c r="O79" s="130"/>
      <c r="P79" s="157"/>
    </row>
    <row r="80" spans="3:16" s="258" customFormat="1" ht="15" customHeight="1">
      <c r="C80" s="498"/>
      <c r="D80" s="487">
        <v>46</v>
      </c>
      <c r="E80" s="206">
        <v>43555</v>
      </c>
      <c r="F80" s="495"/>
      <c r="G80" s="492"/>
      <c r="H80" s="492"/>
      <c r="I80" s="492"/>
      <c r="J80" s="492"/>
      <c r="K80" s="492"/>
      <c r="L80" s="492"/>
      <c r="M80" s="493"/>
      <c r="N80" s="130"/>
      <c r="O80" s="130"/>
      <c r="P80" s="157"/>
    </row>
    <row r="81" spans="3:16" s="258" customFormat="1" ht="15" customHeight="1">
      <c r="C81" s="498"/>
      <c r="D81" s="487">
        <v>47</v>
      </c>
      <c r="E81" s="206">
        <v>43921</v>
      </c>
      <c r="F81" s="495"/>
      <c r="G81" s="492"/>
      <c r="H81" s="492"/>
      <c r="I81" s="492"/>
      <c r="J81" s="492"/>
      <c r="K81" s="492"/>
      <c r="L81" s="492"/>
      <c r="M81" s="493"/>
      <c r="N81" s="130"/>
      <c r="O81" s="130"/>
      <c r="P81" s="157"/>
    </row>
    <row r="82" spans="3:16" s="258" customFormat="1" ht="15" customHeight="1">
      <c r="C82" s="498"/>
      <c r="D82" s="487">
        <v>48</v>
      </c>
      <c r="E82" s="206">
        <v>44286</v>
      </c>
      <c r="F82" s="495"/>
      <c r="G82" s="492"/>
      <c r="H82" s="492"/>
      <c r="I82" s="492"/>
      <c r="J82" s="492"/>
      <c r="K82" s="492"/>
      <c r="L82" s="492"/>
      <c r="M82" s="493"/>
      <c r="N82" s="130"/>
      <c r="O82" s="130"/>
      <c r="P82" s="157"/>
    </row>
    <row r="83" spans="3:16" s="258" customFormat="1" ht="15" customHeight="1">
      <c r="C83" s="498"/>
      <c r="D83" s="487">
        <v>49</v>
      </c>
      <c r="E83" s="206">
        <v>44651</v>
      </c>
      <c r="F83" s="495"/>
      <c r="G83" s="492"/>
      <c r="H83" s="492"/>
      <c r="I83" s="492"/>
      <c r="J83" s="492"/>
      <c r="K83" s="492"/>
      <c r="L83" s="492"/>
      <c r="M83" s="493"/>
      <c r="N83" s="130"/>
      <c r="O83" s="130"/>
      <c r="P83" s="157"/>
    </row>
    <row r="84" spans="3:16" s="258" customFormat="1" ht="15" customHeight="1">
      <c r="C84" s="498"/>
      <c r="D84" s="487">
        <v>50</v>
      </c>
      <c r="E84" s="206">
        <v>45016</v>
      </c>
      <c r="F84" s="495"/>
      <c r="G84" s="492"/>
      <c r="H84" s="492"/>
      <c r="I84" s="492"/>
      <c r="J84" s="492"/>
      <c r="K84" s="492"/>
      <c r="L84" s="492"/>
      <c r="M84" s="493"/>
      <c r="N84" s="130"/>
      <c r="O84" s="130"/>
      <c r="P84" s="157"/>
    </row>
    <row r="85" spans="3:16" s="258" customFormat="1" ht="15" customHeight="1">
      <c r="C85" s="498"/>
      <c r="D85" s="483"/>
      <c r="E85" s="124" t="s">
        <v>518</v>
      </c>
      <c r="F85" s="488"/>
      <c r="G85" s="489"/>
      <c r="H85" s="489"/>
      <c r="I85" s="489"/>
      <c r="J85" s="489"/>
      <c r="K85" s="507"/>
      <c r="L85" s="489"/>
      <c r="M85" s="490"/>
      <c r="N85" s="474"/>
      <c r="O85" s="494"/>
      <c r="P85" s="195"/>
    </row>
    <row r="86" spans="3:16" s="258" customFormat="1" ht="15" customHeight="1">
      <c r="C86" s="498"/>
      <c r="D86" s="487">
        <v>51</v>
      </c>
      <c r="E86" s="122" t="s">
        <v>489</v>
      </c>
      <c r="F86" s="491"/>
      <c r="G86" s="492"/>
      <c r="H86" s="492"/>
      <c r="I86" s="492"/>
      <c r="J86" s="492"/>
      <c r="K86" s="492"/>
      <c r="L86" s="492"/>
      <c r="M86" s="493"/>
      <c r="N86" s="130"/>
      <c r="O86" s="130"/>
      <c r="P86" s="195"/>
    </row>
    <row r="87" spans="3:16" s="258" customFormat="1" ht="15" customHeight="1">
      <c r="C87" s="498"/>
      <c r="D87" s="487">
        <v>52</v>
      </c>
      <c r="E87" s="122" t="s">
        <v>490</v>
      </c>
      <c r="F87" s="509"/>
      <c r="G87" s="510"/>
      <c r="H87" s="510"/>
      <c r="I87" s="510"/>
      <c r="J87" s="510"/>
      <c r="K87" s="510"/>
      <c r="L87" s="510"/>
      <c r="M87" s="511"/>
      <c r="N87" s="234"/>
      <c r="O87" s="234"/>
      <c r="P87" s="195"/>
    </row>
    <row r="88" spans="3:16" s="258" customFormat="1" ht="15" customHeight="1">
      <c r="C88" s="508"/>
      <c r="D88" s="487">
        <v>53</v>
      </c>
      <c r="E88" s="122" t="s">
        <v>465</v>
      </c>
      <c r="F88" s="491"/>
      <c r="G88" s="492"/>
      <c r="H88" s="492"/>
      <c r="I88" s="492"/>
      <c r="J88" s="492"/>
      <c r="K88" s="492"/>
      <c r="L88" s="492"/>
      <c r="M88" s="493"/>
      <c r="N88" s="130"/>
      <c r="O88" s="130"/>
      <c r="P88" s="157"/>
    </row>
    <row r="89" spans="3:16" s="258" customFormat="1" ht="15" customHeight="1">
      <c r="C89" s="508"/>
      <c r="D89" s="487">
        <v>54</v>
      </c>
      <c r="E89" s="122" t="s">
        <v>491</v>
      </c>
      <c r="F89" s="495"/>
      <c r="G89" s="492"/>
      <c r="H89" s="492"/>
      <c r="I89" s="492"/>
      <c r="J89" s="492"/>
      <c r="K89" s="492"/>
      <c r="L89" s="492"/>
      <c r="M89" s="493"/>
      <c r="N89" s="130"/>
      <c r="O89" s="130"/>
      <c r="P89" s="195"/>
    </row>
    <row r="90" spans="3:16" s="258" customFormat="1" ht="15" customHeight="1" thickBot="1">
      <c r="C90" s="508"/>
      <c r="D90" s="496">
        <v>55</v>
      </c>
      <c r="E90" s="520" t="s">
        <v>874</v>
      </c>
      <c r="F90" s="515"/>
      <c r="G90" s="497"/>
      <c r="H90" s="497"/>
      <c r="I90" s="497"/>
      <c r="J90" s="497"/>
      <c r="K90" s="497"/>
      <c r="L90" s="497"/>
      <c r="M90" s="512"/>
      <c r="N90" s="514"/>
      <c r="O90" s="514"/>
      <c r="P90" s="195"/>
    </row>
    <row r="91" spans="3:16" s="258" customFormat="1" ht="15" customHeight="1">
      <c r="C91" s="498"/>
      <c r="D91" s="256"/>
      <c r="E91" s="195"/>
      <c r="F91" s="157"/>
      <c r="G91" s="157"/>
      <c r="H91" s="157"/>
      <c r="I91" s="157"/>
      <c r="J91" s="157"/>
      <c r="K91" s="157"/>
      <c r="L91" s="157"/>
      <c r="M91" s="523"/>
      <c r="N91" s="157"/>
      <c r="O91" s="157"/>
      <c r="P91" s="195"/>
    </row>
    <row r="92" spans="3:16" s="258" customFormat="1" ht="15" customHeight="1">
      <c r="C92" s="498"/>
      <c r="D92" s="256"/>
      <c r="E92" s="195"/>
      <c r="F92" s="157"/>
      <c r="G92" s="157"/>
      <c r="H92" s="157"/>
      <c r="I92" s="157"/>
      <c r="J92" s="157"/>
      <c r="K92" s="157"/>
      <c r="L92" s="157"/>
      <c r="M92" s="523"/>
      <c r="N92" s="157"/>
      <c r="O92" s="157"/>
      <c r="P92" s="195"/>
    </row>
    <row r="93" spans="3:16" s="258" customFormat="1" ht="15" customHeight="1">
      <c r="C93" s="498"/>
      <c r="D93" s="256"/>
      <c r="E93" s="195"/>
      <c r="F93" s="157"/>
      <c r="G93" s="157"/>
      <c r="H93" s="157"/>
      <c r="I93" s="157"/>
      <c r="J93" s="157"/>
      <c r="K93" s="157"/>
      <c r="L93" s="157"/>
      <c r="M93" s="523"/>
      <c r="N93" s="157"/>
      <c r="O93" s="157"/>
      <c r="P93" s="195"/>
    </row>
    <row r="94" spans="3:16" s="258" customFormat="1" ht="15" customHeight="1">
      <c r="C94" s="498"/>
      <c r="D94" s="256"/>
      <c r="E94" s="195"/>
      <c r="F94" s="157"/>
      <c r="G94" s="157"/>
      <c r="H94" s="157"/>
      <c r="I94" s="157"/>
      <c r="J94" s="157"/>
      <c r="K94" s="157"/>
      <c r="L94" s="157"/>
      <c r="M94" s="523"/>
      <c r="N94" s="157"/>
      <c r="O94" s="157"/>
      <c r="P94" s="195"/>
    </row>
    <row r="95" spans="3:16" s="258" customFormat="1" ht="15" customHeight="1">
      <c r="C95" s="498"/>
      <c r="D95" s="256"/>
      <c r="E95" s="195"/>
      <c r="F95" s="157"/>
      <c r="G95" s="157"/>
      <c r="H95" s="157"/>
      <c r="I95" s="157"/>
      <c r="J95" s="157"/>
      <c r="K95" s="157"/>
      <c r="L95" s="157"/>
      <c r="M95" s="523"/>
      <c r="N95" s="157"/>
      <c r="O95" s="157"/>
      <c r="P95" s="195"/>
    </row>
    <row r="96" spans="3:16" s="258" customFormat="1" ht="15" customHeight="1">
      <c r="C96" s="517" t="s">
        <v>1016</v>
      </c>
      <c r="D96" s="517"/>
      <c r="E96" s="517"/>
      <c r="F96" s="517"/>
      <c r="G96" s="517"/>
      <c r="H96" s="517"/>
      <c r="I96" s="517"/>
      <c r="J96" s="517"/>
      <c r="K96" s="517"/>
      <c r="L96" s="517"/>
      <c r="M96" s="517"/>
      <c r="N96" s="517"/>
      <c r="O96" s="517"/>
      <c r="P96" s="195"/>
    </row>
    <row r="97" spans="3:16" s="258" customFormat="1" ht="15" customHeight="1">
      <c r="C97" s="508"/>
      <c r="D97" s="508"/>
      <c r="E97" s="508"/>
      <c r="F97" s="508"/>
      <c r="G97" s="508"/>
      <c r="H97" s="508"/>
      <c r="I97" s="508"/>
      <c r="J97" s="508"/>
      <c r="K97" s="508"/>
      <c r="L97" s="508"/>
      <c r="M97" s="508"/>
      <c r="N97" s="508"/>
      <c r="O97" s="508"/>
      <c r="P97" s="195"/>
    </row>
    <row r="98" spans="3:16" s="258" customFormat="1" ht="15" customHeight="1">
      <c r="C98" s="508"/>
      <c r="D98" s="479"/>
      <c r="E98" s="479"/>
      <c r="F98" s="480"/>
      <c r="G98" s="480"/>
      <c r="H98" s="480"/>
      <c r="I98" s="480"/>
      <c r="J98" s="480"/>
      <c r="K98" s="480"/>
      <c r="L98" s="480"/>
      <c r="M98" s="480"/>
      <c r="N98" s="479"/>
      <c r="O98" s="479"/>
      <c r="P98" s="157"/>
    </row>
    <row r="99" spans="3:16" s="258" customFormat="1" ht="15" customHeight="1">
      <c r="C99" s="508"/>
      <c r="D99" s="479"/>
      <c r="E99" s="518" t="s">
        <v>58</v>
      </c>
      <c r="F99" s="518" t="s">
        <v>239</v>
      </c>
      <c r="G99" s="480"/>
      <c r="H99" s="518" t="s">
        <v>39</v>
      </c>
      <c r="I99" s="480"/>
      <c r="J99" s="480"/>
      <c r="K99" s="480"/>
      <c r="L99" s="480"/>
      <c r="M99" s="480"/>
      <c r="N99" s="479"/>
      <c r="O99" s="479"/>
      <c r="P99" s="157"/>
    </row>
    <row r="100" spans="3:16" s="258" customFormat="1" ht="15" customHeight="1">
      <c r="C100" s="508"/>
      <c r="D100" s="118"/>
      <c r="E100" s="118" t="s">
        <v>1017</v>
      </c>
      <c r="F100" s="388">
        <v>42460</v>
      </c>
      <c r="G100" s="119"/>
      <c r="H100" s="118" t="s">
        <v>1042</v>
      </c>
      <c r="I100" s="119"/>
      <c r="J100" s="119"/>
      <c r="K100" s="119"/>
      <c r="L100" s="119"/>
      <c r="M100" s="119"/>
      <c r="N100" s="118"/>
      <c r="O100" s="118"/>
      <c r="P100" s="157"/>
    </row>
    <row r="101" spans="3:16" s="258" customFormat="1" ht="15" customHeight="1" thickBot="1">
      <c r="C101" s="508"/>
      <c r="D101" s="508"/>
      <c r="E101" s="508"/>
      <c r="F101" s="508"/>
      <c r="G101" s="478"/>
      <c r="H101" s="508"/>
      <c r="I101" s="508"/>
      <c r="J101" s="508"/>
      <c r="K101" s="508"/>
      <c r="L101" s="508"/>
      <c r="M101" s="508"/>
      <c r="N101" s="508"/>
      <c r="O101" s="508"/>
      <c r="P101" s="157"/>
    </row>
    <row r="102" spans="3:16" s="258" customFormat="1" ht="15" customHeight="1">
      <c r="C102" s="508"/>
      <c r="D102" s="481"/>
      <c r="E102" s="506" t="s">
        <v>236</v>
      </c>
      <c r="F102" s="499">
        <v>42460</v>
      </c>
      <c r="G102" s="500">
        <v>42825</v>
      </c>
      <c r="H102" s="500">
        <v>43190</v>
      </c>
      <c r="I102" s="500">
        <v>43555</v>
      </c>
      <c r="J102" s="500">
        <v>43921</v>
      </c>
      <c r="K102" s="500">
        <v>44286</v>
      </c>
      <c r="L102" s="500">
        <v>44651</v>
      </c>
      <c r="M102" s="501">
        <v>45016</v>
      </c>
      <c r="N102" s="513" t="s">
        <v>86</v>
      </c>
      <c r="O102" s="502" t="s">
        <v>87</v>
      </c>
      <c r="P102" s="157"/>
    </row>
    <row r="103" spans="3:16" s="258" customFormat="1" ht="15" customHeight="1">
      <c r="C103" s="508"/>
      <c r="D103" s="482"/>
      <c r="E103" s="122" t="s">
        <v>240</v>
      </c>
      <c r="F103" s="503" t="s">
        <v>844</v>
      </c>
      <c r="G103" s="504" t="s">
        <v>844</v>
      </c>
      <c r="H103" s="504" t="s">
        <v>844</v>
      </c>
      <c r="I103" s="504" t="s">
        <v>844</v>
      </c>
      <c r="J103" s="504" t="s">
        <v>844</v>
      </c>
      <c r="K103" s="504" t="s">
        <v>844</v>
      </c>
      <c r="L103" s="504" t="s">
        <v>844</v>
      </c>
      <c r="M103" s="505" t="s">
        <v>844</v>
      </c>
      <c r="N103" s="192" t="s">
        <v>844</v>
      </c>
      <c r="O103" s="192" t="s">
        <v>844</v>
      </c>
      <c r="P103" s="195"/>
    </row>
    <row r="104" spans="3:16" s="258" customFormat="1" ht="15" customHeight="1">
      <c r="C104" s="508"/>
      <c r="D104" s="483"/>
      <c r="E104" s="124" t="s">
        <v>69</v>
      </c>
      <c r="F104" s="484"/>
      <c r="G104" s="485"/>
      <c r="H104" s="485"/>
      <c r="I104" s="485"/>
      <c r="J104" s="485"/>
      <c r="K104" s="485"/>
      <c r="L104" s="485"/>
      <c r="M104" s="486"/>
      <c r="N104" s="128"/>
      <c r="O104" s="128"/>
      <c r="P104" s="195"/>
    </row>
    <row r="105" spans="3:16" s="258" customFormat="1" ht="15" customHeight="1">
      <c r="C105" s="508"/>
      <c r="D105" s="487">
        <v>1</v>
      </c>
      <c r="E105" s="122" t="s">
        <v>213</v>
      </c>
      <c r="F105" s="491"/>
      <c r="G105" s="492"/>
      <c r="H105" s="492"/>
      <c r="I105" s="492"/>
      <c r="J105" s="492"/>
      <c r="K105" s="492"/>
      <c r="L105" s="492"/>
      <c r="M105" s="493"/>
      <c r="N105" s="130"/>
      <c r="O105" s="130"/>
      <c r="P105" s="195"/>
    </row>
    <row r="106" spans="3:16" s="258" customFormat="1" ht="15" customHeight="1">
      <c r="C106" s="508"/>
      <c r="D106" s="487">
        <v>2</v>
      </c>
      <c r="E106" s="122" t="s">
        <v>879</v>
      </c>
      <c r="F106" s="491"/>
      <c r="G106" s="492"/>
      <c r="H106" s="492"/>
      <c r="I106" s="492"/>
      <c r="J106" s="492"/>
      <c r="K106" s="492"/>
      <c r="L106" s="492"/>
      <c r="M106" s="493"/>
      <c r="N106" s="130"/>
      <c r="O106" s="130"/>
      <c r="P106" s="195"/>
    </row>
    <row r="107" spans="3:16" s="258" customFormat="1" ht="15" customHeight="1">
      <c r="C107" s="508"/>
      <c r="D107" s="487">
        <v>3</v>
      </c>
      <c r="E107" s="122" t="s">
        <v>214</v>
      </c>
      <c r="F107" s="491"/>
      <c r="G107" s="492"/>
      <c r="H107" s="492"/>
      <c r="I107" s="492"/>
      <c r="J107" s="492"/>
      <c r="K107" s="492"/>
      <c r="L107" s="492"/>
      <c r="M107" s="493"/>
      <c r="N107" s="130"/>
      <c r="O107" s="130"/>
      <c r="P107" s="195"/>
    </row>
    <row r="108" spans="3:16" s="258" customFormat="1" ht="15" customHeight="1">
      <c r="C108" s="508"/>
      <c r="D108" s="483"/>
      <c r="E108" s="124" t="s">
        <v>16</v>
      </c>
      <c r="F108" s="484"/>
      <c r="G108" s="485"/>
      <c r="H108" s="485"/>
      <c r="I108" s="485"/>
      <c r="J108" s="485"/>
      <c r="K108" s="485"/>
      <c r="L108" s="485"/>
      <c r="M108" s="486"/>
      <c r="N108" s="128"/>
      <c r="O108" s="128"/>
      <c r="P108" s="195"/>
    </row>
    <row r="109" spans="3:16" s="258" customFormat="1" ht="15" customHeight="1">
      <c r="C109" s="508"/>
      <c r="D109" s="487">
        <v>4</v>
      </c>
      <c r="E109" s="122" t="s">
        <v>492</v>
      </c>
      <c r="F109" s="491"/>
      <c r="G109" s="492"/>
      <c r="H109" s="492"/>
      <c r="I109" s="492"/>
      <c r="J109" s="492"/>
      <c r="K109" s="492"/>
      <c r="L109" s="492"/>
      <c r="M109" s="493"/>
      <c r="N109" s="130"/>
      <c r="O109" s="130"/>
      <c r="P109" s="195"/>
    </row>
    <row r="110" spans="3:16" s="258" customFormat="1" ht="15" customHeight="1">
      <c r="C110" s="508"/>
      <c r="D110" s="487">
        <v>5</v>
      </c>
      <c r="E110" s="122" t="s">
        <v>122</v>
      </c>
      <c r="F110" s="491"/>
      <c r="G110" s="492"/>
      <c r="H110" s="492"/>
      <c r="I110" s="492"/>
      <c r="J110" s="492"/>
      <c r="K110" s="492"/>
      <c r="L110" s="492"/>
      <c r="M110" s="493"/>
      <c r="N110" s="130"/>
      <c r="O110" s="130"/>
      <c r="P110" s="195"/>
    </row>
    <row r="111" spans="3:16" s="258" customFormat="1" ht="15" customHeight="1">
      <c r="C111" s="508"/>
      <c r="D111" s="487">
        <v>6</v>
      </c>
      <c r="E111" s="122" t="s">
        <v>493</v>
      </c>
      <c r="F111" s="491"/>
      <c r="G111" s="492"/>
      <c r="H111" s="492"/>
      <c r="I111" s="492"/>
      <c r="J111" s="492"/>
      <c r="K111" s="492"/>
      <c r="L111" s="492"/>
      <c r="M111" s="493"/>
      <c r="N111" s="130"/>
      <c r="O111" s="130"/>
      <c r="P111" s="195"/>
    </row>
    <row r="112" spans="3:16" s="258" customFormat="1" ht="15" customHeight="1">
      <c r="C112" s="508"/>
      <c r="D112" s="487">
        <v>7</v>
      </c>
      <c r="E112" s="122" t="s">
        <v>215</v>
      </c>
      <c r="F112" s="491"/>
      <c r="G112" s="492"/>
      <c r="H112" s="492"/>
      <c r="I112" s="492"/>
      <c r="J112" s="492"/>
      <c r="K112" s="492"/>
      <c r="L112" s="492"/>
      <c r="M112" s="493"/>
      <c r="N112" s="130"/>
      <c r="O112" s="130"/>
      <c r="P112" s="195"/>
    </row>
    <row r="113" spans="3:16" s="258" customFormat="1" ht="15" customHeight="1">
      <c r="C113" s="508"/>
      <c r="D113" s="487">
        <v>8</v>
      </c>
      <c r="E113" s="122" t="s">
        <v>0</v>
      </c>
      <c r="F113" s="491"/>
      <c r="G113" s="492"/>
      <c r="H113" s="492"/>
      <c r="I113" s="492"/>
      <c r="J113" s="492"/>
      <c r="K113" s="492"/>
      <c r="L113" s="492"/>
      <c r="M113" s="493"/>
      <c r="N113" s="130"/>
      <c r="O113" s="130"/>
      <c r="P113" s="195"/>
    </row>
    <row r="114" spans="3:16" s="258" customFormat="1" ht="15" customHeight="1">
      <c r="C114" s="508"/>
      <c r="D114" s="487">
        <v>9</v>
      </c>
      <c r="E114" s="122" t="s">
        <v>17</v>
      </c>
      <c r="F114" s="491"/>
      <c r="G114" s="492"/>
      <c r="H114" s="492"/>
      <c r="I114" s="492"/>
      <c r="J114" s="492"/>
      <c r="K114" s="492"/>
      <c r="L114" s="492"/>
      <c r="M114" s="493"/>
      <c r="N114" s="130"/>
      <c r="O114" s="130"/>
      <c r="P114" s="195"/>
    </row>
    <row r="115" spans="3:16" s="258" customFormat="1" ht="15" customHeight="1">
      <c r="C115" s="508"/>
      <c r="D115" s="483"/>
      <c r="E115" s="124" t="s">
        <v>301</v>
      </c>
      <c r="F115" s="488"/>
      <c r="G115" s="489"/>
      <c r="H115" s="489"/>
      <c r="I115" s="489"/>
      <c r="J115" s="489"/>
      <c r="K115" s="489"/>
      <c r="L115" s="489"/>
      <c r="M115" s="490"/>
      <c r="N115" s="134"/>
      <c r="O115" s="134"/>
      <c r="P115" s="195"/>
    </row>
    <row r="116" spans="3:16" s="258" customFormat="1" ht="15" customHeight="1">
      <c r="C116" s="508"/>
      <c r="D116" s="487">
        <v>10</v>
      </c>
      <c r="E116" s="122" t="s">
        <v>100</v>
      </c>
      <c r="F116" s="491"/>
      <c r="G116" s="492"/>
      <c r="H116" s="492"/>
      <c r="I116" s="492"/>
      <c r="J116" s="492"/>
      <c r="K116" s="492"/>
      <c r="L116" s="492"/>
      <c r="M116" s="493"/>
      <c r="N116" s="130"/>
      <c r="O116" s="130"/>
      <c r="P116" s="195"/>
    </row>
    <row r="117" spans="3:16" s="258" customFormat="1" ht="15" customHeight="1">
      <c r="C117" s="508"/>
      <c r="D117" s="487">
        <v>11</v>
      </c>
      <c r="E117" s="122" t="s">
        <v>740</v>
      </c>
      <c r="F117" s="491"/>
      <c r="G117" s="492"/>
      <c r="H117" s="492"/>
      <c r="I117" s="492"/>
      <c r="J117" s="492"/>
      <c r="K117" s="492"/>
      <c r="L117" s="492"/>
      <c r="M117" s="493"/>
      <c r="N117" s="130"/>
      <c r="O117" s="130"/>
      <c r="P117" s="195"/>
    </row>
    <row r="118" spans="3:16" s="258" customFormat="1" ht="15" customHeight="1">
      <c r="C118" s="508"/>
      <c r="D118" s="487">
        <v>12</v>
      </c>
      <c r="E118" s="122" t="s">
        <v>67</v>
      </c>
      <c r="F118" s="491"/>
      <c r="G118" s="492"/>
      <c r="H118" s="492"/>
      <c r="I118" s="492"/>
      <c r="J118" s="492"/>
      <c r="K118" s="492"/>
      <c r="L118" s="492"/>
      <c r="M118" s="493"/>
      <c r="N118" s="130"/>
      <c r="O118" s="130"/>
      <c r="P118" s="195"/>
    </row>
    <row r="119" spans="3:16" s="258" customFormat="1" ht="15" customHeight="1">
      <c r="C119" s="508"/>
      <c r="D119" s="487">
        <v>13</v>
      </c>
      <c r="E119" s="122" t="s">
        <v>19</v>
      </c>
      <c r="F119" s="491"/>
      <c r="G119" s="492"/>
      <c r="H119" s="492"/>
      <c r="I119" s="492"/>
      <c r="J119" s="492"/>
      <c r="K119" s="492"/>
      <c r="L119" s="492"/>
      <c r="M119" s="493"/>
      <c r="N119" s="130"/>
      <c r="O119" s="130"/>
      <c r="P119" s="195"/>
    </row>
    <row r="120" spans="3:16" s="258" customFormat="1" ht="15" customHeight="1">
      <c r="C120" s="508"/>
      <c r="D120" s="487">
        <v>14</v>
      </c>
      <c r="E120" s="122" t="s">
        <v>105</v>
      </c>
      <c r="F120" s="491"/>
      <c r="G120" s="492"/>
      <c r="H120" s="492"/>
      <c r="I120" s="492"/>
      <c r="J120" s="492"/>
      <c r="K120" s="492"/>
      <c r="L120" s="492"/>
      <c r="M120" s="493"/>
      <c r="N120" s="130"/>
      <c r="O120" s="130"/>
      <c r="P120" s="195"/>
    </row>
    <row r="121" spans="3:16" s="258" customFormat="1" ht="15" customHeight="1">
      <c r="C121" s="508"/>
      <c r="D121" s="487">
        <v>15</v>
      </c>
      <c r="E121" s="122" t="s">
        <v>23</v>
      </c>
      <c r="F121" s="491"/>
      <c r="G121" s="492"/>
      <c r="H121" s="492"/>
      <c r="I121" s="492"/>
      <c r="J121" s="492"/>
      <c r="K121" s="492"/>
      <c r="L121" s="492"/>
      <c r="M121" s="493"/>
      <c r="N121" s="130"/>
      <c r="O121" s="130"/>
      <c r="P121" s="195"/>
    </row>
    <row r="122" spans="3:16" s="258" customFormat="1" ht="15" customHeight="1">
      <c r="C122" s="508"/>
      <c r="D122" s="487">
        <v>16</v>
      </c>
      <c r="E122" s="122" t="s">
        <v>220</v>
      </c>
      <c r="F122" s="491"/>
      <c r="G122" s="492"/>
      <c r="H122" s="492"/>
      <c r="I122" s="492"/>
      <c r="J122" s="492"/>
      <c r="K122" s="492"/>
      <c r="L122" s="492"/>
      <c r="M122" s="493"/>
      <c r="N122" s="130"/>
      <c r="O122" s="130"/>
      <c r="P122" s="195"/>
    </row>
    <row r="123" spans="3:16" s="258" customFormat="1" ht="15" customHeight="1">
      <c r="C123" s="508"/>
      <c r="D123" s="487">
        <v>17</v>
      </c>
      <c r="E123" s="122" t="s">
        <v>7</v>
      </c>
      <c r="F123" s="491"/>
      <c r="G123" s="492"/>
      <c r="H123" s="492"/>
      <c r="I123" s="492"/>
      <c r="J123" s="492"/>
      <c r="K123" s="492"/>
      <c r="L123" s="492"/>
      <c r="M123" s="493"/>
      <c r="N123" s="130"/>
      <c r="O123" s="130"/>
      <c r="P123" s="195"/>
    </row>
    <row r="124" spans="3:16" s="258" customFormat="1" ht="15" customHeight="1">
      <c r="C124" s="508"/>
      <c r="D124" s="483"/>
      <c r="E124" s="124" t="s">
        <v>167</v>
      </c>
      <c r="F124" s="488"/>
      <c r="G124" s="489"/>
      <c r="H124" s="489"/>
      <c r="I124" s="489"/>
      <c r="J124" s="489"/>
      <c r="K124" s="489"/>
      <c r="L124" s="489"/>
      <c r="M124" s="490"/>
      <c r="N124" s="134"/>
      <c r="O124" s="134"/>
      <c r="P124" s="195"/>
    </row>
    <row r="125" spans="3:16" s="258" customFormat="1" ht="15" customHeight="1">
      <c r="C125" s="508"/>
      <c r="D125" s="487">
        <v>18</v>
      </c>
      <c r="E125" s="122" t="s">
        <v>100</v>
      </c>
      <c r="F125" s="491"/>
      <c r="G125" s="492"/>
      <c r="H125" s="492"/>
      <c r="I125" s="492"/>
      <c r="J125" s="492"/>
      <c r="K125" s="492"/>
      <c r="L125" s="492"/>
      <c r="M125" s="493"/>
      <c r="N125" s="130"/>
      <c r="O125" s="130"/>
      <c r="P125" s="195"/>
    </row>
    <row r="126" spans="3:16" s="258" customFormat="1" ht="15" customHeight="1">
      <c r="C126" s="508"/>
      <c r="D126" s="487">
        <v>19</v>
      </c>
      <c r="E126" s="122" t="s">
        <v>740</v>
      </c>
      <c r="F126" s="491"/>
      <c r="G126" s="492"/>
      <c r="H126" s="492"/>
      <c r="I126" s="492"/>
      <c r="J126" s="492"/>
      <c r="K126" s="492"/>
      <c r="L126" s="492"/>
      <c r="M126" s="493"/>
      <c r="N126" s="130"/>
      <c r="O126" s="130"/>
      <c r="P126" s="195"/>
    </row>
    <row r="127" spans="3:16" s="258" customFormat="1" ht="15" customHeight="1">
      <c r="C127" s="508"/>
      <c r="D127" s="487">
        <v>20</v>
      </c>
      <c r="E127" s="122" t="s">
        <v>67</v>
      </c>
      <c r="F127" s="491"/>
      <c r="G127" s="492"/>
      <c r="H127" s="492"/>
      <c r="I127" s="492"/>
      <c r="J127" s="492"/>
      <c r="K127" s="492"/>
      <c r="L127" s="492"/>
      <c r="M127" s="493"/>
      <c r="N127" s="130"/>
      <c r="O127" s="130"/>
      <c r="P127" s="195"/>
    </row>
    <row r="128" spans="3:16" s="258" customFormat="1" ht="15" customHeight="1">
      <c r="C128" s="508"/>
      <c r="D128" s="487">
        <v>21</v>
      </c>
      <c r="E128" s="122" t="s">
        <v>19</v>
      </c>
      <c r="F128" s="491"/>
      <c r="G128" s="492"/>
      <c r="H128" s="492"/>
      <c r="I128" s="492"/>
      <c r="J128" s="492"/>
      <c r="K128" s="492"/>
      <c r="L128" s="492"/>
      <c r="M128" s="493"/>
      <c r="N128" s="130"/>
      <c r="O128" s="130"/>
      <c r="P128" s="195"/>
    </row>
    <row r="129" spans="3:16" s="258" customFormat="1" ht="15" customHeight="1">
      <c r="C129" s="508"/>
      <c r="D129" s="487">
        <v>22</v>
      </c>
      <c r="E129" s="122" t="s">
        <v>105</v>
      </c>
      <c r="F129" s="491"/>
      <c r="G129" s="492"/>
      <c r="H129" s="492"/>
      <c r="I129" s="492"/>
      <c r="J129" s="492"/>
      <c r="K129" s="492"/>
      <c r="L129" s="492"/>
      <c r="M129" s="493"/>
      <c r="N129" s="130"/>
      <c r="O129" s="130"/>
      <c r="P129" s="195"/>
    </row>
    <row r="130" spans="3:16" s="258" customFormat="1" ht="15" customHeight="1">
      <c r="C130" s="508"/>
      <c r="D130" s="487">
        <v>23</v>
      </c>
      <c r="E130" s="122" t="s">
        <v>23</v>
      </c>
      <c r="F130" s="491"/>
      <c r="G130" s="492"/>
      <c r="H130" s="492"/>
      <c r="I130" s="492"/>
      <c r="J130" s="492"/>
      <c r="K130" s="492"/>
      <c r="L130" s="492"/>
      <c r="M130" s="493"/>
      <c r="N130" s="130"/>
      <c r="O130" s="130"/>
      <c r="P130" s="195"/>
    </row>
    <row r="131" spans="3:16" s="258" customFormat="1" ht="15" customHeight="1">
      <c r="C131" s="508"/>
      <c r="D131" s="487">
        <v>24</v>
      </c>
      <c r="E131" s="122" t="s">
        <v>220</v>
      </c>
      <c r="F131" s="491"/>
      <c r="G131" s="492"/>
      <c r="H131" s="492"/>
      <c r="I131" s="492"/>
      <c r="J131" s="492"/>
      <c r="K131" s="492"/>
      <c r="L131" s="492"/>
      <c r="M131" s="493"/>
      <c r="N131" s="130"/>
      <c r="O131" s="130"/>
      <c r="P131" s="195"/>
    </row>
    <row r="132" spans="3:16" s="258" customFormat="1" ht="15" customHeight="1">
      <c r="C132" s="508"/>
      <c r="D132" s="487">
        <v>25</v>
      </c>
      <c r="E132" s="122" t="s">
        <v>7</v>
      </c>
      <c r="F132" s="491"/>
      <c r="G132" s="492"/>
      <c r="H132" s="492"/>
      <c r="I132" s="492"/>
      <c r="J132" s="492"/>
      <c r="K132" s="492"/>
      <c r="L132" s="492"/>
      <c r="M132" s="493"/>
      <c r="N132" s="130"/>
      <c r="O132" s="130"/>
      <c r="P132" s="195"/>
    </row>
    <row r="133" spans="3:16" s="258" customFormat="1" ht="15" customHeight="1">
      <c r="C133" s="508"/>
      <c r="D133" s="483"/>
      <c r="E133" s="124" t="s">
        <v>20</v>
      </c>
      <c r="F133" s="488"/>
      <c r="G133" s="489"/>
      <c r="H133" s="489"/>
      <c r="I133" s="489"/>
      <c r="J133" s="489"/>
      <c r="K133" s="489"/>
      <c r="L133" s="489"/>
      <c r="M133" s="490"/>
      <c r="N133" s="474"/>
      <c r="O133" s="494"/>
      <c r="P133" s="195"/>
    </row>
    <row r="134" spans="3:16" s="258" customFormat="1" ht="15" customHeight="1">
      <c r="C134" s="508"/>
      <c r="D134" s="487">
        <v>26</v>
      </c>
      <c r="E134" s="122" t="s">
        <v>505</v>
      </c>
      <c r="F134" s="491"/>
      <c r="G134" s="492"/>
      <c r="H134" s="492"/>
      <c r="I134" s="492"/>
      <c r="J134" s="492"/>
      <c r="K134" s="492"/>
      <c r="L134" s="492"/>
      <c r="M134" s="493"/>
      <c r="N134" s="130"/>
      <c r="O134" s="130"/>
      <c r="P134" s="195"/>
    </row>
    <row r="135" spans="3:16" s="258" customFormat="1" ht="15" customHeight="1">
      <c r="C135" s="508"/>
      <c r="D135" s="487">
        <v>27</v>
      </c>
      <c r="E135" s="122" t="s">
        <v>60</v>
      </c>
      <c r="F135" s="491"/>
      <c r="G135" s="492"/>
      <c r="H135" s="492"/>
      <c r="I135" s="492"/>
      <c r="J135" s="492"/>
      <c r="K135" s="492"/>
      <c r="L135" s="492"/>
      <c r="M135" s="493"/>
      <c r="N135" s="130"/>
      <c r="O135" s="130"/>
      <c r="P135" s="195"/>
    </row>
    <row r="136" spans="3:16" s="258" customFormat="1" ht="15" customHeight="1">
      <c r="C136" s="508"/>
      <c r="D136" s="487">
        <v>28</v>
      </c>
      <c r="E136" s="122" t="s">
        <v>45</v>
      </c>
      <c r="F136" s="495"/>
      <c r="G136" s="492"/>
      <c r="H136" s="492"/>
      <c r="I136" s="492"/>
      <c r="J136" s="492"/>
      <c r="K136" s="492"/>
      <c r="L136" s="492"/>
      <c r="M136" s="493"/>
      <c r="N136" s="130"/>
      <c r="O136" s="130"/>
      <c r="P136" s="195"/>
    </row>
    <row r="137" spans="3:16" s="258" customFormat="1" ht="15" customHeight="1">
      <c r="C137" s="508"/>
      <c r="D137" s="487">
        <v>29</v>
      </c>
      <c r="E137" s="122" t="s">
        <v>521</v>
      </c>
      <c r="F137" s="495"/>
      <c r="G137" s="492"/>
      <c r="H137" s="492"/>
      <c r="I137" s="492"/>
      <c r="J137" s="492"/>
      <c r="K137" s="492"/>
      <c r="L137" s="492"/>
      <c r="M137" s="493"/>
      <c r="N137" s="130"/>
      <c r="O137" s="130"/>
      <c r="P137" s="195"/>
    </row>
    <row r="138" spans="3:16" s="258" customFormat="1" ht="15" customHeight="1">
      <c r="C138" s="508"/>
      <c r="D138" s="487">
        <v>30</v>
      </c>
      <c r="E138" s="122" t="s">
        <v>521</v>
      </c>
      <c r="F138" s="495"/>
      <c r="G138" s="492"/>
      <c r="H138" s="492"/>
      <c r="I138" s="492"/>
      <c r="J138" s="492"/>
      <c r="K138" s="492"/>
      <c r="L138" s="492"/>
      <c r="M138" s="493"/>
      <c r="N138" s="130"/>
      <c r="O138" s="130"/>
      <c r="P138" s="195"/>
    </row>
    <row r="139" spans="3:16" s="258" customFormat="1" ht="15" customHeight="1">
      <c r="C139" s="508"/>
      <c r="D139" s="487">
        <v>31</v>
      </c>
      <c r="E139" s="122" t="s">
        <v>729</v>
      </c>
      <c r="F139" s="495"/>
      <c r="G139" s="492"/>
      <c r="H139" s="492"/>
      <c r="I139" s="492"/>
      <c r="J139" s="492"/>
      <c r="K139" s="492"/>
      <c r="L139" s="492"/>
      <c r="M139" s="493"/>
      <c r="N139" s="130"/>
      <c r="O139" s="130"/>
      <c r="P139" s="195"/>
    </row>
    <row r="140" spans="3:16" s="258" customFormat="1" ht="15" customHeight="1">
      <c r="C140" s="508"/>
      <c r="D140" s="487">
        <v>32</v>
      </c>
      <c r="E140" s="122" t="s">
        <v>10</v>
      </c>
      <c r="F140" s="495"/>
      <c r="G140" s="492"/>
      <c r="H140" s="492"/>
      <c r="I140" s="492"/>
      <c r="J140" s="492"/>
      <c r="K140" s="492"/>
      <c r="L140" s="492"/>
      <c r="M140" s="519"/>
      <c r="N140" s="130"/>
      <c r="O140" s="130"/>
      <c r="P140" s="195"/>
    </row>
    <row r="141" spans="3:16" s="258" customFormat="1" ht="15" customHeight="1">
      <c r="C141" s="508"/>
      <c r="D141" s="483"/>
      <c r="E141" s="124" t="s">
        <v>176</v>
      </c>
      <c r="F141" s="488"/>
      <c r="G141" s="489"/>
      <c r="H141" s="489"/>
      <c r="I141" s="489"/>
      <c r="J141" s="489"/>
      <c r="K141" s="507"/>
      <c r="L141" s="489"/>
      <c r="M141" s="490"/>
      <c r="N141" s="474"/>
      <c r="O141" s="494"/>
      <c r="P141" s="195"/>
    </row>
    <row r="142" spans="3:16" s="258" customFormat="1" ht="15" customHeight="1">
      <c r="C142" s="508"/>
      <c r="D142" s="487">
        <v>33</v>
      </c>
      <c r="E142" s="122" t="s">
        <v>176</v>
      </c>
      <c r="F142" s="491"/>
      <c r="G142" s="492"/>
      <c r="H142" s="492"/>
      <c r="I142" s="492"/>
      <c r="J142" s="492"/>
      <c r="K142" s="492"/>
      <c r="L142" s="492"/>
      <c r="M142" s="493"/>
      <c r="N142" s="130"/>
      <c r="O142" s="130"/>
      <c r="P142" s="195"/>
    </row>
    <row r="143" spans="3:16" s="258" customFormat="1" ht="15" customHeight="1">
      <c r="C143" s="508"/>
      <c r="D143" s="487">
        <v>34</v>
      </c>
      <c r="E143" s="122" t="s">
        <v>191</v>
      </c>
      <c r="F143" s="491"/>
      <c r="G143" s="492"/>
      <c r="H143" s="492"/>
      <c r="I143" s="492"/>
      <c r="J143" s="492"/>
      <c r="K143" s="492"/>
      <c r="L143" s="492"/>
      <c r="M143" s="493"/>
      <c r="N143" s="130"/>
      <c r="O143" s="130"/>
      <c r="P143" s="195"/>
    </row>
    <row r="144" spans="3:16" s="258" customFormat="1" ht="15" customHeight="1">
      <c r="C144" s="498"/>
      <c r="D144" s="483"/>
      <c r="E144" s="124" t="s">
        <v>302</v>
      </c>
      <c r="F144" s="488"/>
      <c r="G144" s="489"/>
      <c r="H144" s="489"/>
      <c r="I144" s="489"/>
      <c r="J144" s="489"/>
      <c r="K144" s="507"/>
      <c r="L144" s="489"/>
      <c r="M144" s="490"/>
      <c r="N144" s="474"/>
      <c r="O144" s="494"/>
      <c r="P144" s="195"/>
    </row>
    <row r="145" spans="3:16" s="258" customFormat="1" ht="15" customHeight="1">
      <c r="C145" s="498"/>
      <c r="D145" s="487">
        <v>35</v>
      </c>
      <c r="E145" s="206">
        <v>42460</v>
      </c>
      <c r="F145" s="495"/>
      <c r="G145" s="492"/>
      <c r="H145" s="492"/>
      <c r="I145" s="492"/>
      <c r="J145" s="492"/>
      <c r="K145" s="492"/>
      <c r="L145" s="492"/>
      <c r="M145" s="493"/>
      <c r="N145" s="130"/>
      <c r="O145" s="130"/>
      <c r="P145" s="195"/>
    </row>
    <row r="146" spans="3:16" s="258" customFormat="1" ht="15" customHeight="1">
      <c r="C146" s="498"/>
      <c r="D146" s="487">
        <v>36</v>
      </c>
      <c r="E146" s="206">
        <v>42825</v>
      </c>
      <c r="F146" s="495"/>
      <c r="G146" s="492"/>
      <c r="H146" s="492"/>
      <c r="I146" s="492"/>
      <c r="J146" s="492"/>
      <c r="K146" s="492"/>
      <c r="L146" s="492"/>
      <c r="M146" s="493"/>
      <c r="N146" s="130"/>
      <c r="O146" s="130"/>
      <c r="P146" s="195"/>
    </row>
    <row r="147" spans="3:16" s="258" customFormat="1" ht="15" customHeight="1">
      <c r="C147" s="498"/>
      <c r="D147" s="487">
        <v>37</v>
      </c>
      <c r="E147" s="206">
        <v>43190</v>
      </c>
      <c r="F147" s="495"/>
      <c r="G147" s="492"/>
      <c r="H147" s="492"/>
      <c r="I147" s="492"/>
      <c r="J147" s="492"/>
      <c r="K147" s="492"/>
      <c r="L147" s="492"/>
      <c r="M147" s="493"/>
      <c r="N147" s="130"/>
      <c r="O147" s="130"/>
      <c r="P147" s="195"/>
    </row>
    <row r="148" spans="3:16" s="258" customFormat="1" ht="15" customHeight="1">
      <c r="C148" s="498"/>
      <c r="D148" s="487">
        <v>38</v>
      </c>
      <c r="E148" s="206">
        <v>43555</v>
      </c>
      <c r="F148" s="495"/>
      <c r="G148" s="492"/>
      <c r="H148" s="492"/>
      <c r="I148" s="492"/>
      <c r="J148" s="492"/>
      <c r="K148" s="492"/>
      <c r="L148" s="492"/>
      <c r="M148" s="493"/>
      <c r="N148" s="130"/>
      <c r="O148" s="130"/>
      <c r="P148" s="157"/>
    </row>
    <row r="149" spans="3:16" s="258" customFormat="1" ht="15" customHeight="1">
      <c r="C149" s="498"/>
      <c r="D149" s="487">
        <v>39</v>
      </c>
      <c r="E149" s="206">
        <v>43921</v>
      </c>
      <c r="F149" s="495"/>
      <c r="G149" s="492"/>
      <c r="H149" s="492"/>
      <c r="I149" s="492"/>
      <c r="J149" s="492"/>
      <c r="K149" s="492"/>
      <c r="L149" s="492"/>
      <c r="M149" s="493"/>
      <c r="N149" s="130"/>
      <c r="O149" s="130"/>
      <c r="P149" s="195"/>
    </row>
    <row r="150" spans="3:16" s="258" customFormat="1" ht="15" customHeight="1">
      <c r="C150" s="498"/>
      <c r="D150" s="487">
        <v>40</v>
      </c>
      <c r="E150" s="206">
        <v>44286</v>
      </c>
      <c r="F150" s="495"/>
      <c r="G150" s="492"/>
      <c r="H150" s="492"/>
      <c r="I150" s="492"/>
      <c r="J150" s="492"/>
      <c r="K150" s="492"/>
      <c r="L150" s="492"/>
      <c r="M150" s="493"/>
      <c r="N150" s="130"/>
      <c r="O150" s="130"/>
      <c r="P150" s="195"/>
    </row>
    <row r="151" spans="3:16" s="258" customFormat="1" ht="15" customHeight="1">
      <c r="C151" s="498"/>
      <c r="D151" s="487">
        <v>41</v>
      </c>
      <c r="E151" s="206">
        <v>44651</v>
      </c>
      <c r="F151" s="495"/>
      <c r="G151" s="492"/>
      <c r="H151" s="492"/>
      <c r="I151" s="492"/>
      <c r="J151" s="492"/>
      <c r="K151" s="492"/>
      <c r="L151" s="492"/>
      <c r="M151" s="493"/>
      <c r="N151" s="130"/>
      <c r="O151" s="130"/>
      <c r="P151" s="157"/>
    </row>
    <row r="152" spans="3:16" s="258" customFormat="1" ht="15" customHeight="1">
      <c r="C152" s="498"/>
      <c r="D152" s="487">
        <v>42</v>
      </c>
      <c r="E152" s="206">
        <v>45016</v>
      </c>
      <c r="F152" s="495"/>
      <c r="G152" s="492"/>
      <c r="H152" s="492"/>
      <c r="I152" s="492"/>
      <c r="J152" s="492"/>
      <c r="K152" s="492"/>
      <c r="L152" s="492"/>
      <c r="M152" s="493"/>
      <c r="N152" s="130"/>
      <c r="O152" s="130"/>
      <c r="P152" s="157"/>
    </row>
    <row r="153" spans="3:16" s="258" customFormat="1" ht="15" customHeight="1">
      <c r="C153" s="498"/>
      <c r="D153" s="483"/>
      <c r="E153" s="124" t="s">
        <v>506</v>
      </c>
      <c r="F153" s="488"/>
      <c r="G153" s="489"/>
      <c r="H153" s="489"/>
      <c r="I153" s="489"/>
      <c r="J153" s="489"/>
      <c r="K153" s="507"/>
      <c r="L153" s="489"/>
      <c r="M153" s="490"/>
      <c r="N153" s="474"/>
      <c r="O153" s="494"/>
      <c r="P153" s="157"/>
    </row>
    <row r="154" spans="3:16" s="258" customFormat="1" ht="15" customHeight="1">
      <c r="C154" s="498"/>
      <c r="D154" s="487">
        <v>43</v>
      </c>
      <c r="E154" s="206">
        <v>42460</v>
      </c>
      <c r="F154" s="495"/>
      <c r="G154" s="492"/>
      <c r="H154" s="492"/>
      <c r="I154" s="492"/>
      <c r="J154" s="492"/>
      <c r="K154" s="492"/>
      <c r="L154" s="492"/>
      <c r="M154" s="493"/>
      <c r="N154" s="130"/>
      <c r="O154" s="130"/>
      <c r="P154" s="157"/>
    </row>
    <row r="155" spans="3:16" s="258" customFormat="1" ht="15" customHeight="1">
      <c r="C155" s="498"/>
      <c r="D155" s="487">
        <v>44</v>
      </c>
      <c r="E155" s="206">
        <v>42825</v>
      </c>
      <c r="F155" s="495"/>
      <c r="G155" s="492"/>
      <c r="H155" s="492"/>
      <c r="I155" s="492"/>
      <c r="J155" s="492"/>
      <c r="K155" s="492"/>
      <c r="L155" s="492"/>
      <c r="M155" s="493"/>
      <c r="N155" s="130"/>
      <c r="O155" s="130"/>
      <c r="P155" s="157"/>
    </row>
    <row r="156" spans="3:16" s="258" customFormat="1" ht="15" customHeight="1">
      <c r="C156" s="498"/>
      <c r="D156" s="487">
        <v>45</v>
      </c>
      <c r="E156" s="206">
        <v>43190</v>
      </c>
      <c r="F156" s="495"/>
      <c r="G156" s="492"/>
      <c r="H156" s="492"/>
      <c r="I156" s="492"/>
      <c r="J156" s="492"/>
      <c r="K156" s="492"/>
      <c r="L156" s="492"/>
      <c r="M156" s="493"/>
      <c r="N156" s="130"/>
      <c r="O156" s="130"/>
      <c r="P156" s="157"/>
    </row>
    <row r="157" spans="3:16" s="258" customFormat="1" ht="15" customHeight="1">
      <c r="C157" s="498"/>
      <c r="D157" s="487">
        <v>46</v>
      </c>
      <c r="E157" s="206">
        <v>43555</v>
      </c>
      <c r="F157" s="495"/>
      <c r="G157" s="492"/>
      <c r="H157" s="492"/>
      <c r="I157" s="492"/>
      <c r="J157" s="492"/>
      <c r="K157" s="492"/>
      <c r="L157" s="492"/>
      <c r="M157" s="493"/>
      <c r="N157" s="130"/>
      <c r="O157" s="130"/>
      <c r="P157" s="157"/>
    </row>
    <row r="158" spans="3:16" s="258" customFormat="1" ht="15" customHeight="1">
      <c r="C158" s="498"/>
      <c r="D158" s="487">
        <v>47</v>
      </c>
      <c r="E158" s="206">
        <v>43921</v>
      </c>
      <c r="F158" s="495"/>
      <c r="G158" s="492"/>
      <c r="H158" s="492"/>
      <c r="I158" s="492"/>
      <c r="J158" s="492"/>
      <c r="K158" s="492"/>
      <c r="L158" s="492"/>
      <c r="M158" s="493"/>
      <c r="N158" s="130"/>
      <c r="O158" s="130"/>
      <c r="P158" s="157"/>
    </row>
    <row r="159" spans="3:16" s="258" customFormat="1" ht="15" customHeight="1">
      <c r="C159" s="498"/>
      <c r="D159" s="487">
        <v>48</v>
      </c>
      <c r="E159" s="206">
        <v>44286</v>
      </c>
      <c r="F159" s="495"/>
      <c r="G159" s="492"/>
      <c r="H159" s="492"/>
      <c r="I159" s="492"/>
      <c r="J159" s="492"/>
      <c r="K159" s="492"/>
      <c r="L159" s="492"/>
      <c r="M159" s="493"/>
      <c r="N159" s="130"/>
      <c r="O159" s="130"/>
      <c r="P159" s="157"/>
    </row>
    <row r="160" spans="3:16" s="258" customFormat="1" ht="15" customHeight="1">
      <c r="C160" s="498"/>
      <c r="D160" s="487">
        <v>49</v>
      </c>
      <c r="E160" s="206">
        <v>44651</v>
      </c>
      <c r="F160" s="495"/>
      <c r="G160" s="492"/>
      <c r="H160" s="492"/>
      <c r="I160" s="492"/>
      <c r="J160" s="492"/>
      <c r="K160" s="492"/>
      <c r="L160" s="492"/>
      <c r="M160" s="493"/>
      <c r="N160" s="130"/>
      <c r="O160" s="130"/>
      <c r="P160" s="157"/>
    </row>
    <row r="161" spans="3:16" s="258" customFormat="1" ht="15" customHeight="1">
      <c r="C161" s="498"/>
      <c r="D161" s="487">
        <v>50</v>
      </c>
      <c r="E161" s="206">
        <v>45016</v>
      </c>
      <c r="F161" s="495"/>
      <c r="G161" s="492"/>
      <c r="H161" s="492"/>
      <c r="I161" s="492"/>
      <c r="J161" s="492"/>
      <c r="K161" s="492"/>
      <c r="L161" s="492"/>
      <c r="M161" s="493"/>
      <c r="N161" s="130"/>
      <c r="O161" s="130"/>
      <c r="P161" s="157"/>
    </row>
    <row r="162" spans="3:16" s="258" customFormat="1" ht="15" customHeight="1">
      <c r="C162" s="498"/>
      <c r="D162" s="483"/>
      <c r="E162" s="124" t="s">
        <v>518</v>
      </c>
      <c r="F162" s="488"/>
      <c r="G162" s="489"/>
      <c r="H162" s="489"/>
      <c r="I162" s="489"/>
      <c r="J162" s="489"/>
      <c r="K162" s="507"/>
      <c r="L162" s="489"/>
      <c r="M162" s="490"/>
      <c r="N162" s="474"/>
      <c r="O162" s="494"/>
      <c r="P162" s="157"/>
    </row>
    <row r="163" spans="3:16" s="258" customFormat="1" ht="15" customHeight="1">
      <c r="C163" s="498"/>
      <c r="D163" s="487">
        <v>51</v>
      </c>
      <c r="E163" s="122" t="s">
        <v>489</v>
      </c>
      <c r="F163" s="491"/>
      <c r="G163" s="492"/>
      <c r="H163" s="492"/>
      <c r="I163" s="492"/>
      <c r="J163" s="492"/>
      <c r="K163" s="492"/>
      <c r="L163" s="492"/>
      <c r="M163" s="493"/>
      <c r="N163" s="130"/>
      <c r="O163" s="130"/>
      <c r="P163" s="157"/>
    </row>
    <row r="164" spans="3:16" s="258" customFormat="1" ht="15" customHeight="1">
      <c r="C164" s="498"/>
      <c r="D164" s="487">
        <v>52</v>
      </c>
      <c r="E164" s="122" t="s">
        <v>490</v>
      </c>
      <c r="F164" s="509"/>
      <c r="G164" s="510"/>
      <c r="H164" s="510"/>
      <c r="I164" s="510"/>
      <c r="J164" s="510"/>
      <c r="K164" s="510"/>
      <c r="L164" s="510"/>
      <c r="M164" s="511"/>
      <c r="N164" s="234"/>
      <c r="O164" s="234"/>
      <c r="P164" s="157"/>
    </row>
    <row r="165" spans="3:16" s="258" customFormat="1" ht="15" customHeight="1">
      <c r="C165" s="508"/>
      <c r="D165" s="487">
        <v>53</v>
      </c>
      <c r="E165" s="122" t="s">
        <v>465</v>
      </c>
      <c r="F165" s="491"/>
      <c r="G165" s="492"/>
      <c r="H165" s="492"/>
      <c r="I165" s="492"/>
      <c r="J165" s="492"/>
      <c r="K165" s="492"/>
      <c r="L165" s="492"/>
      <c r="M165" s="493"/>
      <c r="N165" s="130"/>
      <c r="O165" s="130"/>
      <c r="P165" s="157"/>
    </row>
    <row r="166" spans="3:16" s="258" customFormat="1" ht="15" customHeight="1">
      <c r="C166" s="508"/>
      <c r="D166" s="487">
        <v>54</v>
      </c>
      <c r="E166" s="122" t="s">
        <v>491</v>
      </c>
      <c r="F166" s="495"/>
      <c r="G166" s="492"/>
      <c r="H166" s="492"/>
      <c r="I166" s="492"/>
      <c r="J166" s="492"/>
      <c r="K166" s="492"/>
      <c r="L166" s="492"/>
      <c r="M166" s="493"/>
      <c r="N166" s="130"/>
      <c r="O166" s="130"/>
      <c r="P166" s="157"/>
    </row>
    <row r="167" spans="3:16" s="258" customFormat="1" ht="15" customHeight="1" thickBot="1">
      <c r="C167" s="508"/>
      <c r="D167" s="496">
        <v>55</v>
      </c>
      <c r="E167" s="520" t="s">
        <v>874</v>
      </c>
      <c r="F167" s="515"/>
      <c r="G167" s="497"/>
      <c r="H167" s="497"/>
      <c r="I167" s="497"/>
      <c r="J167" s="497"/>
      <c r="K167" s="497"/>
      <c r="L167" s="497"/>
      <c r="M167" s="512"/>
      <c r="N167" s="514"/>
      <c r="O167" s="514"/>
      <c r="P167" s="157"/>
    </row>
    <row r="168" spans="3:16" s="258" customFormat="1" ht="15" customHeight="1">
      <c r="C168" s="498"/>
      <c r="D168" s="256"/>
      <c r="E168" s="195"/>
      <c r="F168" s="157"/>
      <c r="G168" s="157"/>
      <c r="H168" s="157"/>
      <c r="I168" s="157"/>
      <c r="J168" s="157"/>
      <c r="K168" s="157"/>
      <c r="L168" s="157"/>
      <c r="M168" s="523"/>
      <c r="N168" s="157"/>
      <c r="O168" s="157"/>
      <c r="P168" s="157"/>
    </row>
    <row r="169" spans="3:16" s="258" customFormat="1" ht="15" customHeight="1">
      <c r="C169" s="498"/>
      <c r="D169" s="256"/>
      <c r="E169" s="195"/>
      <c r="F169" s="157"/>
      <c r="G169" s="157"/>
      <c r="H169" s="157"/>
      <c r="I169" s="157"/>
      <c r="J169" s="157"/>
      <c r="K169" s="157"/>
      <c r="L169" s="157"/>
      <c r="M169" s="523"/>
      <c r="N169" s="157"/>
      <c r="O169" s="157"/>
      <c r="P169" s="157"/>
    </row>
    <row r="170" spans="3:16" s="258" customFormat="1" ht="15" customHeight="1">
      <c r="C170" s="498"/>
      <c r="D170" s="256"/>
      <c r="E170" s="195"/>
      <c r="F170" s="157"/>
      <c r="G170" s="157"/>
      <c r="H170" s="157"/>
      <c r="I170" s="157"/>
      <c r="J170" s="157"/>
      <c r="K170" s="157"/>
      <c r="L170" s="157"/>
      <c r="M170" s="523"/>
      <c r="N170" s="157"/>
      <c r="O170" s="157"/>
      <c r="P170" s="157"/>
    </row>
    <row r="171" spans="3:16" s="258" customFormat="1" ht="15" customHeight="1">
      <c r="C171" s="498"/>
      <c r="D171" s="256"/>
      <c r="E171" s="195"/>
      <c r="F171" s="157"/>
      <c r="G171" s="157"/>
      <c r="H171" s="157"/>
      <c r="I171" s="157"/>
      <c r="J171" s="157"/>
      <c r="K171" s="157"/>
      <c r="L171" s="157"/>
      <c r="M171" s="523"/>
      <c r="N171" s="157"/>
      <c r="O171" s="157"/>
      <c r="P171" s="157"/>
    </row>
    <row r="172" spans="3:16" s="258" customFormat="1" ht="15" customHeight="1">
      <c r="C172" s="498"/>
      <c r="D172" s="256"/>
      <c r="E172" s="195"/>
      <c r="F172" s="157"/>
      <c r="G172" s="157"/>
      <c r="H172" s="157"/>
      <c r="I172" s="157"/>
      <c r="J172" s="157"/>
      <c r="K172" s="157"/>
      <c r="L172" s="157"/>
      <c r="M172" s="523"/>
      <c r="N172" s="157"/>
      <c r="O172" s="157"/>
      <c r="P172" s="195"/>
    </row>
    <row r="173" spans="3:16" s="258" customFormat="1" ht="15" customHeight="1">
      <c r="C173" s="517" t="s">
        <v>1018</v>
      </c>
      <c r="D173" s="517"/>
      <c r="E173" s="517"/>
      <c r="F173" s="517"/>
      <c r="G173" s="517"/>
      <c r="H173" s="517"/>
      <c r="I173" s="517"/>
      <c r="J173" s="517"/>
      <c r="K173" s="517"/>
      <c r="L173" s="517"/>
      <c r="M173" s="517"/>
      <c r="N173" s="517"/>
      <c r="O173" s="517"/>
      <c r="P173" s="195"/>
    </row>
    <row r="174" spans="3:16" s="258" customFormat="1" ht="15" customHeight="1">
      <c r="C174" s="508"/>
      <c r="D174" s="508"/>
      <c r="E174" s="508"/>
      <c r="F174" s="508"/>
      <c r="G174" s="508"/>
      <c r="H174" s="508"/>
      <c r="I174" s="508"/>
      <c r="J174" s="508"/>
      <c r="K174" s="508"/>
      <c r="L174" s="508"/>
      <c r="M174" s="508"/>
      <c r="N174" s="508"/>
      <c r="O174" s="508"/>
      <c r="P174" s="195"/>
    </row>
    <row r="175" spans="3:16" s="258" customFormat="1" ht="15" customHeight="1">
      <c r="C175" s="508"/>
      <c r="D175" s="479"/>
      <c r="E175" s="479"/>
      <c r="F175" s="480"/>
      <c r="G175" s="480"/>
      <c r="H175" s="480"/>
      <c r="I175" s="480"/>
      <c r="J175" s="480"/>
      <c r="K175" s="480"/>
      <c r="L175" s="480"/>
      <c r="M175" s="480"/>
      <c r="N175" s="479"/>
      <c r="O175" s="479"/>
      <c r="P175" s="157"/>
    </row>
    <row r="176" spans="3:16" s="258" customFormat="1" ht="15" customHeight="1">
      <c r="C176" s="508"/>
      <c r="D176" s="479"/>
      <c r="E176" s="518" t="s">
        <v>58</v>
      </c>
      <c r="F176" s="518" t="s">
        <v>239</v>
      </c>
      <c r="G176" s="480"/>
      <c r="H176" s="518" t="s">
        <v>39</v>
      </c>
      <c r="I176" s="480"/>
      <c r="J176" s="480"/>
      <c r="K176" s="480"/>
      <c r="L176" s="480"/>
      <c r="M176" s="480"/>
      <c r="N176" s="479"/>
      <c r="O176" s="479"/>
      <c r="P176" s="195"/>
    </row>
    <row r="177" spans="3:17" s="258" customFormat="1" ht="15" customHeight="1">
      <c r="C177" s="508"/>
      <c r="D177" s="118"/>
      <c r="E177" s="118" t="s">
        <v>1019</v>
      </c>
      <c r="F177" s="388">
        <v>42460</v>
      </c>
      <c r="G177" s="119"/>
      <c r="H177" s="118" t="s">
        <v>1042</v>
      </c>
      <c r="I177" s="119"/>
      <c r="J177" s="119"/>
      <c r="K177" s="119"/>
      <c r="L177" s="119"/>
      <c r="M177" s="119"/>
      <c r="N177" s="118"/>
      <c r="O177" s="118"/>
      <c r="P177" s="195"/>
    </row>
    <row r="178" spans="3:17" s="258" customFormat="1" ht="15" customHeight="1" thickBot="1">
      <c r="C178" s="508"/>
      <c r="D178" s="508"/>
      <c r="E178" s="508"/>
      <c r="F178" s="508"/>
      <c r="G178" s="478"/>
      <c r="H178" s="508"/>
      <c r="I178" s="508"/>
      <c r="J178" s="508"/>
      <c r="K178" s="508"/>
      <c r="L178" s="508"/>
      <c r="M178" s="508"/>
      <c r="N178" s="508"/>
      <c r="O178" s="508"/>
      <c r="P178" s="195"/>
    </row>
    <row r="179" spans="3:17" s="258" customFormat="1" ht="15" customHeight="1">
      <c r="C179" s="508"/>
      <c r="D179" s="481"/>
      <c r="E179" s="506" t="s">
        <v>236</v>
      </c>
      <c r="F179" s="499">
        <v>42460</v>
      </c>
      <c r="G179" s="500">
        <v>42825</v>
      </c>
      <c r="H179" s="500">
        <v>43190</v>
      </c>
      <c r="I179" s="500">
        <v>43555</v>
      </c>
      <c r="J179" s="500">
        <v>43921</v>
      </c>
      <c r="K179" s="500">
        <v>44286</v>
      </c>
      <c r="L179" s="500">
        <v>44651</v>
      </c>
      <c r="M179" s="501">
        <v>45016</v>
      </c>
      <c r="N179" s="513" t="s">
        <v>86</v>
      </c>
      <c r="O179" s="502" t="s">
        <v>87</v>
      </c>
      <c r="P179" s="195"/>
    </row>
    <row r="180" spans="3:17" s="258" customFormat="1" ht="15" customHeight="1">
      <c r="C180" s="508"/>
      <c r="D180" s="482"/>
      <c r="E180" s="122" t="s">
        <v>240</v>
      </c>
      <c r="F180" s="503" t="s">
        <v>844</v>
      </c>
      <c r="G180" s="504" t="s">
        <v>844</v>
      </c>
      <c r="H180" s="504" t="s">
        <v>844</v>
      </c>
      <c r="I180" s="504" t="s">
        <v>844</v>
      </c>
      <c r="J180" s="504" t="s">
        <v>844</v>
      </c>
      <c r="K180" s="504" t="s">
        <v>844</v>
      </c>
      <c r="L180" s="504" t="s">
        <v>844</v>
      </c>
      <c r="M180" s="505" t="s">
        <v>844</v>
      </c>
      <c r="N180" s="192" t="s">
        <v>844</v>
      </c>
      <c r="O180" s="192" t="s">
        <v>844</v>
      </c>
      <c r="P180" s="195"/>
    </row>
    <row r="181" spans="3:17" s="258" customFormat="1" ht="15" customHeight="1">
      <c r="C181" s="508"/>
      <c r="D181" s="483"/>
      <c r="E181" s="124" t="s">
        <v>69</v>
      </c>
      <c r="F181" s="484"/>
      <c r="G181" s="485"/>
      <c r="H181" s="485"/>
      <c r="I181" s="485"/>
      <c r="J181" s="485"/>
      <c r="K181" s="485"/>
      <c r="L181" s="485"/>
      <c r="M181" s="486"/>
      <c r="N181" s="128"/>
      <c r="O181" s="128"/>
      <c r="P181" s="195"/>
    </row>
    <row r="182" spans="3:17" s="258" customFormat="1" ht="15" customHeight="1">
      <c r="C182" s="508"/>
      <c r="D182" s="487">
        <v>1</v>
      </c>
      <c r="E182" s="122" t="s">
        <v>213</v>
      </c>
      <c r="F182" s="491"/>
      <c r="G182" s="492"/>
      <c r="H182" s="492"/>
      <c r="I182" s="492"/>
      <c r="J182" s="492"/>
      <c r="K182" s="492"/>
      <c r="L182" s="492"/>
      <c r="M182" s="493"/>
      <c r="N182" s="130"/>
      <c r="O182" s="130"/>
      <c r="P182" s="195"/>
    </row>
    <row r="183" spans="3:17" s="258" customFormat="1" ht="15" customHeight="1">
      <c r="C183" s="508"/>
      <c r="D183" s="487">
        <v>2</v>
      </c>
      <c r="E183" s="122" t="s">
        <v>879</v>
      </c>
      <c r="F183" s="491"/>
      <c r="G183" s="492"/>
      <c r="H183" s="492"/>
      <c r="I183" s="492"/>
      <c r="J183" s="492"/>
      <c r="K183" s="492"/>
      <c r="L183" s="492"/>
      <c r="M183" s="493"/>
      <c r="N183" s="130"/>
      <c r="O183" s="130"/>
      <c r="P183" s="195"/>
    </row>
    <row r="184" spans="3:17" s="258" customFormat="1" ht="15" customHeight="1">
      <c r="C184" s="508"/>
      <c r="D184" s="487">
        <v>3</v>
      </c>
      <c r="E184" s="122" t="s">
        <v>214</v>
      </c>
      <c r="F184" s="491"/>
      <c r="G184" s="492"/>
      <c r="H184" s="492"/>
      <c r="I184" s="492"/>
      <c r="J184" s="492"/>
      <c r="K184" s="492"/>
      <c r="L184" s="492"/>
      <c r="M184" s="493"/>
      <c r="N184" s="130"/>
      <c r="O184" s="130"/>
      <c r="P184" s="195"/>
    </row>
    <row r="185" spans="3:17" s="258" customFormat="1" ht="15" customHeight="1">
      <c r="C185" s="508"/>
      <c r="D185" s="483"/>
      <c r="E185" s="124" t="s">
        <v>16</v>
      </c>
      <c r="F185" s="484"/>
      <c r="G185" s="485"/>
      <c r="H185" s="485"/>
      <c r="I185" s="485"/>
      <c r="J185" s="485"/>
      <c r="K185" s="485"/>
      <c r="L185" s="485"/>
      <c r="M185" s="486"/>
      <c r="N185" s="128"/>
      <c r="O185" s="128"/>
      <c r="P185" s="157"/>
    </row>
    <row r="186" spans="3:17" s="258" customFormat="1" ht="15" customHeight="1">
      <c r="C186" s="508"/>
      <c r="D186" s="487">
        <v>4</v>
      </c>
      <c r="E186" s="122" t="s">
        <v>492</v>
      </c>
      <c r="F186" s="491"/>
      <c r="G186" s="492"/>
      <c r="H186" s="492"/>
      <c r="I186" s="492"/>
      <c r="J186" s="492"/>
      <c r="K186" s="492"/>
      <c r="L186" s="492"/>
      <c r="M186" s="493"/>
      <c r="N186" s="130"/>
      <c r="O186" s="130"/>
      <c r="P186" s="157"/>
    </row>
    <row r="187" spans="3:17" s="258" customFormat="1" ht="15" customHeight="1">
      <c r="C187" s="508"/>
      <c r="D187" s="487">
        <v>5</v>
      </c>
      <c r="E187" s="122" t="s">
        <v>122</v>
      </c>
      <c r="F187" s="491"/>
      <c r="G187" s="492"/>
      <c r="H187" s="492"/>
      <c r="I187" s="492"/>
      <c r="J187" s="492"/>
      <c r="K187" s="492"/>
      <c r="L187" s="492"/>
      <c r="M187" s="493"/>
      <c r="N187" s="130"/>
      <c r="O187" s="130"/>
      <c r="P187" s="157"/>
    </row>
    <row r="188" spans="3:17" s="258" customFormat="1" ht="15" customHeight="1">
      <c r="C188" s="508"/>
      <c r="D188" s="487">
        <v>6</v>
      </c>
      <c r="E188" s="122" t="s">
        <v>493</v>
      </c>
      <c r="F188" s="491"/>
      <c r="G188" s="492"/>
      <c r="H188" s="492"/>
      <c r="I188" s="492"/>
      <c r="J188" s="492"/>
      <c r="K188" s="492"/>
      <c r="L188" s="492"/>
      <c r="M188" s="493"/>
      <c r="N188" s="130"/>
      <c r="O188" s="130"/>
      <c r="P188" s="157"/>
      <c r="Q188" s="450"/>
    </row>
    <row r="189" spans="3:17" s="258" customFormat="1" ht="15" customHeight="1">
      <c r="C189" s="508"/>
      <c r="D189" s="487">
        <v>7</v>
      </c>
      <c r="E189" s="122" t="s">
        <v>215</v>
      </c>
      <c r="F189" s="491"/>
      <c r="G189" s="492"/>
      <c r="H189" s="492"/>
      <c r="I189" s="492"/>
      <c r="J189" s="492"/>
      <c r="K189" s="492"/>
      <c r="L189" s="492"/>
      <c r="M189" s="493"/>
      <c r="N189" s="130"/>
      <c r="O189" s="130"/>
      <c r="P189" s="157"/>
      <c r="Q189" s="450"/>
    </row>
    <row r="190" spans="3:17" s="258" customFormat="1" ht="15" customHeight="1">
      <c r="C190" s="508"/>
      <c r="D190" s="487">
        <v>8</v>
      </c>
      <c r="E190" s="122" t="s">
        <v>0</v>
      </c>
      <c r="F190" s="491"/>
      <c r="G190" s="492"/>
      <c r="H190" s="492"/>
      <c r="I190" s="492"/>
      <c r="J190" s="492"/>
      <c r="K190" s="492"/>
      <c r="L190" s="492"/>
      <c r="M190" s="493"/>
      <c r="N190" s="130"/>
      <c r="O190" s="130"/>
      <c r="P190" s="195"/>
      <c r="Q190" s="450"/>
    </row>
    <row r="191" spans="3:17" s="258" customFormat="1" ht="15" customHeight="1">
      <c r="C191" s="508"/>
      <c r="D191" s="487">
        <v>9</v>
      </c>
      <c r="E191" s="122" t="s">
        <v>17</v>
      </c>
      <c r="F191" s="491"/>
      <c r="G191" s="492"/>
      <c r="H191" s="492"/>
      <c r="I191" s="492"/>
      <c r="J191" s="492"/>
      <c r="K191" s="492"/>
      <c r="L191" s="492"/>
      <c r="M191" s="493"/>
      <c r="N191" s="130"/>
      <c r="O191" s="130"/>
      <c r="P191" s="195"/>
      <c r="Q191" s="450"/>
    </row>
    <row r="192" spans="3:17" s="258" customFormat="1" ht="15" customHeight="1">
      <c r="C192" s="508"/>
      <c r="D192" s="483"/>
      <c r="E192" s="124" t="s">
        <v>301</v>
      </c>
      <c r="F192" s="488"/>
      <c r="G192" s="489"/>
      <c r="H192" s="489"/>
      <c r="I192" s="489"/>
      <c r="J192" s="489"/>
      <c r="K192" s="489"/>
      <c r="L192" s="489"/>
      <c r="M192" s="490"/>
      <c r="N192" s="134"/>
      <c r="O192" s="134"/>
      <c r="P192" s="195"/>
      <c r="Q192" s="450"/>
    </row>
    <row r="193" spans="3:17" s="258" customFormat="1" ht="15" customHeight="1">
      <c r="C193" s="508"/>
      <c r="D193" s="487">
        <v>10</v>
      </c>
      <c r="E193" s="122" t="s">
        <v>100</v>
      </c>
      <c r="F193" s="491"/>
      <c r="G193" s="492"/>
      <c r="H193" s="492"/>
      <c r="I193" s="492"/>
      <c r="J193" s="492"/>
      <c r="K193" s="492"/>
      <c r="L193" s="492"/>
      <c r="M193" s="493"/>
      <c r="N193" s="130"/>
      <c r="O193" s="130"/>
      <c r="P193" s="195"/>
      <c r="Q193" s="450"/>
    </row>
    <row r="194" spans="3:17" s="258" customFormat="1" ht="15" customHeight="1">
      <c r="C194" s="508"/>
      <c r="D194" s="487">
        <v>11</v>
      </c>
      <c r="E194" s="122" t="s">
        <v>740</v>
      </c>
      <c r="F194" s="491"/>
      <c r="G194" s="492"/>
      <c r="H194" s="492"/>
      <c r="I194" s="492"/>
      <c r="J194" s="492"/>
      <c r="K194" s="492"/>
      <c r="L194" s="492"/>
      <c r="M194" s="493"/>
      <c r="N194" s="130"/>
      <c r="O194" s="130"/>
      <c r="P194" s="195"/>
      <c r="Q194" s="450"/>
    </row>
    <row r="195" spans="3:17" s="258" customFormat="1" ht="15" customHeight="1">
      <c r="C195" s="508"/>
      <c r="D195" s="487">
        <v>12</v>
      </c>
      <c r="E195" s="122" t="s">
        <v>67</v>
      </c>
      <c r="F195" s="491"/>
      <c r="G195" s="492"/>
      <c r="H195" s="492"/>
      <c r="I195" s="492"/>
      <c r="J195" s="492"/>
      <c r="K195" s="492"/>
      <c r="L195" s="492"/>
      <c r="M195" s="493"/>
      <c r="N195" s="130"/>
      <c r="O195" s="130"/>
      <c r="P195" s="195"/>
      <c r="Q195" s="450"/>
    </row>
    <row r="196" spans="3:17" s="258" customFormat="1" ht="15" customHeight="1">
      <c r="C196" s="508"/>
      <c r="D196" s="487">
        <v>13</v>
      </c>
      <c r="E196" s="122" t="s">
        <v>19</v>
      </c>
      <c r="F196" s="491"/>
      <c r="G196" s="492"/>
      <c r="H196" s="492"/>
      <c r="I196" s="492"/>
      <c r="J196" s="492"/>
      <c r="K196" s="492"/>
      <c r="L196" s="492"/>
      <c r="M196" s="493"/>
      <c r="N196" s="130"/>
      <c r="O196" s="130"/>
      <c r="P196" s="195"/>
      <c r="Q196" s="450"/>
    </row>
    <row r="197" spans="3:17" s="258" customFormat="1" ht="15" customHeight="1">
      <c r="C197" s="508"/>
      <c r="D197" s="487">
        <v>14</v>
      </c>
      <c r="E197" s="122" t="s">
        <v>105</v>
      </c>
      <c r="F197" s="491"/>
      <c r="G197" s="492"/>
      <c r="H197" s="492"/>
      <c r="I197" s="492"/>
      <c r="J197" s="492"/>
      <c r="K197" s="492"/>
      <c r="L197" s="492"/>
      <c r="M197" s="493"/>
      <c r="N197" s="130"/>
      <c r="O197" s="130"/>
      <c r="P197" s="195"/>
      <c r="Q197" s="450"/>
    </row>
    <row r="198" spans="3:17" s="258" customFormat="1" ht="15" customHeight="1">
      <c r="C198" s="508"/>
      <c r="D198" s="487">
        <v>15</v>
      </c>
      <c r="E198" s="122" t="s">
        <v>23</v>
      </c>
      <c r="F198" s="491"/>
      <c r="G198" s="492"/>
      <c r="H198" s="492"/>
      <c r="I198" s="492"/>
      <c r="J198" s="492"/>
      <c r="K198" s="492"/>
      <c r="L198" s="492"/>
      <c r="M198" s="493"/>
      <c r="N198" s="130"/>
      <c r="O198" s="130"/>
      <c r="P198" s="195"/>
      <c r="Q198" s="450"/>
    </row>
    <row r="199" spans="3:17" s="258" customFormat="1" ht="15" customHeight="1">
      <c r="C199" s="508"/>
      <c r="D199" s="487">
        <v>16</v>
      </c>
      <c r="E199" s="122" t="s">
        <v>220</v>
      </c>
      <c r="F199" s="491"/>
      <c r="G199" s="492"/>
      <c r="H199" s="492"/>
      <c r="I199" s="492"/>
      <c r="J199" s="492"/>
      <c r="K199" s="492"/>
      <c r="L199" s="492"/>
      <c r="M199" s="493"/>
      <c r="N199" s="130"/>
      <c r="O199" s="130"/>
      <c r="P199" s="195"/>
      <c r="Q199" s="450"/>
    </row>
    <row r="200" spans="3:17" s="258" customFormat="1" ht="15" customHeight="1">
      <c r="C200" s="508"/>
      <c r="D200" s="487">
        <v>17</v>
      </c>
      <c r="E200" s="122" t="s">
        <v>7</v>
      </c>
      <c r="F200" s="491"/>
      <c r="G200" s="492"/>
      <c r="H200" s="492"/>
      <c r="I200" s="492"/>
      <c r="J200" s="492"/>
      <c r="K200" s="492"/>
      <c r="L200" s="492"/>
      <c r="M200" s="493"/>
      <c r="N200" s="130"/>
      <c r="O200" s="130"/>
      <c r="P200" s="195"/>
      <c r="Q200" s="450"/>
    </row>
    <row r="201" spans="3:17" s="258" customFormat="1" ht="15" customHeight="1">
      <c r="C201" s="508"/>
      <c r="D201" s="483"/>
      <c r="E201" s="124" t="s">
        <v>167</v>
      </c>
      <c r="F201" s="488"/>
      <c r="G201" s="489"/>
      <c r="H201" s="489"/>
      <c r="I201" s="489"/>
      <c r="J201" s="489"/>
      <c r="K201" s="489"/>
      <c r="L201" s="489"/>
      <c r="M201" s="490"/>
      <c r="N201" s="134"/>
      <c r="O201" s="134"/>
      <c r="P201" s="195"/>
      <c r="Q201" s="450"/>
    </row>
    <row r="202" spans="3:17" s="258" customFormat="1" ht="15" customHeight="1">
      <c r="C202" s="508"/>
      <c r="D202" s="487">
        <v>18</v>
      </c>
      <c r="E202" s="122" t="s">
        <v>100</v>
      </c>
      <c r="F202" s="491"/>
      <c r="G202" s="492"/>
      <c r="H202" s="492"/>
      <c r="I202" s="492"/>
      <c r="J202" s="492"/>
      <c r="K202" s="492"/>
      <c r="L202" s="492"/>
      <c r="M202" s="493"/>
      <c r="N202" s="130"/>
      <c r="O202" s="130"/>
      <c r="P202" s="195"/>
      <c r="Q202" s="450"/>
    </row>
    <row r="203" spans="3:17" s="258" customFormat="1" ht="15" customHeight="1">
      <c r="C203" s="508"/>
      <c r="D203" s="487">
        <v>19</v>
      </c>
      <c r="E203" s="122" t="s">
        <v>740</v>
      </c>
      <c r="F203" s="491"/>
      <c r="G203" s="492"/>
      <c r="H203" s="492"/>
      <c r="I203" s="492"/>
      <c r="J203" s="492"/>
      <c r="K203" s="492"/>
      <c r="L203" s="492"/>
      <c r="M203" s="493"/>
      <c r="N203" s="130"/>
      <c r="O203" s="130"/>
      <c r="P203" s="195"/>
      <c r="Q203" s="450"/>
    </row>
    <row r="204" spans="3:17" s="258" customFormat="1" ht="15" customHeight="1">
      <c r="C204" s="508"/>
      <c r="D204" s="487">
        <v>20</v>
      </c>
      <c r="E204" s="122" t="s">
        <v>67</v>
      </c>
      <c r="F204" s="491"/>
      <c r="G204" s="492"/>
      <c r="H204" s="492"/>
      <c r="I204" s="492"/>
      <c r="J204" s="492"/>
      <c r="K204" s="492"/>
      <c r="L204" s="492"/>
      <c r="M204" s="493"/>
      <c r="N204" s="130"/>
      <c r="O204" s="130"/>
      <c r="P204" s="195"/>
      <c r="Q204" s="450"/>
    </row>
    <row r="205" spans="3:17" s="258" customFormat="1" ht="15" customHeight="1">
      <c r="C205" s="508"/>
      <c r="D205" s="487">
        <v>21</v>
      </c>
      <c r="E205" s="122" t="s">
        <v>19</v>
      </c>
      <c r="F205" s="491"/>
      <c r="G205" s="492"/>
      <c r="H205" s="492"/>
      <c r="I205" s="492"/>
      <c r="J205" s="492"/>
      <c r="K205" s="492"/>
      <c r="L205" s="492"/>
      <c r="M205" s="493"/>
      <c r="N205" s="130"/>
      <c r="O205" s="130"/>
      <c r="P205" s="195"/>
      <c r="Q205" s="450"/>
    </row>
    <row r="206" spans="3:17" s="258" customFormat="1" ht="15" customHeight="1">
      <c r="C206" s="508"/>
      <c r="D206" s="487">
        <v>22</v>
      </c>
      <c r="E206" s="122" t="s">
        <v>105</v>
      </c>
      <c r="F206" s="491"/>
      <c r="G206" s="492"/>
      <c r="H206" s="492"/>
      <c r="I206" s="492"/>
      <c r="J206" s="492"/>
      <c r="K206" s="492"/>
      <c r="L206" s="492"/>
      <c r="M206" s="493"/>
      <c r="N206" s="130"/>
      <c r="O206" s="130"/>
      <c r="P206" s="195"/>
      <c r="Q206" s="450"/>
    </row>
    <row r="207" spans="3:17" s="258" customFormat="1" ht="15" customHeight="1">
      <c r="C207" s="508"/>
      <c r="D207" s="487">
        <v>23</v>
      </c>
      <c r="E207" s="122" t="s">
        <v>23</v>
      </c>
      <c r="F207" s="491"/>
      <c r="G207" s="492"/>
      <c r="H207" s="492"/>
      <c r="I207" s="492"/>
      <c r="J207" s="492"/>
      <c r="K207" s="492"/>
      <c r="L207" s="492"/>
      <c r="M207" s="493"/>
      <c r="N207" s="130"/>
      <c r="O207" s="130"/>
      <c r="P207" s="195"/>
      <c r="Q207" s="450"/>
    </row>
    <row r="208" spans="3:17" s="258" customFormat="1" ht="15" customHeight="1">
      <c r="C208" s="508"/>
      <c r="D208" s="487">
        <v>24</v>
      </c>
      <c r="E208" s="122" t="s">
        <v>220</v>
      </c>
      <c r="F208" s="491"/>
      <c r="G208" s="492"/>
      <c r="H208" s="492"/>
      <c r="I208" s="492"/>
      <c r="J208" s="492"/>
      <c r="K208" s="492"/>
      <c r="L208" s="492"/>
      <c r="M208" s="493"/>
      <c r="N208" s="130"/>
      <c r="O208" s="130"/>
      <c r="P208" s="195"/>
      <c r="Q208" s="450"/>
    </row>
    <row r="209" spans="3:17" s="258" customFormat="1" ht="15" customHeight="1">
      <c r="C209" s="508"/>
      <c r="D209" s="487">
        <v>25</v>
      </c>
      <c r="E209" s="122" t="s">
        <v>7</v>
      </c>
      <c r="F209" s="491"/>
      <c r="G209" s="492"/>
      <c r="H209" s="492"/>
      <c r="I209" s="492"/>
      <c r="J209" s="492"/>
      <c r="K209" s="492"/>
      <c r="L209" s="492"/>
      <c r="M209" s="493"/>
      <c r="N209" s="130"/>
      <c r="O209" s="130"/>
      <c r="P209" s="195"/>
      <c r="Q209" s="450"/>
    </row>
    <row r="210" spans="3:17" s="258" customFormat="1" ht="15" customHeight="1">
      <c r="C210" s="508"/>
      <c r="D210" s="483"/>
      <c r="E210" s="124" t="s">
        <v>20</v>
      </c>
      <c r="F210" s="488"/>
      <c r="G210" s="489"/>
      <c r="H210" s="489"/>
      <c r="I210" s="489"/>
      <c r="J210" s="489"/>
      <c r="K210" s="489"/>
      <c r="L210" s="489"/>
      <c r="M210" s="490"/>
      <c r="N210" s="474"/>
      <c r="O210" s="494"/>
      <c r="P210" s="195"/>
      <c r="Q210" s="450"/>
    </row>
    <row r="211" spans="3:17" s="258" customFormat="1" ht="15" customHeight="1">
      <c r="C211" s="508"/>
      <c r="D211" s="487">
        <v>26</v>
      </c>
      <c r="E211" s="122" t="s">
        <v>505</v>
      </c>
      <c r="F211" s="491"/>
      <c r="G211" s="492"/>
      <c r="H211" s="492"/>
      <c r="I211" s="492"/>
      <c r="J211" s="492"/>
      <c r="K211" s="492"/>
      <c r="L211" s="492"/>
      <c r="M211" s="493"/>
      <c r="N211" s="130"/>
      <c r="O211" s="130"/>
      <c r="P211" s="195"/>
      <c r="Q211" s="450"/>
    </row>
    <row r="212" spans="3:17" s="258" customFormat="1" ht="15" customHeight="1">
      <c r="C212" s="508"/>
      <c r="D212" s="487">
        <v>27</v>
      </c>
      <c r="E212" s="122" t="s">
        <v>60</v>
      </c>
      <c r="F212" s="491"/>
      <c r="G212" s="492"/>
      <c r="H212" s="492"/>
      <c r="I212" s="492"/>
      <c r="J212" s="492"/>
      <c r="K212" s="492"/>
      <c r="L212" s="492"/>
      <c r="M212" s="493"/>
      <c r="N212" s="130"/>
      <c r="O212" s="130"/>
      <c r="P212" s="195"/>
      <c r="Q212" s="450"/>
    </row>
    <row r="213" spans="3:17" s="258" customFormat="1" ht="15" customHeight="1">
      <c r="C213" s="508"/>
      <c r="D213" s="487">
        <v>28</v>
      </c>
      <c r="E213" s="122" t="s">
        <v>45</v>
      </c>
      <c r="F213" s="495"/>
      <c r="G213" s="492"/>
      <c r="H213" s="492"/>
      <c r="I213" s="492"/>
      <c r="J213" s="492"/>
      <c r="K213" s="492"/>
      <c r="L213" s="492"/>
      <c r="M213" s="493"/>
      <c r="N213" s="130"/>
      <c r="O213" s="130"/>
      <c r="P213" s="195"/>
      <c r="Q213" s="450"/>
    </row>
    <row r="214" spans="3:17" s="258" customFormat="1" ht="15" customHeight="1">
      <c r="C214" s="508"/>
      <c r="D214" s="487">
        <v>29</v>
      </c>
      <c r="E214" s="122" t="s">
        <v>521</v>
      </c>
      <c r="F214" s="495"/>
      <c r="G214" s="492"/>
      <c r="H214" s="492"/>
      <c r="I214" s="492"/>
      <c r="J214" s="492"/>
      <c r="K214" s="492"/>
      <c r="L214" s="492"/>
      <c r="M214" s="493"/>
      <c r="N214" s="130"/>
      <c r="O214" s="130"/>
      <c r="P214" s="195"/>
      <c r="Q214" s="450"/>
    </row>
    <row r="215" spans="3:17" s="258" customFormat="1" ht="15" customHeight="1">
      <c r="C215" s="508"/>
      <c r="D215" s="487">
        <v>30</v>
      </c>
      <c r="E215" s="122" t="s">
        <v>521</v>
      </c>
      <c r="F215" s="495"/>
      <c r="G215" s="492"/>
      <c r="H215" s="492"/>
      <c r="I215" s="492"/>
      <c r="J215" s="492"/>
      <c r="K215" s="492"/>
      <c r="L215" s="492"/>
      <c r="M215" s="493"/>
      <c r="N215" s="130"/>
      <c r="O215" s="130"/>
      <c r="P215" s="195"/>
      <c r="Q215" s="450"/>
    </row>
    <row r="216" spans="3:17" s="258" customFormat="1" ht="15" customHeight="1">
      <c r="C216" s="508"/>
      <c r="D216" s="487">
        <v>31</v>
      </c>
      <c r="E216" s="122" t="s">
        <v>729</v>
      </c>
      <c r="F216" s="495"/>
      <c r="G216" s="492"/>
      <c r="H216" s="492"/>
      <c r="I216" s="492"/>
      <c r="J216" s="492"/>
      <c r="K216" s="492"/>
      <c r="L216" s="492"/>
      <c r="M216" s="493"/>
      <c r="N216" s="130"/>
      <c r="O216" s="130"/>
      <c r="P216" s="195"/>
      <c r="Q216" s="450"/>
    </row>
    <row r="217" spans="3:17" s="258" customFormat="1" ht="15" customHeight="1">
      <c r="C217" s="508"/>
      <c r="D217" s="487">
        <v>32</v>
      </c>
      <c r="E217" s="122" t="s">
        <v>10</v>
      </c>
      <c r="F217" s="495"/>
      <c r="G217" s="492"/>
      <c r="H217" s="492"/>
      <c r="I217" s="492"/>
      <c r="J217" s="492"/>
      <c r="K217" s="492"/>
      <c r="L217" s="492"/>
      <c r="M217" s="519"/>
      <c r="N217" s="130"/>
      <c r="O217" s="130"/>
      <c r="P217" s="195"/>
      <c r="Q217" s="450"/>
    </row>
    <row r="218" spans="3:17" s="258" customFormat="1" ht="15" customHeight="1">
      <c r="C218" s="508"/>
      <c r="D218" s="483"/>
      <c r="E218" s="124" t="s">
        <v>176</v>
      </c>
      <c r="F218" s="488"/>
      <c r="G218" s="489"/>
      <c r="H218" s="489"/>
      <c r="I218" s="489"/>
      <c r="J218" s="489"/>
      <c r="K218" s="507"/>
      <c r="L218" s="489"/>
      <c r="M218" s="490"/>
      <c r="N218" s="474"/>
      <c r="O218" s="494"/>
      <c r="P218" s="195"/>
      <c r="Q218" s="450"/>
    </row>
    <row r="219" spans="3:17" s="258" customFormat="1" ht="15" customHeight="1">
      <c r="C219" s="508"/>
      <c r="D219" s="487">
        <v>33</v>
      </c>
      <c r="E219" s="122" t="s">
        <v>176</v>
      </c>
      <c r="F219" s="491"/>
      <c r="G219" s="492"/>
      <c r="H219" s="492"/>
      <c r="I219" s="492"/>
      <c r="J219" s="492"/>
      <c r="K219" s="492"/>
      <c r="L219" s="492"/>
      <c r="M219" s="493"/>
      <c r="N219" s="130"/>
      <c r="O219" s="130"/>
      <c r="P219" s="195"/>
      <c r="Q219" s="450"/>
    </row>
    <row r="220" spans="3:17" s="258" customFormat="1" ht="15" customHeight="1">
      <c r="C220" s="508"/>
      <c r="D220" s="487">
        <v>34</v>
      </c>
      <c r="E220" s="122" t="s">
        <v>191</v>
      </c>
      <c r="F220" s="491"/>
      <c r="G220" s="492"/>
      <c r="H220" s="492"/>
      <c r="I220" s="492"/>
      <c r="J220" s="492"/>
      <c r="K220" s="492"/>
      <c r="L220" s="492"/>
      <c r="M220" s="493"/>
      <c r="N220" s="130"/>
      <c r="O220" s="130"/>
      <c r="P220" s="195"/>
      <c r="Q220" s="450"/>
    </row>
    <row r="221" spans="3:17" s="258" customFormat="1" ht="15" customHeight="1">
      <c r="C221" s="498"/>
      <c r="D221" s="483"/>
      <c r="E221" s="124" t="s">
        <v>302</v>
      </c>
      <c r="F221" s="488"/>
      <c r="G221" s="489"/>
      <c r="H221" s="489"/>
      <c r="I221" s="489"/>
      <c r="J221" s="489"/>
      <c r="K221" s="507"/>
      <c r="L221" s="489"/>
      <c r="M221" s="490"/>
      <c r="N221" s="474"/>
      <c r="O221" s="494"/>
      <c r="P221" s="195"/>
      <c r="Q221" s="450"/>
    </row>
    <row r="222" spans="3:17" s="258" customFormat="1" ht="15" customHeight="1">
      <c r="C222" s="498"/>
      <c r="D222" s="487">
        <v>35</v>
      </c>
      <c r="E222" s="206">
        <v>42460</v>
      </c>
      <c r="F222" s="495"/>
      <c r="G222" s="492"/>
      <c r="H222" s="492"/>
      <c r="I222" s="492"/>
      <c r="J222" s="492"/>
      <c r="K222" s="492"/>
      <c r="L222" s="492"/>
      <c r="M222" s="493"/>
      <c r="N222" s="130"/>
      <c r="O222" s="130"/>
      <c r="P222" s="195"/>
      <c r="Q222" s="450"/>
    </row>
    <row r="223" spans="3:17" s="258" customFormat="1" ht="15" customHeight="1">
      <c r="C223" s="498"/>
      <c r="D223" s="487">
        <v>36</v>
      </c>
      <c r="E223" s="206">
        <v>42825</v>
      </c>
      <c r="F223" s="495"/>
      <c r="G223" s="492"/>
      <c r="H223" s="492"/>
      <c r="I223" s="492"/>
      <c r="J223" s="492"/>
      <c r="K223" s="492"/>
      <c r="L223" s="492"/>
      <c r="M223" s="493"/>
      <c r="N223" s="130"/>
      <c r="O223" s="130"/>
      <c r="P223" s="195"/>
      <c r="Q223" s="450"/>
    </row>
    <row r="224" spans="3:17" s="258" customFormat="1" ht="15" customHeight="1">
      <c r="C224" s="498"/>
      <c r="D224" s="487">
        <v>37</v>
      </c>
      <c r="E224" s="206">
        <v>43190</v>
      </c>
      <c r="F224" s="495"/>
      <c r="G224" s="492"/>
      <c r="H224" s="492"/>
      <c r="I224" s="492"/>
      <c r="J224" s="492"/>
      <c r="K224" s="492"/>
      <c r="L224" s="492"/>
      <c r="M224" s="493"/>
      <c r="N224" s="130"/>
      <c r="O224" s="130"/>
      <c r="P224" s="195"/>
      <c r="Q224" s="450"/>
    </row>
    <row r="225" spans="3:17" s="258" customFormat="1" ht="15" customHeight="1">
      <c r="C225" s="498"/>
      <c r="D225" s="487">
        <v>38</v>
      </c>
      <c r="E225" s="206">
        <v>43555</v>
      </c>
      <c r="F225" s="495"/>
      <c r="G225" s="492"/>
      <c r="H225" s="492"/>
      <c r="I225" s="492"/>
      <c r="J225" s="492"/>
      <c r="K225" s="492"/>
      <c r="L225" s="492"/>
      <c r="M225" s="493"/>
      <c r="N225" s="130"/>
      <c r="O225" s="130"/>
      <c r="P225" s="195"/>
      <c r="Q225" s="450"/>
    </row>
    <row r="226" spans="3:17" s="258" customFormat="1" ht="15" customHeight="1">
      <c r="C226" s="498"/>
      <c r="D226" s="487">
        <v>39</v>
      </c>
      <c r="E226" s="206">
        <v>43921</v>
      </c>
      <c r="F226" s="495"/>
      <c r="G226" s="492"/>
      <c r="H226" s="492"/>
      <c r="I226" s="492"/>
      <c r="J226" s="492"/>
      <c r="K226" s="492"/>
      <c r="L226" s="492"/>
      <c r="M226" s="493"/>
      <c r="N226" s="130"/>
      <c r="O226" s="130"/>
      <c r="P226" s="195"/>
      <c r="Q226" s="450"/>
    </row>
    <row r="227" spans="3:17" s="258" customFormat="1" ht="15" customHeight="1">
      <c r="C227" s="498"/>
      <c r="D227" s="487">
        <v>40</v>
      </c>
      <c r="E227" s="206">
        <v>44286</v>
      </c>
      <c r="F227" s="495"/>
      <c r="G227" s="492"/>
      <c r="H227" s="492"/>
      <c r="I227" s="492"/>
      <c r="J227" s="492"/>
      <c r="K227" s="492"/>
      <c r="L227" s="492"/>
      <c r="M227" s="493"/>
      <c r="N227" s="130"/>
      <c r="O227" s="130"/>
      <c r="P227" s="195"/>
      <c r="Q227" s="450"/>
    </row>
    <row r="228" spans="3:17" s="258" customFormat="1" ht="15" customHeight="1">
      <c r="C228" s="498"/>
      <c r="D228" s="487">
        <v>41</v>
      </c>
      <c r="E228" s="206">
        <v>44651</v>
      </c>
      <c r="F228" s="495"/>
      <c r="G228" s="492"/>
      <c r="H228" s="492"/>
      <c r="I228" s="492"/>
      <c r="J228" s="492"/>
      <c r="K228" s="492"/>
      <c r="L228" s="492"/>
      <c r="M228" s="493"/>
      <c r="N228" s="130"/>
      <c r="O228" s="130"/>
      <c r="P228" s="195"/>
      <c r="Q228" s="450"/>
    </row>
    <row r="229" spans="3:17" s="258" customFormat="1" ht="15" customHeight="1">
      <c r="C229" s="498"/>
      <c r="D229" s="487">
        <v>42</v>
      </c>
      <c r="E229" s="206">
        <v>45016</v>
      </c>
      <c r="F229" s="495"/>
      <c r="G229" s="492"/>
      <c r="H229" s="492"/>
      <c r="I229" s="492"/>
      <c r="J229" s="492"/>
      <c r="K229" s="492"/>
      <c r="L229" s="492"/>
      <c r="M229" s="493"/>
      <c r="N229" s="130"/>
      <c r="O229" s="130"/>
      <c r="P229" s="195"/>
      <c r="Q229" s="450"/>
    </row>
    <row r="230" spans="3:17" s="258" customFormat="1" ht="15" customHeight="1">
      <c r="C230" s="498"/>
      <c r="D230" s="483"/>
      <c r="E230" s="124" t="s">
        <v>506</v>
      </c>
      <c r="F230" s="488"/>
      <c r="G230" s="489"/>
      <c r="H230" s="489"/>
      <c r="I230" s="489"/>
      <c r="J230" s="489"/>
      <c r="K230" s="507"/>
      <c r="L230" s="489"/>
      <c r="M230" s="490"/>
      <c r="N230" s="474"/>
      <c r="O230" s="494"/>
      <c r="P230" s="195"/>
      <c r="Q230" s="450"/>
    </row>
    <row r="231" spans="3:17" s="258" customFormat="1" ht="15" customHeight="1">
      <c r="C231" s="498"/>
      <c r="D231" s="487">
        <v>43</v>
      </c>
      <c r="E231" s="206">
        <v>42460</v>
      </c>
      <c r="F231" s="495"/>
      <c r="G231" s="492"/>
      <c r="H231" s="492"/>
      <c r="I231" s="492"/>
      <c r="J231" s="492"/>
      <c r="K231" s="492"/>
      <c r="L231" s="492"/>
      <c r="M231" s="493"/>
      <c r="N231" s="130"/>
      <c r="O231" s="130"/>
      <c r="P231" s="195"/>
      <c r="Q231" s="450"/>
    </row>
    <row r="232" spans="3:17" s="258" customFormat="1" ht="15" customHeight="1">
      <c r="C232" s="498"/>
      <c r="D232" s="487">
        <v>44</v>
      </c>
      <c r="E232" s="206">
        <v>42825</v>
      </c>
      <c r="F232" s="495"/>
      <c r="G232" s="492"/>
      <c r="H232" s="492"/>
      <c r="I232" s="492"/>
      <c r="J232" s="492"/>
      <c r="K232" s="492"/>
      <c r="L232" s="492"/>
      <c r="M232" s="493"/>
      <c r="N232" s="130"/>
      <c r="O232" s="130"/>
      <c r="P232" s="195"/>
      <c r="Q232" s="450"/>
    </row>
    <row r="233" spans="3:17" s="258" customFormat="1" ht="15" customHeight="1">
      <c r="C233" s="498"/>
      <c r="D233" s="487">
        <v>45</v>
      </c>
      <c r="E233" s="206">
        <v>43190</v>
      </c>
      <c r="F233" s="495"/>
      <c r="G233" s="492"/>
      <c r="H233" s="492"/>
      <c r="I233" s="492"/>
      <c r="J233" s="492"/>
      <c r="K233" s="492"/>
      <c r="L233" s="492"/>
      <c r="M233" s="493"/>
      <c r="N233" s="130"/>
      <c r="O233" s="130"/>
      <c r="P233" s="195"/>
      <c r="Q233" s="450"/>
    </row>
    <row r="234" spans="3:17" s="258" customFormat="1" ht="15" customHeight="1">
      <c r="C234" s="498"/>
      <c r="D234" s="487">
        <v>46</v>
      </c>
      <c r="E234" s="206">
        <v>43555</v>
      </c>
      <c r="F234" s="495"/>
      <c r="G234" s="492"/>
      <c r="H234" s="492"/>
      <c r="I234" s="492"/>
      <c r="J234" s="492"/>
      <c r="K234" s="492"/>
      <c r="L234" s="492"/>
      <c r="M234" s="493"/>
      <c r="N234" s="130"/>
      <c r="O234" s="130"/>
      <c r="P234" s="195"/>
      <c r="Q234" s="450"/>
    </row>
    <row r="235" spans="3:17" s="258" customFormat="1" ht="15" customHeight="1">
      <c r="C235" s="498"/>
      <c r="D235" s="487">
        <v>47</v>
      </c>
      <c r="E235" s="206">
        <v>43921</v>
      </c>
      <c r="F235" s="495"/>
      <c r="G235" s="492"/>
      <c r="H235" s="492"/>
      <c r="I235" s="492"/>
      <c r="J235" s="492"/>
      <c r="K235" s="492"/>
      <c r="L235" s="492"/>
      <c r="M235" s="493"/>
      <c r="N235" s="130"/>
      <c r="O235" s="130"/>
      <c r="P235" s="157"/>
      <c r="Q235" s="450"/>
    </row>
    <row r="236" spans="3:17" s="258" customFormat="1" ht="15" customHeight="1">
      <c r="C236" s="498"/>
      <c r="D236" s="487">
        <v>48</v>
      </c>
      <c r="E236" s="206">
        <v>44286</v>
      </c>
      <c r="F236" s="495"/>
      <c r="G236" s="492"/>
      <c r="H236" s="492"/>
      <c r="I236" s="492"/>
      <c r="J236" s="492"/>
      <c r="K236" s="492"/>
      <c r="L236" s="492"/>
      <c r="M236" s="493"/>
      <c r="N236" s="130"/>
      <c r="O236" s="130"/>
      <c r="P236" s="195"/>
      <c r="Q236" s="450"/>
    </row>
    <row r="237" spans="3:17" s="258" customFormat="1" ht="15" customHeight="1">
      <c r="C237" s="498"/>
      <c r="D237" s="487">
        <v>49</v>
      </c>
      <c r="E237" s="206">
        <v>44651</v>
      </c>
      <c r="F237" s="495"/>
      <c r="G237" s="492"/>
      <c r="H237" s="492"/>
      <c r="I237" s="492"/>
      <c r="J237" s="492"/>
      <c r="K237" s="492"/>
      <c r="L237" s="492"/>
      <c r="M237" s="493"/>
      <c r="N237" s="130"/>
      <c r="O237" s="130"/>
      <c r="P237" s="195"/>
      <c r="Q237" s="450"/>
    </row>
    <row r="238" spans="3:17" s="258" customFormat="1" ht="15" customHeight="1">
      <c r="C238" s="498"/>
      <c r="D238" s="487">
        <v>50</v>
      </c>
      <c r="E238" s="206">
        <v>45016</v>
      </c>
      <c r="F238" s="495"/>
      <c r="G238" s="492"/>
      <c r="H238" s="492"/>
      <c r="I238" s="492"/>
      <c r="J238" s="492"/>
      <c r="K238" s="492"/>
      <c r="L238" s="492"/>
      <c r="M238" s="493"/>
      <c r="N238" s="130"/>
      <c r="O238" s="130"/>
      <c r="P238" s="157"/>
      <c r="Q238" s="450"/>
    </row>
    <row r="239" spans="3:17" s="258" customFormat="1" ht="15" customHeight="1">
      <c r="C239" s="498"/>
      <c r="D239" s="483"/>
      <c r="E239" s="124" t="s">
        <v>518</v>
      </c>
      <c r="F239" s="488"/>
      <c r="G239" s="489"/>
      <c r="H239" s="489"/>
      <c r="I239" s="489"/>
      <c r="J239" s="489"/>
      <c r="K239" s="507"/>
      <c r="L239" s="489"/>
      <c r="M239" s="490"/>
      <c r="N239" s="474"/>
      <c r="O239" s="494"/>
      <c r="P239" s="157"/>
      <c r="Q239" s="450"/>
    </row>
    <row r="240" spans="3:17" s="258" customFormat="1" ht="15" customHeight="1">
      <c r="C240" s="498"/>
      <c r="D240" s="487">
        <v>51</v>
      </c>
      <c r="E240" s="122" t="s">
        <v>489</v>
      </c>
      <c r="F240" s="491"/>
      <c r="G240" s="492"/>
      <c r="H240" s="492"/>
      <c r="I240" s="492"/>
      <c r="J240" s="492"/>
      <c r="K240" s="492"/>
      <c r="L240" s="492"/>
      <c r="M240" s="493"/>
      <c r="N240" s="130"/>
      <c r="O240" s="130"/>
      <c r="P240" s="157"/>
      <c r="Q240" s="450"/>
    </row>
    <row r="241" spans="3:17" s="258" customFormat="1" ht="15" customHeight="1">
      <c r="C241" s="498"/>
      <c r="D241" s="487">
        <v>52</v>
      </c>
      <c r="E241" s="122" t="s">
        <v>490</v>
      </c>
      <c r="F241" s="509"/>
      <c r="G241" s="510"/>
      <c r="H241" s="510"/>
      <c r="I241" s="510"/>
      <c r="J241" s="510"/>
      <c r="K241" s="510"/>
      <c r="L241" s="510"/>
      <c r="M241" s="511"/>
      <c r="N241" s="234"/>
      <c r="O241" s="234"/>
      <c r="P241" s="157"/>
      <c r="Q241" s="450"/>
    </row>
    <row r="242" spans="3:17" s="258" customFormat="1" ht="15" customHeight="1">
      <c r="C242" s="508"/>
      <c r="D242" s="487">
        <v>53</v>
      </c>
      <c r="E242" s="122" t="s">
        <v>465</v>
      </c>
      <c r="F242" s="491"/>
      <c r="G242" s="492"/>
      <c r="H242" s="492"/>
      <c r="I242" s="492"/>
      <c r="J242" s="492"/>
      <c r="K242" s="492"/>
      <c r="L242" s="492"/>
      <c r="M242" s="493"/>
      <c r="N242" s="130"/>
      <c r="O242" s="130"/>
      <c r="P242" s="157"/>
      <c r="Q242" s="450"/>
    </row>
    <row r="243" spans="3:17" s="258" customFormat="1" ht="15" customHeight="1">
      <c r="C243" s="508"/>
      <c r="D243" s="487">
        <v>54</v>
      </c>
      <c r="E243" s="122" t="s">
        <v>491</v>
      </c>
      <c r="F243" s="495"/>
      <c r="G243" s="492"/>
      <c r="H243" s="492"/>
      <c r="I243" s="492"/>
      <c r="J243" s="492"/>
      <c r="K243" s="492"/>
      <c r="L243" s="492"/>
      <c r="M243" s="493"/>
      <c r="N243" s="130"/>
      <c r="O243" s="130"/>
      <c r="P243" s="157"/>
      <c r="Q243" s="450"/>
    </row>
    <row r="244" spans="3:17" s="258" customFormat="1" ht="15" customHeight="1" thickBot="1">
      <c r="C244" s="508"/>
      <c r="D244" s="496">
        <v>55</v>
      </c>
      <c r="E244" s="520" t="s">
        <v>874</v>
      </c>
      <c r="F244" s="515"/>
      <c r="G244" s="497"/>
      <c r="H244" s="497"/>
      <c r="I244" s="497"/>
      <c r="J244" s="497"/>
      <c r="K244" s="497"/>
      <c r="L244" s="497"/>
      <c r="M244" s="512"/>
      <c r="N244" s="514"/>
      <c r="O244" s="514"/>
      <c r="P244" s="157"/>
      <c r="Q244" s="450"/>
    </row>
    <row r="245" spans="3:17" s="258" customFormat="1" ht="15" customHeight="1">
      <c r="C245" s="498"/>
      <c r="D245" s="256"/>
      <c r="E245" s="195"/>
      <c r="F245" s="157"/>
      <c r="G245" s="157"/>
      <c r="H245" s="157"/>
      <c r="I245" s="157"/>
      <c r="J245" s="157"/>
      <c r="K245" s="157"/>
      <c r="L245" s="157"/>
      <c r="M245" s="523"/>
      <c r="N245" s="157"/>
      <c r="O245" s="157"/>
      <c r="P245" s="157"/>
      <c r="Q245" s="450"/>
    </row>
    <row r="246" spans="3:17" s="258" customFormat="1" ht="15" customHeight="1">
      <c r="C246" s="498"/>
      <c r="D246" s="256"/>
      <c r="E246" s="195"/>
      <c r="F246" s="157"/>
      <c r="G246" s="157"/>
      <c r="H246" s="157"/>
      <c r="I246" s="157"/>
      <c r="J246" s="157"/>
      <c r="K246" s="157"/>
      <c r="L246" s="157"/>
      <c r="M246" s="523"/>
      <c r="N246" s="157"/>
      <c r="O246" s="157"/>
      <c r="P246" s="157"/>
      <c r="Q246" s="450"/>
    </row>
    <row r="247" spans="3:17" s="258" customFormat="1" ht="15" customHeight="1">
      <c r="C247" s="498"/>
      <c r="D247" s="256"/>
      <c r="E247" s="195"/>
      <c r="F247" s="157"/>
      <c r="G247" s="157"/>
      <c r="H247" s="157"/>
      <c r="I247" s="157"/>
      <c r="J247" s="157"/>
      <c r="K247" s="157"/>
      <c r="L247" s="157"/>
      <c r="M247" s="523"/>
      <c r="N247" s="157"/>
      <c r="O247" s="157"/>
      <c r="P247" s="157"/>
      <c r="Q247" s="450"/>
    </row>
    <row r="248" spans="3:17" s="258" customFormat="1" ht="15" customHeight="1">
      <c r="C248" s="498"/>
      <c r="D248" s="256"/>
      <c r="E248" s="195"/>
      <c r="F248" s="157"/>
      <c r="G248" s="157"/>
      <c r="H248" s="157"/>
      <c r="I248" s="157"/>
      <c r="J248" s="157"/>
      <c r="K248" s="157"/>
      <c r="L248" s="157"/>
      <c r="M248" s="523"/>
      <c r="N248" s="157"/>
      <c r="O248" s="157"/>
      <c r="P248" s="157"/>
      <c r="Q248" s="450"/>
    </row>
    <row r="249" spans="3:17" s="258" customFormat="1" ht="15" customHeight="1">
      <c r="C249" s="498"/>
      <c r="D249" s="256"/>
      <c r="E249" s="195"/>
      <c r="F249" s="157"/>
      <c r="G249" s="157"/>
      <c r="H249" s="157"/>
      <c r="I249" s="157"/>
      <c r="J249" s="157"/>
      <c r="K249" s="157"/>
      <c r="L249" s="157"/>
      <c r="M249" s="523"/>
      <c r="N249" s="157"/>
      <c r="O249" s="157"/>
      <c r="P249" s="157"/>
      <c r="Q249" s="450"/>
    </row>
    <row r="250" spans="3:17" s="258" customFormat="1" ht="15" customHeight="1">
      <c r="C250" s="517" t="s">
        <v>1020</v>
      </c>
      <c r="D250" s="517"/>
      <c r="E250" s="517"/>
      <c r="F250" s="517"/>
      <c r="G250" s="517"/>
      <c r="H250" s="517"/>
      <c r="I250" s="517"/>
      <c r="J250" s="517"/>
      <c r="K250" s="517"/>
      <c r="L250" s="517"/>
      <c r="M250" s="517"/>
      <c r="N250" s="517"/>
      <c r="O250" s="517"/>
      <c r="P250" s="157"/>
      <c r="Q250" s="450"/>
    </row>
    <row r="251" spans="3:17" s="258" customFormat="1" ht="15" customHeight="1">
      <c r="C251" s="508"/>
      <c r="D251" s="508"/>
      <c r="E251" s="508"/>
      <c r="F251" s="508"/>
      <c r="G251" s="508"/>
      <c r="H251" s="508"/>
      <c r="I251" s="508"/>
      <c r="J251" s="508"/>
      <c r="K251" s="508"/>
      <c r="L251" s="508"/>
      <c r="M251" s="508"/>
      <c r="N251" s="508"/>
      <c r="O251" s="508"/>
      <c r="P251" s="157"/>
      <c r="Q251" s="450"/>
    </row>
    <row r="252" spans="3:17" s="258" customFormat="1" ht="15" customHeight="1">
      <c r="C252" s="508"/>
      <c r="D252" s="479"/>
      <c r="E252" s="479"/>
      <c r="F252" s="480"/>
      <c r="G252" s="480"/>
      <c r="H252" s="480"/>
      <c r="I252" s="480"/>
      <c r="J252" s="480"/>
      <c r="K252" s="480"/>
      <c r="L252" s="480"/>
      <c r="M252" s="480"/>
      <c r="N252" s="479"/>
      <c r="O252" s="479"/>
      <c r="P252" s="157"/>
      <c r="Q252" s="450"/>
    </row>
    <row r="253" spans="3:17" s="258" customFormat="1" ht="15" customHeight="1">
      <c r="C253" s="508"/>
      <c r="D253" s="479"/>
      <c r="E253" s="518" t="s">
        <v>58</v>
      </c>
      <c r="F253" s="518" t="s">
        <v>239</v>
      </c>
      <c r="G253" s="480"/>
      <c r="H253" s="518" t="s">
        <v>39</v>
      </c>
      <c r="I253" s="480"/>
      <c r="J253" s="480"/>
      <c r="K253" s="480"/>
      <c r="L253" s="480"/>
      <c r="M253" s="480"/>
      <c r="N253" s="479"/>
      <c r="O253" s="479"/>
      <c r="P253" s="157"/>
      <c r="Q253" s="450"/>
    </row>
    <row r="254" spans="3:17" s="258" customFormat="1" ht="15" customHeight="1">
      <c r="C254" s="508"/>
      <c r="D254" s="118"/>
      <c r="E254" s="118" t="s">
        <v>1021</v>
      </c>
      <c r="F254" s="388">
        <v>42460</v>
      </c>
      <c r="G254" s="119"/>
      <c r="H254" s="118" t="s">
        <v>1042</v>
      </c>
      <c r="I254" s="119"/>
      <c r="J254" s="119"/>
      <c r="K254" s="119"/>
      <c r="L254" s="119"/>
      <c r="M254" s="119"/>
      <c r="N254" s="118"/>
      <c r="O254" s="118"/>
      <c r="P254" s="157"/>
    </row>
    <row r="255" spans="3:17" s="258" customFormat="1" ht="15" customHeight="1" thickBot="1">
      <c r="C255" s="508"/>
      <c r="D255" s="508"/>
      <c r="E255" s="508"/>
      <c r="F255" s="508"/>
      <c r="G255" s="478"/>
      <c r="H255" s="508"/>
      <c r="I255" s="508"/>
      <c r="J255" s="508"/>
      <c r="K255" s="508"/>
      <c r="L255" s="508"/>
      <c r="M255" s="508"/>
      <c r="N255" s="508"/>
      <c r="O255" s="508"/>
      <c r="P255" s="157"/>
    </row>
    <row r="256" spans="3:17" s="258" customFormat="1" ht="15" customHeight="1">
      <c r="C256" s="508"/>
      <c r="D256" s="481"/>
      <c r="E256" s="506" t="s">
        <v>236</v>
      </c>
      <c r="F256" s="499">
        <v>42460</v>
      </c>
      <c r="G256" s="500">
        <v>42825</v>
      </c>
      <c r="H256" s="500">
        <v>43190</v>
      </c>
      <c r="I256" s="500">
        <v>43555</v>
      </c>
      <c r="J256" s="500">
        <v>43921</v>
      </c>
      <c r="K256" s="500">
        <v>44286</v>
      </c>
      <c r="L256" s="500">
        <v>44651</v>
      </c>
      <c r="M256" s="501">
        <v>45016</v>
      </c>
      <c r="N256" s="513" t="s">
        <v>86</v>
      </c>
      <c r="O256" s="502" t="s">
        <v>87</v>
      </c>
      <c r="P256" s="157"/>
    </row>
    <row r="257" spans="3:16" s="258" customFormat="1" ht="15" customHeight="1">
      <c r="C257" s="508"/>
      <c r="D257" s="482"/>
      <c r="E257" s="122" t="s">
        <v>240</v>
      </c>
      <c r="F257" s="503" t="s">
        <v>844</v>
      </c>
      <c r="G257" s="504" t="s">
        <v>844</v>
      </c>
      <c r="H257" s="504" t="s">
        <v>844</v>
      </c>
      <c r="I257" s="504" t="s">
        <v>844</v>
      </c>
      <c r="J257" s="504" t="s">
        <v>844</v>
      </c>
      <c r="K257" s="504" t="s">
        <v>844</v>
      </c>
      <c r="L257" s="504" t="s">
        <v>844</v>
      </c>
      <c r="M257" s="505" t="s">
        <v>844</v>
      </c>
      <c r="N257" s="192" t="s">
        <v>844</v>
      </c>
      <c r="O257" s="192" t="s">
        <v>844</v>
      </c>
      <c r="P257" s="157"/>
    </row>
    <row r="258" spans="3:16" s="258" customFormat="1" ht="15" customHeight="1">
      <c r="C258" s="508"/>
      <c r="D258" s="483"/>
      <c r="E258" s="124" t="s">
        <v>69</v>
      </c>
      <c r="F258" s="484"/>
      <c r="G258" s="485"/>
      <c r="H258" s="485"/>
      <c r="I258" s="485"/>
      <c r="J258" s="485"/>
      <c r="K258" s="485"/>
      <c r="L258" s="485"/>
      <c r="M258" s="486"/>
      <c r="N258" s="128"/>
      <c r="O258" s="128"/>
      <c r="P258" s="157"/>
    </row>
    <row r="259" spans="3:16" s="258" customFormat="1" ht="15" customHeight="1">
      <c r="C259" s="508"/>
      <c r="D259" s="487">
        <v>1</v>
      </c>
      <c r="E259" s="122" t="s">
        <v>213</v>
      </c>
      <c r="F259" s="491"/>
      <c r="G259" s="492"/>
      <c r="H259" s="492"/>
      <c r="I259" s="492"/>
      <c r="J259" s="492"/>
      <c r="K259" s="492"/>
      <c r="L259" s="492"/>
      <c r="M259" s="493"/>
      <c r="N259" s="130"/>
      <c r="O259" s="130"/>
      <c r="P259" s="195"/>
    </row>
    <row r="260" spans="3:16" s="258" customFormat="1" ht="15" customHeight="1">
      <c r="C260" s="508"/>
      <c r="D260" s="487">
        <v>2</v>
      </c>
      <c r="E260" s="122" t="s">
        <v>879</v>
      </c>
      <c r="F260" s="491"/>
      <c r="G260" s="492"/>
      <c r="H260" s="492"/>
      <c r="I260" s="492"/>
      <c r="J260" s="492"/>
      <c r="K260" s="492"/>
      <c r="L260" s="492"/>
      <c r="M260" s="493"/>
      <c r="N260" s="130"/>
      <c r="O260" s="130"/>
      <c r="P260" s="195"/>
    </row>
    <row r="261" spans="3:16" s="258" customFormat="1" ht="15" customHeight="1">
      <c r="C261" s="508"/>
      <c r="D261" s="487">
        <v>3</v>
      </c>
      <c r="E261" s="122" t="s">
        <v>214</v>
      </c>
      <c r="F261" s="491"/>
      <c r="G261" s="492"/>
      <c r="H261" s="492"/>
      <c r="I261" s="492"/>
      <c r="J261" s="492"/>
      <c r="K261" s="492"/>
      <c r="L261" s="492"/>
      <c r="M261" s="493"/>
      <c r="N261" s="130"/>
      <c r="O261" s="130"/>
      <c r="P261" s="195"/>
    </row>
    <row r="262" spans="3:16" s="258" customFormat="1" ht="15" customHeight="1">
      <c r="C262" s="508"/>
      <c r="D262" s="483"/>
      <c r="E262" s="124" t="s">
        <v>16</v>
      </c>
      <c r="F262" s="484"/>
      <c r="G262" s="485"/>
      <c r="H262" s="485"/>
      <c r="I262" s="485"/>
      <c r="J262" s="485"/>
      <c r="K262" s="485"/>
      <c r="L262" s="485"/>
      <c r="M262" s="486"/>
      <c r="N262" s="128"/>
      <c r="O262" s="128"/>
      <c r="P262" s="157"/>
    </row>
    <row r="263" spans="3:16" s="258" customFormat="1" ht="15" customHeight="1">
      <c r="C263" s="508"/>
      <c r="D263" s="487">
        <v>4</v>
      </c>
      <c r="E263" s="122" t="s">
        <v>492</v>
      </c>
      <c r="F263" s="491"/>
      <c r="G263" s="492"/>
      <c r="H263" s="492"/>
      <c r="I263" s="492"/>
      <c r="J263" s="492"/>
      <c r="K263" s="492"/>
      <c r="L263" s="492"/>
      <c r="M263" s="493"/>
      <c r="N263" s="130"/>
      <c r="O263" s="130"/>
      <c r="P263" s="195"/>
    </row>
    <row r="264" spans="3:16" s="258" customFormat="1" ht="15" customHeight="1">
      <c r="C264" s="508"/>
      <c r="D264" s="487">
        <v>5</v>
      </c>
      <c r="E264" s="122" t="s">
        <v>122</v>
      </c>
      <c r="F264" s="491"/>
      <c r="G264" s="492"/>
      <c r="H264" s="492"/>
      <c r="I264" s="492"/>
      <c r="J264" s="492"/>
      <c r="K264" s="492"/>
      <c r="L264" s="492"/>
      <c r="M264" s="493"/>
      <c r="N264" s="130"/>
      <c r="O264" s="130"/>
      <c r="P264" s="195"/>
    </row>
    <row r="265" spans="3:16" s="258" customFormat="1" ht="15" customHeight="1">
      <c r="C265" s="508"/>
      <c r="D265" s="487">
        <v>6</v>
      </c>
      <c r="E265" s="122" t="s">
        <v>493</v>
      </c>
      <c r="F265" s="491"/>
      <c r="G265" s="492"/>
      <c r="H265" s="492"/>
      <c r="I265" s="492"/>
      <c r="J265" s="492"/>
      <c r="K265" s="492"/>
      <c r="L265" s="492"/>
      <c r="M265" s="493"/>
      <c r="N265" s="130"/>
      <c r="O265" s="130"/>
      <c r="P265" s="195"/>
    </row>
    <row r="266" spans="3:16" s="258" customFormat="1" ht="15" customHeight="1">
      <c r="C266" s="508"/>
      <c r="D266" s="487">
        <v>7</v>
      </c>
      <c r="E266" s="122" t="s">
        <v>215</v>
      </c>
      <c r="F266" s="491"/>
      <c r="G266" s="492"/>
      <c r="H266" s="492"/>
      <c r="I266" s="492"/>
      <c r="J266" s="492"/>
      <c r="K266" s="492"/>
      <c r="L266" s="492"/>
      <c r="M266" s="493"/>
      <c r="N266" s="130"/>
      <c r="O266" s="130"/>
      <c r="P266" s="195"/>
    </row>
    <row r="267" spans="3:16" s="258" customFormat="1" ht="15" customHeight="1">
      <c r="C267" s="508"/>
      <c r="D267" s="487">
        <v>8</v>
      </c>
      <c r="E267" s="122" t="s">
        <v>0</v>
      </c>
      <c r="F267" s="491"/>
      <c r="G267" s="492"/>
      <c r="H267" s="492"/>
      <c r="I267" s="492"/>
      <c r="J267" s="492"/>
      <c r="K267" s="492"/>
      <c r="L267" s="492"/>
      <c r="M267" s="493"/>
      <c r="N267" s="130"/>
      <c r="O267" s="130"/>
      <c r="P267" s="195"/>
    </row>
    <row r="268" spans="3:16" s="258" customFormat="1" ht="15" customHeight="1">
      <c r="C268" s="508"/>
      <c r="D268" s="487">
        <v>9</v>
      </c>
      <c r="E268" s="122" t="s">
        <v>17</v>
      </c>
      <c r="F268" s="491"/>
      <c r="G268" s="492"/>
      <c r="H268" s="492"/>
      <c r="I268" s="492"/>
      <c r="J268" s="492"/>
      <c r="K268" s="492"/>
      <c r="L268" s="492"/>
      <c r="M268" s="493"/>
      <c r="N268" s="130"/>
      <c r="O268" s="130"/>
      <c r="P268" s="195"/>
    </row>
    <row r="269" spans="3:16" s="258" customFormat="1" ht="15" customHeight="1">
      <c r="C269" s="508"/>
      <c r="D269" s="483"/>
      <c r="E269" s="124" t="s">
        <v>301</v>
      </c>
      <c r="F269" s="488"/>
      <c r="G269" s="489"/>
      <c r="H269" s="489"/>
      <c r="I269" s="489"/>
      <c r="J269" s="489"/>
      <c r="K269" s="489"/>
      <c r="L269" s="489"/>
      <c r="M269" s="490"/>
      <c r="N269" s="134"/>
      <c r="O269" s="134"/>
      <c r="P269" s="195"/>
    </row>
    <row r="270" spans="3:16" s="258" customFormat="1" ht="15" customHeight="1">
      <c r="C270" s="508"/>
      <c r="D270" s="487">
        <v>10</v>
      </c>
      <c r="E270" s="122" t="s">
        <v>100</v>
      </c>
      <c r="F270" s="491"/>
      <c r="G270" s="492"/>
      <c r="H270" s="492"/>
      <c r="I270" s="492"/>
      <c r="J270" s="492"/>
      <c r="K270" s="492"/>
      <c r="L270" s="492"/>
      <c r="M270" s="493"/>
      <c r="N270" s="130"/>
      <c r="O270" s="130"/>
      <c r="P270" s="195"/>
    </row>
    <row r="271" spans="3:16" s="258" customFormat="1" ht="15" customHeight="1">
      <c r="C271" s="508"/>
      <c r="D271" s="487">
        <v>11</v>
      </c>
      <c r="E271" s="122" t="s">
        <v>740</v>
      </c>
      <c r="F271" s="491"/>
      <c r="G271" s="492"/>
      <c r="H271" s="492"/>
      <c r="I271" s="492"/>
      <c r="J271" s="492"/>
      <c r="K271" s="492"/>
      <c r="L271" s="492"/>
      <c r="M271" s="493"/>
      <c r="N271" s="130"/>
      <c r="O271" s="130"/>
      <c r="P271" s="195"/>
    </row>
    <row r="272" spans="3:16" s="258" customFormat="1" ht="15" customHeight="1">
      <c r="C272" s="508"/>
      <c r="D272" s="487">
        <v>12</v>
      </c>
      <c r="E272" s="122" t="s">
        <v>67</v>
      </c>
      <c r="F272" s="491"/>
      <c r="G272" s="492"/>
      <c r="H272" s="492"/>
      <c r="I272" s="492"/>
      <c r="J272" s="492"/>
      <c r="K272" s="492"/>
      <c r="L272" s="492"/>
      <c r="M272" s="493"/>
      <c r="N272" s="130"/>
      <c r="O272" s="130"/>
      <c r="P272" s="157"/>
    </row>
    <row r="273" spans="3:16" s="258" customFormat="1" ht="15" customHeight="1">
      <c r="C273" s="508"/>
      <c r="D273" s="487">
        <v>13</v>
      </c>
      <c r="E273" s="122" t="s">
        <v>19</v>
      </c>
      <c r="F273" s="491"/>
      <c r="G273" s="492"/>
      <c r="H273" s="492"/>
      <c r="I273" s="492"/>
      <c r="J273" s="492"/>
      <c r="K273" s="492"/>
      <c r="L273" s="492"/>
      <c r="M273" s="493"/>
      <c r="N273" s="130"/>
      <c r="O273" s="130"/>
      <c r="P273" s="157"/>
    </row>
    <row r="274" spans="3:16" s="258" customFormat="1" ht="15" customHeight="1">
      <c r="C274" s="508"/>
      <c r="D274" s="487">
        <v>14</v>
      </c>
      <c r="E274" s="122" t="s">
        <v>105</v>
      </c>
      <c r="F274" s="491"/>
      <c r="G274" s="492"/>
      <c r="H274" s="492"/>
      <c r="I274" s="492"/>
      <c r="J274" s="492"/>
      <c r="K274" s="492"/>
      <c r="L274" s="492"/>
      <c r="M274" s="493"/>
      <c r="N274" s="130"/>
      <c r="O274" s="130"/>
      <c r="P274" s="157"/>
    </row>
    <row r="275" spans="3:16" s="258" customFormat="1" ht="15" customHeight="1">
      <c r="C275" s="508"/>
      <c r="D275" s="487">
        <v>15</v>
      </c>
      <c r="E275" s="122" t="s">
        <v>23</v>
      </c>
      <c r="F275" s="491"/>
      <c r="G275" s="492"/>
      <c r="H275" s="492"/>
      <c r="I275" s="492"/>
      <c r="J275" s="492"/>
      <c r="K275" s="492"/>
      <c r="L275" s="492"/>
      <c r="M275" s="493"/>
      <c r="N275" s="130"/>
      <c r="O275" s="130"/>
      <c r="P275" s="157"/>
    </row>
    <row r="276" spans="3:16" s="258" customFormat="1" ht="15" customHeight="1">
      <c r="C276" s="508"/>
      <c r="D276" s="487">
        <v>16</v>
      </c>
      <c r="E276" s="122" t="s">
        <v>220</v>
      </c>
      <c r="F276" s="491"/>
      <c r="G276" s="492"/>
      <c r="H276" s="492"/>
      <c r="I276" s="492"/>
      <c r="J276" s="492"/>
      <c r="K276" s="492"/>
      <c r="L276" s="492"/>
      <c r="M276" s="493"/>
      <c r="N276" s="130"/>
      <c r="O276" s="130"/>
      <c r="P276" s="157"/>
    </row>
    <row r="277" spans="3:16" s="258" customFormat="1" ht="15" customHeight="1">
      <c r="C277" s="508"/>
      <c r="D277" s="487">
        <v>17</v>
      </c>
      <c r="E277" s="122" t="s">
        <v>7</v>
      </c>
      <c r="F277" s="491"/>
      <c r="G277" s="492"/>
      <c r="H277" s="492"/>
      <c r="I277" s="492"/>
      <c r="J277" s="492"/>
      <c r="K277" s="492"/>
      <c r="L277" s="492"/>
      <c r="M277" s="493"/>
      <c r="N277" s="130"/>
      <c r="O277" s="130"/>
      <c r="P277" s="195"/>
    </row>
    <row r="278" spans="3:16" s="258" customFormat="1" ht="15" customHeight="1">
      <c r="C278" s="508"/>
      <c r="D278" s="483"/>
      <c r="E278" s="124" t="s">
        <v>167</v>
      </c>
      <c r="F278" s="488"/>
      <c r="G278" s="489"/>
      <c r="H278" s="489"/>
      <c r="I278" s="489"/>
      <c r="J278" s="489"/>
      <c r="K278" s="489"/>
      <c r="L278" s="489"/>
      <c r="M278" s="490"/>
      <c r="N278" s="134"/>
      <c r="O278" s="134"/>
      <c r="P278" s="195"/>
    </row>
    <row r="279" spans="3:16" s="258" customFormat="1" ht="15" customHeight="1">
      <c r="C279" s="508"/>
      <c r="D279" s="487">
        <v>18</v>
      </c>
      <c r="E279" s="122" t="s">
        <v>100</v>
      </c>
      <c r="F279" s="491"/>
      <c r="G279" s="492"/>
      <c r="H279" s="492"/>
      <c r="I279" s="492"/>
      <c r="J279" s="492"/>
      <c r="K279" s="492"/>
      <c r="L279" s="492"/>
      <c r="M279" s="493"/>
      <c r="N279" s="130"/>
      <c r="O279" s="130"/>
      <c r="P279" s="195"/>
    </row>
    <row r="280" spans="3:16" s="258" customFormat="1" ht="15" customHeight="1">
      <c r="C280" s="508"/>
      <c r="D280" s="487">
        <v>19</v>
      </c>
      <c r="E280" s="122" t="s">
        <v>740</v>
      </c>
      <c r="F280" s="491"/>
      <c r="G280" s="492"/>
      <c r="H280" s="492"/>
      <c r="I280" s="492"/>
      <c r="J280" s="492"/>
      <c r="K280" s="492"/>
      <c r="L280" s="492"/>
      <c r="M280" s="493"/>
      <c r="N280" s="130"/>
      <c r="O280" s="130"/>
      <c r="P280" s="195"/>
    </row>
    <row r="281" spans="3:16" s="258" customFormat="1" ht="15" customHeight="1">
      <c r="C281" s="508"/>
      <c r="D281" s="487">
        <v>20</v>
      </c>
      <c r="E281" s="122" t="s">
        <v>67</v>
      </c>
      <c r="F281" s="491"/>
      <c r="G281" s="492"/>
      <c r="H281" s="492"/>
      <c r="I281" s="492"/>
      <c r="J281" s="492"/>
      <c r="K281" s="492"/>
      <c r="L281" s="492"/>
      <c r="M281" s="493"/>
      <c r="N281" s="130"/>
      <c r="O281" s="130"/>
      <c r="P281" s="195"/>
    </row>
    <row r="282" spans="3:16" s="258" customFormat="1" ht="15" customHeight="1">
      <c r="C282" s="508"/>
      <c r="D282" s="487">
        <v>21</v>
      </c>
      <c r="E282" s="122" t="s">
        <v>19</v>
      </c>
      <c r="F282" s="491"/>
      <c r="G282" s="492"/>
      <c r="H282" s="492"/>
      <c r="I282" s="492"/>
      <c r="J282" s="492"/>
      <c r="K282" s="492"/>
      <c r="L282" s="492"/>
      <c r="M282" s="493"/>
      <c r="N282" s="130"/>
      <c r="O282" s="130"/>
      <c r="P282" s="195"/>
    </row>
    <row r="283" spans="3:16" s="258" customFormat="1" ht="15" customHeight="1">
      <c r="C283" s="508"/>
      <c r="D283" s="487">
        <v>22</v>
      </c>
      <c r="E283" s="122" t="s">
        <v>105</v>
      </c>
      <c r="F283" s="491"/>
      <c r="G283" s="492"/>
      <c r="H283" s="492"/>
      <c r="I283" s="492"/>
      <c r="J283" s="492"/>
      <c r="K283" s="492"/>
      <c r="L283" s="492"/>
      <c r="M283" s="493"/>
      <c r="N283" s="130"/>
      <c r="O283" s="130"/>
      <c r="P283" s="195"/>
    </row>
    <row r="284" spans="3:16" s="258" customFormat="1" ht="15" customHeight="1">
      <c r="C284" s="508"/>
      <c r="D284" s="487">
        <v>23</v>
      </c>
      <c r="E284" s="122" t="s">
        <v>23</v>
      </c>
      <c r="F284" s="491"/>
      <c r="G284" s="492"/>
      <c r="H284" s="492"/>
      <c r="I284" s="492"/>
      <c r="J284" s="492"/>
      <c r="K284" s="492"/>
      <c r="L284" s="492"/>
      <c r="M284" s="493"/>
      <c r="N284" s="130"/>
      <c r="O284" s="130"/>
      <c r="P284" s="195"/>
    </row>
    <row r="285" spans="3:16" s="258" customFormat="1" ht="15" customHeight="1">
      <c r="C285" s="508"/>
      <c r="D285" s="487">
        <v>24</v>
      </c>
      <c r="E285" s="122" t="s">
        <v>220</v>
      </c>
      <c r="F285" s="491"/>
      <c r="G285" s="492"/>
      <c r="H285" s="492"/>
      <c r="I285" s="492"/>
      <c r="J285" s="492"/>
      <c r="K285" s="492"/>
      <c r="L285" s="492"/>
      <c r="M285" s="493"/>
      <c r="N285" s="130"/>
      <c r="O285" s="130"/>
      <c r="P285" s="195"/>
    </row>
    <row r="286" spans="3:16" s="258" customFormat="1" ht="15" customHeight="1">
      <c r="C286" s="508"/>
      <c r="D286" s="487">
        <v>25</v>
      </c>
      <c r="E286" s="122" t="s">
        <v>7</v>
      </c>
      <c r="F286" s="491"/>
      <c r="G286" s="492"/>
      <c r="H286" s="492"/>
      <c r="I286" s="492"/>
      <c r="J286" s="492"/>
      <c r="K286" s="492"/>
      <c r="L286" s="492"/>
      <c r="M286" s="493"/>
      <c r="N286" s="130"/>
      <c r="O286" s="130"/>
      <c r="P286" s="195"/>
    </row>
    <row r="287" spans="3:16" s="258" customFormat="1" ht="15" customHeight="1">
      <c r="C287" s="508"/>
      <c r="D287" s="483"/>
      <c r="E287" s="124" t="s">
        <v>20</v>
      </c>
      <c r="F287" s="488"/>
      <c r="G287" s="489"/>
      <c r="H287" s="489"/>
      <c r="I287" s="489"/>
      <c r="J287" s="489"/>
      <c r="K287" s="489"/>
      <c r="L287" s="489"/>
      <c r="M287" s="490"/>
      <c r="N287" s="474"/>
      <c r="O287" s="494"/>
      <c r="P287" s="195"/>
    </row>
    <row r="288" spans="3:16" s="258" customFormat="1" ht="15" customHeight="1">
      <c r="C288" s="508"/>
      <c r="D288" s="487">
        <v>26</v>
      </c>
      <c r="E288" s="122" t="s">
        <v>505</v>
      </c>
      <c r="F288" s="491"/>
      <c r="G288" s="492"/>
      <c r="H288" s="492"/>
      <c r="I288" s="492"/>
      <c r="J288" s="492"/>
      <c r="K288" s="492"/>
      <c r="L288" s="492"/>
      <c r="M288" s="493"/>
      <c r="N288" s="130"/>
      <c r="O288" s="130"/>
      <c r="P288" s="195"/>
    </row>
    <row r="289" spans="3:16" s="258" customFormat="1" ht="15" customHeight="1">
      <c r="C289" s="508"/>
      <c r="D289" s="487">
        <v>27</v>
      </c>
      <c r="E289" s="122" t="s">
        <v>60</v>
      </c>
      <c r="F289" s="491"/>
      <c r="G289" s="492"/>
      <c r="H289" s="492"/>
      <c r="I289" s="492"/>
      <c r="J289" s="492"/>
      <c r="K289" s="492"/>
      <c r="L289" s="492"/>
      <c r="M289" s="493"/>
      <c r="N289" s="130"/>
      <c r="O289" s="130"/>
      <c r="P289" s="195"/>
    </row>
    <row r="290" spans="3:16" s="258" customFormat="1" ht="15" customHeight="1">
      <c r="C290" s="508"/>
      <c r="D290" s="487">
        <v>28</v>
      </c>
      <c r="E290" s="122" t="s">
        <v>45</v>
      </c>
      <c r="F290" s="495"/>
      <c r="G290" s="492"/>
      <c r="H290" s="492"/>
      <c r="I290" s="492"/>
      <c r="J290" s="492"/>
      <c r="K290" s="492"/>
      <c r="L290" s="492"/>
      <c r="M290" s="493"/>
      <c r="N290" s="130"/>
      <c r="O290" s="130"/>
      <c r="P290" s="195"/>
    </row>
    <row r="291" spans="3:16" s="258" customFormat="1" ht="15" customHeight="1">
      <c r="C291" s="508"/>
      <c r="D291" s="487">
        <v>29</v>
      </c>
      <c r="E291" s="122" t="s">
        <v>521</v>
      </c>
      <c r="F291" s="495"/>
      <c r="G291" s="492"/>
      <c r="H291" s="492"/>
      <c r="I291" s="492"/>
      <c r="J291" s="492"/>
      <c r="K291" s="492"/>
      <c r="L291" s="492"/>
      <c r="M291" s="493"/>
      <c r="N291" s="130"/>
      <c r="O291" s="130"/>
      <c r="P291" s="195"/>
    </row>
    <row r="292" spans="3:16" s="258" customFormat="1" ht="15" customHeight="1">
      <c r="C292" s="508"/>
      <c r="D292" s="487">
        <v>30</v>
      </c>
      <c r="E292" s="122" t="s">
        <v>521</v>
      </c>
      <c r="F292" s="495"/>
      <c r="G292" s="492"/>
      <c r="H292" s="492"/>
      <c r="I292" s="492"/>
      <c r="J292" s="492"/>
      <c r="K292" s="492"/>
      <c r="L292" s="492"/>
      <c r="M292" s="493"/>
      <c r="N292" s="130"/>
      <c r="O292" s="130"/>
      <c r="P292" s="195"/>
    </row>
    <row r="293" spans="3:16" s="258" customFormat="1" ht="15" customHeight="1">
      <c r="C293" s="508"/>
      <c r="D293" s="487">
        <v>31</v>
      </c>
      <c r="E293" s="122" t="s">
        <v>729</v>
      </c>
      <c r="F293" s="495"/>
      <c r="G293" s="492"/>
      <c r="H293" s="492"/>
      <c r="I293" s="492"/>
      <c r="J293" s="492"/>
      <c r="K293" s="492"/>
      <c r="L293" s="492"/>
      <c r="M293" s="493"/>
      <c r="N293" s="130"/>
      <c r="O293" s="130"/>
      <c r="P293" s="195"/>
    </row>
    <row r="294" spans="3:16" s="258" customFormat="1" ht="15" customHeight="1">
      <c r="C294" s="508"/>
      <c r="D294" s="487">
        <v>32</v>
      </c>
      <c r="E294" s="122" t="s">
        <v>10</v>
      </c>
      <c r="F294" s="495"/>
      <c r="G294" s="492"/>
      <c r="H294" s="492"/>
      <c r="I294" s="492"/>
      <c r="J294" s="492"/>
      <c r="K294" s="492"/>
      <c r="L294" s="492"/>
      <c r="M294" s="519"/>
      <c r="N294" s="130"/>
      <c r="O294" s="130"/>
      <c r="P294" s="195"/>
    </row>
    <row r="295" spans="3:16" s="258" customFormat="1" ht="15" customHeight="1">
      <c r="C295" s="508"/>
      <c r="D295" s="483"/>
      <c r="E295" s="124" t="s">
        <v>176</v>
      </c>
      <c r="F295" s="488"/>
      <c r="G295" s="489"/>
      <c r="H295" s="489"/>
      <c r="I295" s="489"/>
      <c r="J295" s="489"/>
      <c r="K295" s="507"/>
      <c r="L295" s="489"/>
      <c r="M295" s="490"/>
      <c r="N295" s="474"/>
      <c r="O295" s="494"/>
      <c r="P295" s="195"/>
    </row>
    <row r="296" spans="3:16" s="258" customFormat="1" ht="15" customHeight="1">
      <c r="C296" s="508"/>
      <c r="D296" s="487">
        <v>33</v>
      </c>
      <c r="E296" s="122" t="s">
        <v>176</v>
      </c>
      <c r="F296" s="491"/>
      <c r="G296" s="492"/>
      <c r="H296" s="492"/>
      <c r="I296" s="492"/>
      <c r="J296" s="492"/>
      <c r="K296" s="492"/>
      <c r="L296" s="492"/>
      <c r="M296" s="493"/>
      <c r="N296" s="130"/>
      <c r="O296" s="130"/>
      <c r="P296" s="195"/>
    </row>
    <row r="297" spans="3:16" s="258" customFormat="1" ht="15" customHeight="1">
      <c r="C297" s="508"/>
      <c r="D297" s="487">
        <v>34</v>
      </c>
      <c r="E297" s="122" t="s">
        <v>191</v>
      </c>
      <c r="F297" s="491"/>
      <c r="G297" s="492"/>
      <c r="H297" s="492"/>
      <c r="I297" s="492"/>
      <c r="J297" s="492"/>
      <c r="K297" s="492"/>
      <c r="L297" s="492"/>
      <c r="M297" s="493"/>
      <c r="N297" s="130"/>
      <c r="O297" s="130"/>
      <c r="P297" s="195"/>
    </row>
    <row r="298" spans="3:16" s="258" customFormat="1" ht="15" customHeight="1">
      <c r="C298" s="498"/>
      <c r="D298" s="483"/>
      <c r="E298" s="124" t="s">
        <v>302</v>
      </c>
      <c r="F298" s="488"/>
      <c r="G298" s="489"/>
      <c r="H298" s="489"/>
      <c r="I298" s="489"/>
      <c r="J298" s="489"/>
      <c r="K298" s="507"/>
      <c r="L298" s="489"/>
      <c r="M298" s="490"/>
      <c r="N298" s="474"/>
      <c r="O298" s="494"/>
      <c r="P298" s="195"/>
    </row>
    <row r="299" spans="3:16" s="258" customFormat="1" ht="15" customHeight="1">
      <c r="C299" s="498"/>
      <c r="D299" s="487">
        <v>35</v>
      </c>
      <c r="E299" s="206">
        <v>42460</v>
      </c>
      <c r="F299" s="495"/>
      <c r="G299" s="492"/>
      <c r="H299" s="492"/>
      <c r="I299" s="492"/>
      <c r="J299" s="492"/>
      <c r="K299" s="492"/>
      <c r="L299" s="492"/>
      <c r="M299" s="493"/>
      <c r="N299" s="130"/>
      <c r="O299" s="130"/>
      <c r="P299" s="195"/>
    </row>
    <row r="300" spans="3:16" s="258" customFormat="1" ht="15" customHeight="1">
      <c r="C300" s="498"/>
      <c r="D300" s="487">
        <v>36</v>
      </c>
      <c r="E300" s="206">
        <v>42825</v>
      </c>
      <c r="F300" s="495"/>
      <c r="G300" s="492"/>
      <c r="H300" s="492"/>
      <c r="I300" s="492"/>
      <c r="J300" s="492"/>
      <c r="K300" s="492"/>
      <c r="L300" s="492"/>
      <c r="M300" s="493"/>
      <c r="N300" s="130"/>
      <c r="O300" s="130"/>
      <c r="P300" s="195"/>
    </row>
    <row r="301" spans="3:16" s="258" customFormat="1" ht="15" customHeight="1">
      <c r="C301" s="498"/>
      <c r="D301" s="487">
        <v>37</v>
      </c>
      <c r="E301" s="206">
        <v>43190</v>
      </c>
      <c r="F301" s="495"/>
      <c r="G301" s="492"/>
      <c r="H301" s="492"/>
      <c r="I301" s="492"/>
      <c r="J301" s="492"/>
      <c r="K301" s="492"/>
      <c r="L301" s="492"/>
      <c r="M301" s="493"/>
      <c r="N301" s="130"/>
      <c r="O301" s="130"/>
      <c r="P301" s="195"/>
    </row>
    <row r="302" spans="3:16" s="258" customFormat="1" ht="15" customHeight="1">
      <c r="C302" s="498"/>
      <c r="D302" s="487">
        <v>38</v>
      </c>
      <c r="E302" s="206">
        <v>43555</v>
      </c>
      <c r="F302" s="495"/>
      <c r="G302" s="492"/>
      <c r="H302" s="492"/>
      <c r="I302" s="492"/>
      <c r="J302" s="492"/>
      <c r="K302" s="492"/>
      <c r="L302" s="492"/>
      <c r="M302" s="493"/>
      <c r="N302" s="130"/>
      <c r="O302" s="130"/>
      <c r="P302" s="195"/>
    </row>
    <row r="303" spans="3:16" s="258" customFormat="1" ht="15" customHeight="1">
      <c r="C303" s="498"/>
      <c r="D303" s="487">
        <v>39</v>
      </c>
      <c r="E303" s="206">
        <v>43921</v>
      </c>
      <c r="F303" s="495"/>
      <c r="G303" s="492"/>
      <c r="H303" s="492"/>
      <c r="I303" s="492"/>
      <c r="J303" s="492"/>
      <c r="K303" s="492"/>
      <c r="L303" s="492"/>
      <c r="M303" s="493"/>
      <c r="N303" s="130"/>
      <c r="O303" s="130"/>
      <c r="P303" s="195"/>
    </row>
    <row r="304" spans="3:16" s="258" customFormat="1" ht="15" customHeight="1">
      <c r="C304" s="498"/>
      <c r="D304" s="487">
        <v>40</v>
      </c>
      <c r="E304" s="206">
        <v>44286</v>
      </c>
      <c r="F304" s="495"/>
      <c r="G304" s="492"/>
      <c r="H304" s="492"/>
      <c r="I304" s="492"/>
      <c r="J304" s="492"/>
      <c r="K304" s="492"/>
      <c r="L304" s="492"/>
      <c r="M304" s="493"/>
      <c r="N304" s="130"/>
      <c r="O304" s="130"/>
      <c r="P304" s="195"/>
    </row>
    <row r="305" spans="3:16" s="258" customFormat="1" ht="15" customHeight="1">
      <c r="C305" s="498"/>
      <c r="D305" s="487">
        <v>41</v>
      </c>
      <c r="E305" s="206">
        <v>44651</v>
      </c>
      <c r="F305" s="495"/>
      <c r="G305" s="492"/>
      <c r="H305" s="492"/>
      <c r="I305" s="492"/>
      <c r="J305" s="492"/>
      <c r="K305" s="492"/>
      <c r="L305" s="492"/>
      <c r="M305" s="493"/>
      <c r="N305" s="130"/>
      <c r="O305" s="130"/>
      <c r="P305" s="195"/>
    </row>
    <row r="306" spans="3:16" s="258" customFormat="1" ht="15" customHeight="1">
      <c r="C306" s="498"/>
      <c r="D306" s="487">
        <v>42</v>
      </c>
      <c r="E306" s="206">
        <v>45016</v>
      </c>
      <c r="F306" s="495"/>
      <c r="G306" s="492"/>
      <c r="H306" s="492"/>
      <c r="I306" s="492"/>
      <c r="J306" s="492"/>
      <c r="K306" s="492"/>
      <c r="L306" s="492"/>
      <c r="M306" s="493"/>
      <c r="N306" s="130"/>
      <c r="O306" s="130"/>
      <c r="P306" s="195"/>
    </row>
    <row r="307" spans="3:16" s="258" customFormat="1" ht="15" customHeight="1">
      <c r="C307" s="498"/>
      <c r="D307" s="483"/>
      <c r="E307" s="124" t="s">
        <v>506</v>
      </c>
      <c r="F307" s="488"/>
      <c r="G307" s="489"/>
      <c r="H307" s="489"/>
      <c r="I307" s="489"/>
      <c r="J307" s="489"/>
      <c r="K307" s="507"/>
      <c r="L307" s="489"/>
      <c r="M307" s="490"/>
      <c r="N307" s="474"/>
      <c r="O307" s="494"/>
      <c r="P307" s="195"/>
    </row>
    <row r="308" spans="3:16" s="258" customFormat="1" ht="15" customHeight="1">
      <c r="C308" s="498"/>
      <c r="D308" s="487">
        <v>43</v>
      </c>
      <c r="E308" s="206">
        <v>42460</v>
      </c>
      <c r="F308" s="495"/>
      <c r="G308" s="492"/>
      <c r="H308" s="492"/>
      <c r="I308" s="492"/>
      <c r="J308" s="492"/>
      <c r="K308" s="492"/>
      <c r="L308" s="492"/>
      <c r="M308" s="493"/>
      <c r="N308" s="130"/>
      <c r="O308" s="130"/>
      <c r="P308" s="195"/>
    </row>
    <row r="309" spans="3:16" s="258" customFormat="1" ht="15" customHeight="1">
      <c r="C309" s="498"/>
      <c r="D309" s="487">
        <v>44</v>
      </c>
      <c r="E309" s="206">
        <v>42825</v>
      </c>
      <c r="F309" s="495"/>
      <c r="G309" s="492"/>
      <c r="H309" s="492"/>
      <c r="I309" s="492"/>
      <c r="J309" s="492"/>
      <c r="K309" s="492"/>
      <c r="L309" s="492"/>
      <c r="M309" s="493"/>
      <c r="N309" s="130"/>
      <c r="O309" s="130"/>
      <c r="P309" s="195"/>
    </row>
    <row r="310" spans="3:16" s="258" customFormat="1" ht="15" customHeight="1">
      <c r="C310" s="498"/>
      <c r="D310" s="487">
        <v>45</v>
      </c>
      <c r="E310" s="206">
        <v>43190</v>
      </c>
      <c r="F310" s="495"/>
      <c r="G310" s="492"/>
      <c r="H310" s="492"/>
      <c r="I310" s="492"/>
      <c r="J310" s="492"/>
      <c r="K310" s="492"/>
      <c r="L310" s="492"/>
      <c r="M310" s="493"/>
      <c r="N310" s="130"/>
      <c r="O310" s="130"/>
      <c r="P310" s="195"/>
    </row>
    <row r="311" spans="3:16" s="258" customFormat="1" ht="15" customHeight="1">
      <c r="C311" s="498"/>
      <c r="D311" s="487">
        <v>46</v>
      </c>
      <c r="E311" s="206">
        <v>43555</v>
      </c>
      <c r="F311" s="495"/>
      <c r="G311" s="492"/>
      <c r="H311" s="492"/>
      <c r="I311" s="492"/>
      <c r="J311" s="492"/>
      <c r="K311" s="492"/>
      <c r="L311" s="492"/>
      <c r="M311" s="493"/>
      <c r="N311" s="130"/>
      <c r="O311" s="130"/>
      <c r="P311" s="195"/>
    </row>
    <row r="312" spans="3:16" s="258" customFormat="1" ht="15" customHeight="1">
      <c r="C312" s="498"/>
      <c r="D312" s="487">
        <v>47</v>
      </c>
      <c r="E312" s="206">
        <v>43921</v>
      </c>
      <c r="F312" s="495"/>
      <c r="G312" s="492"/>
      <c r="H312" s="492"/>
      <c r="I312" s="492"/>
      <c r="J312" s="492"/>
      <c r="K312" s="492"/>
      <c r="L312" s="492"/>
      <c r="M312" s="493"/>
      <c r="N312" s="130"/>
      <c r="O312" s="130"/>
      <c r="P312" s="195"/>
    </row>
    <row r="313" spans="3:16" s="258" customFormat="1" ht="15" customHeight="1">
      <c r="C313" s="498"/>
      <c r="D313" s="487">
        <v>48</v>
      </c>
      <c r="E313" s="206">
        <v>44286</v>
      </c>
      <c r="F313" s="495"/>
      <c r="G313" s="492"/>
      <c r="H313" s="492"/>
      <c r="I313" s="492"/>
      <c r="J313" s="492"/>
      <c r="K313" s="492"/>
      <c r="L313" s="492"/>
      <c r="M313" s="493"/>
      <c r="N313" s="130"/>
      <c r="O313" s="130"/>
      <c r="P313" s="195"/>
    </row>
    <row r="314" spans="3:16" s="258" customFormat="1" ht="15" customHeight="1">
      <c r="C314" s="498"/>
      <c r="D314" s="487">
        <v>49</v>
      </c>
      <c r="E314" s="206">
        <v>44651</v>
      </c>
      <c r="F314" s="495"/>
      <c r="G314" s="492"/>
      <c r="H314" s="492"/>
      <c r="I314" s="492"/>
      <c r="J314" s="492"/>
      <c r="K314" s="492"/>
      <c r="L314" s="492"/>
      <c r="M314" s="493"/>
      <c r="N314" s="130"/>
      <c r="O314" s="130"/>
      <c r="P314" s="195"/>
    </row>
    <row r="315" spans="3:16" s="258" customFormat="1" ht="15" customHeight="1">
      <c r="C315" s="498"/>
      <c r="D315" s="487">
        <v>50</v>
      </c>
      <c r="E315" s="206">
        <v>45016</v>
      </c>
      <c r="F315" s="495"/>
      <c r="G315" s="492"/>
      <c r="H315" s="492"/>
      <c r="I315" s="492"/>
      <c r="J315" s="492"/>
      <c r="K315" s="492"/>
      <c r="L315" s="492"/>
      <c r="M315" s="493"/>
      <c r="N315" s="130"/>
      <c r="O315" s="130"/>
      <c r="P315" s="195"/>
    </row>
    <row r="316" spans="3:16" s="258" customFormat="1" ht="15" customHeight="1">
      <c r="C316" s="498"/>
      <c r="D316" s="483"/>
      <c r="E316" s="124" t="s">
        <v>518</v>
      </c>
      <c r="F316" s="488"/>
      <c r="G316" s="489"/>
      <c r="H316" s="489"/>
      <c r="I316" s="489"/>
      <c r="J316" s="489"/>
      <c r="K316" s="507"/>
      <c r="L316" s="489"/>
      <c r="M316" s="490"/>
      <c r="N316" s="474"/>
      <c r="O316" s="494"/>
      <c r="P316" s="195"/>
    </row>
    <row r="317" spans="3:16" s="258" customFormat="1" ht="15" customHeight="1">
      <c r="C317" s="498"/>
      <c r="D317" s="487">
        <v>51</v>
      </c>
      <c r="E317" s="122" t="s">
        <v>489</v>
      </c>
      <c r="F317" s="491"/>
      <c r="G317" s="492"/>
      <c r="H317" s="492"/>
      <c r="I317" s="492"/>
      <c r="J317" s="492"/>
      <c r="K317" s="492"/>
      <c r="L317" s="492"/>
      <c r="M317" s="493"/>
      <c r="N317" s="130"/>
      <c r="O317" s="130"/>
      <c r="P317" s="195"/>
    </row>
    <row r="318" spans="3:16" s="258" customFormat="1" ht="15" customHeight="1">
      <c r="C318" s="498"/>
      <c r="D318" s="487">
        <v>52</v>
      </c>
      <c r="E318" s="122" t="s">
        <v>490</v>
      </c>
      <c r="F318" s="509"/>
      <c r="G318" s="510"/>
      <c r="H318" s="510"/>
      <c r="I318" s="510"/>
      <c r="J318" s="510"/>
      <c r="K318" s="510"/>
      <c r="L318" s="510"/>
      <c r="M318" s="511"/>
      <c r="N318" s="234"/>
      <c r="O318" s="234"/>
      <c r="P318" s="195"/>
    </row>
    <row r="319" spans="3:16" s="258" customFormat="1" ht="15" customHeight="1">
      <c r="C319" s="508"/>
      <c r="D319" s="487">
        <v>53</v>
      </c>
      <c r="E319" s="122" t="s">
        <v>465</v>
      </c>
      <c r="F319" s="491"/>
      <c r="G319" s="492"/>
      <c r="H319" s="492"/>
      <c r="I319" s="492"/>
      <c r="J319" s="492"/>
      <c r="K319" s="492"/>
      <c r="L319" s="492"/>
      <c r="M319" s="493"/>
      <c r="N319" s="130"/>
      <c r="O319" s="130"/>
      <c r="P319" s="195"/>
    </row>
    <row r="320" spans="3:16" s="258" customFormat="1" ht="15" customHeight="1">
      <c r="C320" s="508"/>
      <c r="D320" s="487">
        <v>54</v>
      </c>
      <c r="E320" s="122" t="s">
        <v>491</v>
      </c>
      <c r="F320" s="495"/>
      <c r="G320" s="492"/>
      <c r="H320" s="492"/>
      <c r="I320" s="492"/>
      <c r="J320" s="492"/>
      <c r="K320" s="492"/>
      <c r="L320" s="492"/>
      <c r="M320" s="493"/>
      <c r="N320" s="130"/>
      <c r="O320" s="130"/>
      <c r="P320" s="195"/>
    </row>
    <row r="321" spans="3:16" s="258" customFormat="1" ht="15" customHeight="1" thickBot="1">
      <c r="C321" s="508"/>
      <c r="D321" s="496">
        <v>55</v>
      </c>
      <c r="E321" s="520" t="s">
        <v>874</v>
      </c>
      <c r="F321" s="515"/>
      <c r="G321" s="497"/>
      <c r="H321" s="497"/>
      <c r="I321" s="497"/>
      <c r="J321" s="497"/>
      <c r="K321" s="497"/>
      <c r="L321" s="497"/>
      <c r="M321" s="512"/>
      <c r="N321" s="514"/>
      <c r="O321" s="514"/>
      <c r="P321" s="195"/>
    </row>
    <row r="322" spans="3:16" s="258" customFormat="1" ht="15" customHeight="1">
      <c r="C322" s="498"/>
      <c r="D322" s="256"/>
      <c r="E322" s="195"/>
      <c r="F322" s="157"/>
      <c r="G322" s="157"/>
      <c r="H322" s="157"/>
      <c r="I322" s="157"/>
      <c r="J322" s="157"/>
      <c r="K322" s="157"/>
      <c r="L322" s="157"/>
      <c r="M322" s="523"/>
      <c r="N322" s="157"/>
      <c r="O322" s="157"/>
      <c r="P322" s="157"/>
    </row>
    <row r="323" spans="3:16" s="258" customFormat="1" ht="15" customHeight="1">
      <c r="C323" s="498"/>
      <c r="D323" s="256"/>
      <c r="E323" s="195"/>
      <c r="F323" s="157"/>
      <c r="G323" s="157"/>
      <c r="H323" s="157"/>
      <c r="I323" s="157"/>
      <c r="J323" s="157"/>
      <c r="K323" s="157"/>
      <c r="L323" s="157"/>
      <c r="M323" s="523"/>
      <c r="N323" s="157"/>
      <c r="O323" s="157"/>
      <c r="P323" s="195"/>
    </row>
    <row r="324" spans="3:16" s="258" customFormat="1" ht="15" customHeight="1">
      <c r="C324" s="498"/>
      <c r="D324" s="256"/>
      <c r="E324" s="195"/>
      <c r="F324" s="157"/>
      <c r="G324" s="157"/>
      <c r="H324" s="157"/>
      <c r="I324" s="157"/>
      <c r="J324" s="157"/>
      <c r="K324" s="157"/>
      <c r="L324" s="157"/>
      <c r="M324" s="523"/>
      <c r="N324" s="157"/>
      <c r="O324" s="157"/>
      <c r="P324" s="195"/>
    </row>
    <row r="325" spans="3:16" s="258" customFormat="1" ht="15" customHeight="1">
      <c r="C325" s="498"/>
      <c r="D325" s="256"/>
      <c r="E325" s="195"/>
      <c r="F325" s="157"/>
      <c r="G325" s="157"/>
      <c r="H325" s="157"/>
      <c r="I325" s="157"/>
      <c r="J325" s="157"/>
      <c r="K325" s="157"/>
      <c r="L325" s="157"/>
      <c r="M325" s="523"/>
      <c r="N325" s="157"/>
      <c r="O325" s="157"/>
      <c r="P325" s="157"/>
    </row>
    <row r="326" spans="3:16" s="258" customFormat="1" ht="15" customHeight="1">
      <c r="C326" s="498"/>
      <c r="D326" s="256"/>
      <c r="E326" s="195"/>
      <c r="F326" s="157"/>
      <c r="G326" s="157"/>
      <c r="H326" s="157"/>
      <c r="I326" s="157"/>
      <c r="J326" s="157"/>
      <c r="K326" s="157"/>
      <c r="L326" s="157"/>
      <c r="M326" s="523"/>
      <c r="N326" s="157"/>
      <c r="O326" s="157"/>
      <c r="P326" s="157"/>
    </row>
    <row r="327" spans="3:16" s="258" customFormat="1" ht="15" customHeight="1">
      <c r="C327" s="517" t="s">
        <v>1022</v>
      </c>
      <c r="D327" s="517"/>
      <c r="E327" s="517"/>
      <c r="F327" s="517"/>
      <c r="G327" s="517"/>
      <c r="H327" s="517"/>
      <c r="I327" s="517"/>
      <c r="J327" s="517"/>
      <c r="K327" s="517"/>
      <c r="L327" s="517"/>
      <c r="M327" s="517"/>
      <c r="N327" s="517"/>
      <c r="O327" s="517"/>
      <c r="P327" s="157"/>
    </row>
    <row r="328" spans="3:16" s="258" customFormat="1" ht="15" customHeight="1">
      <c r="C328" s="508"/>
      <c r="D328" s="508"/>
      <c r="E328" s="508"/>
      <c r="F328" s="508"/>
      <c r="G328" s="508"/>
      <c r="H328" s="508"/>
      <c r="I328" s="508"/>
      <c r="J328" s="508"/>
      <c r="K328" s="508"/>
      <c r="L328" s="508"/>
      <c r="M328" s="508"/>
      <c r="N328" s="508"/>
      <c r="O328" s="508"/>
      <c r="P328" s="157"/>
    </row>
    <row r="329" spans="3:16" s="258" customFormat="1" ht="15" customHeight="1">
      <c r="C329" s="508"/>
      <c r="D329" s="479"/>
      <c r="E329" s="479"/>
      <c r="F329" s="480"/>
      <c r="G329" s="480"/>
      <c r="H329" s="480"/>
      <c r="I329" s="480"/>
      <c r="J329" s="480"/>
      <c r="K329" s="480"/>
      <c r="L329" s="480"/>
      <c r="M329" s="480"/>
      <c r="N329" s="479"/>
      <c r="O329" s="479"/>
      <c r="P329" s="157"/>
    </row>
    <row r="330" spans="3:16" s="258" customFormat="1" ht="15" customHeight="1">
      <c r="C330" s="508"/>
      <c r="D330" s="479"/>
      <c r="E330" s="518" t="s">
        <v>58</v>
      </c>
      <c r="F330" s="518" t="s">
        <v>239</v>
      </c>
      <c r="G330" s="480"/>
      <c r="H330" s="518" t="s">
        <v>39</v>
      </c>
      <c r="I330" s="480"/>
      <c r="J330" s="480"/>
      <c r="K330" s="480"/>
      <c r="L330" s="480"/>
      <c r="M330" s="480"/>
      <c r="N330" s="479"/>
      <c r="O330" s="479"/>
      <c r="P330" s="157"/>
    </row>
    <row r="331" spans="3:16" s="258" customFormat="1" ht="15" customHeight="1">
      <c r="C331" s="508"/>
      <c r="D331" s="118"/>
      <c r="E331" s="118" t="s">
        <v>1023</v>
      </c>
      <c r="F331" s="388">
        <v>42460</v>
      </c>
      <c r="G331" s="119"/>
      <c r="H331" s="118" t="s">
        <v>1042</v>
      </c>
      <c r="I331" s="119"/>
      <c r="J331" s="119"/>
      <c r="K331" s="119"/>
      <c r="L331" s="119"/>
      <c r="M331" s="119"/>
      <c r="N331" s="118"/>
      <c r="O331" s="118"/>
      <c r="P331" s="157"/>
    </row>
    <row r="332" spans="3:16" s="258" customFormat="1" ht="15" customHeight="1" thickBot="1">
      <c r="C332" s="508"/>
      <c r="D332" s="508"/>
      <c r="E332" s="508"/>
      <c r="F332" s="508"/>
      <c r="G332" s="478"/>
      <c r="H332" s="508"/>
      <c r="I332" s="508"/>
      <c r="J332" s="508"/>
      <c r="K332" s="508"/>
      <c r="L332" s="508"/>
      <c r="M332" s="508"/>
      <c r="N332" s="508"/>
      <c r="O332" s="508"/>
      <c r="P332" s="157"/>
    </row>
    <row r="333" spans="3:16" s="258" customFormat="1" ht="15" customHeight="1">
      <c r="C333" s="508"/>
      <c r="D333" s="481"/>
      <c r="E333" s="506" t="s">
        <v>236</v>
      </c>
      <c r="F333" s="499">
        <v>42460</v>
      </c>
      <c r="G333" s="500">
        <v>42825</v>
      </c>
      <c r="H333" s="500">
        <v>43190</v>
      </c>
      <c r="I333" s="500">
        <v>43555</v>
      </c>
      <c r="J333" s="500">
        <v>43921</v>
      </c>
      <c r="K333" s="500">
        <v>44286</v>
      </c>
      <c r="L333" s="500">
        <v>44651</v>
      </c>
      <c r="M333" s="501">
        <v>45016</v>
      </c>
      <c r="N333" s="513" t="s">
        <v>86</v>
      </c>
      <c r="O333" s="502" t="s">
        <v>87</v>
      </c>
      <c r="P333" s="157"/>
    </row>
    <row r="334" spans="3:16" s="258" customFormat="1" ht="15" customHeight="1">
      <c r="C334" s="508"/>
      <c r="D334" s="482"/>
      <c r="E334" s="122" t="s">
        <v>240</v>
      </c>
      <c r="F334" s="503" t="s">
        <v>844</v>
      </c>
      <c r="G334" s="504" t="s">
        <v>844</v>
      </c>
      <c r="H334" s="504" t="s">
        <v>844</v>
      </c>
      <c r="I334" s="504" t="s">
        <v>844</v>
      </c>
      <c r="J334" s="504" t="s">
        <v>844</v>
      </c>
      <c r="K334" s="504" t="s">
        <v>844</v>
      </c>
      <c r="L334" s="504" t="s">
        <v>844</v>
      </c>
      <c r="M334" s="505" t="s">
        <v>844</v>
      </c>
      <c r="N334" s="192" t="s">
        <v>844</v>
      </c>
      <c r="O334" s="192" t="s">
        <v>844</v>
      </c>
      <c r="P334" s="157"/>
    </row>
    <row r="335" spans="3:16" s="258" customFormat="1" ht="15" customHeight="1">
      <c r="C335" s="508"/>
      <c r="D335" s="483"/>
      <c r="E335" s="124" t="s">
        <v>69</v>
      </c>
      <c r="F335" s="484"/>
      <c r="G335" s="485"/>
      <c r="H335" s="485"/>
      <c r="I335" s="485"/>
      <c r="J335" s="485"/>
      <c r="K335" s="485"/>
      <c r="L335" s="485"/>
      <c r="M335" s="486"/>
      <c r="N335" s="128"/>
      <c r="O335" s="128"/>
      <c r="P335" s="157"/>
    </row>
    <row r="336" spans="3:16" s="258" customFormat="1" ht="15" customHeight="1">
      <c r="C336" s="508"/>
      <c r="D336" s="487">
        <v>1</v>
      </c>
      <c r="E336" s="122" t="s">
        <v>213</v>
      </c>
      <c r="F336" s="491"/>
      <c r="G336" s="492"/>
      <c r="H336" s="492"/>
      <c r="I336" s="492"/>
      <c r="J336" s="492"/>
      <c r="K336" s="492"/>
      <c r="L336" s="492"/>
      <c r="M336" s="493"/>
      <c r="N336" s="130"/>
      <c r="O336" s="130"/>
      <c r="P336" s="157"/>
    </row>
    <row r="337" spans="3:16" s="258" customFormat="1" ht="15" customHeight="1">
      <c r="C337" s="508"/>
      <c r="D337" s="487">
        <v>2</v>
      </c>
      <c r="E337" s="122" t="s">
        <v>879</v>
      </c>
      <c r="F337" s="491"/>
      <c r="G337" s="492"/>
      <c r="H337" s="492"/>
      <c r="I337" s="492"/>
      <c r="J337" s="492"/>
      <c r="K337" s="492"/>
      <c r="L337" s="492"/>
      <c r="M337" s="493"/>
      <c r="N337" s="130"/>
      <c r="O337" s="130"/>
      <c r="P337" s="157"/>
    </row>
    <row r="338" spans="3:16" s="258" customFormat="1" ht="15" customHeight="1">
      <c r="C338" s="508"/>
      <c r="D338" s="487">
        <v>3</v>
      </c>
      <c r="E338" s="122" t="s">
        <v>214</v>
      </c>
      <c r="F338" s="491"/>
      <c r="G338" s="492"/>
      <c r="H338" s="492"/>
      <c r="I338" s="492"/>
      <c r="J338" s="492"/>
      <c r="K338" s="492"/>
      <c r="L338" s="492"/>
      <c r="M338" s="493"/>
      <c r="N338" s="130"/>
      <c r="O338" s="130"/>
      <c r="P338" s="157"/>
    </row>
    <row r="339" spans="3:16" s="258" customFormat="1" ht="15" customHeight="1">
      <c r="C339" s="508"/>
      <c r="D339" s="483"/>
      <c r="E339" s="124" t="s">
        <v>16</v>
      </c>
      <c r="F339" s="484"/>
      <c r="G339" s="485"/>
      <c r="H339" s="485"/>
      <c r="I339" s="485"/>
      <c r="J339" s="485"/>
      <c r="K339" s="485"/>
      <c r="L339" s="485"/>
      <c r="M339" s="486"/>
      <c r="N339" s="128"/>
      <c r="O339" s="128"/>
      <c r="P339" s="157"/>
    </row>
    <row r="340" spans="3:16" s="258" customFormat="1" ht="15" customHeight="1">
      <c r="C340" s="508"/>
      <c r="D340" s="487">
        <v>4</v>
      </c>
      <c r="E340" s="122" t="s">
        <v>492</v>
      </c>
      <c r="F340" s="491"/>
      <c r="G340" s="492"/>
      <c r="H340" s="492"/>
      <c r="I340" s="492"/>
      <c r="J340" s="492"/>
      <c r="K340" s="492"/>
      <c r="L340" s="492"/>
      <c r="M340" s="493"/>
      <c r="N340" s="130"/>
      <c r="O340" s="130"/>
      <c r="P340" s="157"/>
    </row>
    <row r="341" spans="3:16" s="258" customFormat="1" ht="15" customHeight="1">
      <c r="C341" s="508"/>
      <c r="D341" s="487">
        <v>5</v>
      </c>
      <c r="E341" s="122" t="s">
        <v>122</v>
      </c>
      <c r="F341" s="491"/>
      <c r="G341" s="492"/>
      <c r="H341" s="492"/>
      <c r="I341" s="492"/>
      <c r="J341" s="492"/>
      <c r="K341" s="492"/>
      <c r="L341" s="492"/>
      <c r="M341" s="493"/>
      <c r="N341" s="130"/>
      <c r="O341" s="130"/>
      <c r="P341" s="157"/>
    </row>
    <row r="342" spans="3:16" s="258" customFormat="1" ht="15" customHeight="1">
      <c r="C342" s="508"/>
      <c r="D342" s="487">
        <v>6</v>
      </c>
      <c r="E342" s="122" t="s">
        <v>493</v>
      </c>
      <c r="F342" s="491"/>
      <c r="G342" s="492"/>
      <c r="H342" s="492"/>
      <c r="I342" s="492"/>
      <c r="J342" s="492"/>
      <c r="K342" s="492"/>
      <c r="L342" s="492"/>
      <c r="M342" s="493"/>
      <c r="N342" s="130"/>
      <c r="O342" s="130"/>
      <c r="P342" s="157"/>
    </row>
    <row r="343" spans="3:16" s="258" customFormat="1" ht="15" customHeight="1">
      <c r="C343" s="508"/>
      <c r="D343" s="487">
        <v>7</v>
      </c>
      <c r="E343" s="122" t="s">
        <v>215</v>
      </c>
      <c r="F343" s="491"/>
      <c r="G343" s="492"/>
      <c r="H343" s="492"/>
      <c r="I343" s="492"/>
      <c r="J343" s="492"/>
      <c r="K343" s="492"/>
      <c r="L343" s="492"/>
      <c r="M343" s="493"/>
      <c r="N343" s="130"/>
      <c r="O343" s="130"/>
      <c r="P343" s="157"/>
    </row>
    <row r="344" spans="3:16" s="258" customFormat="1" ht="15" customHeight="1">
      <c r="C344" s="508"/>
      <c r="D344" s="487">
        <v>8</v>
      </c>
      <c r="E344" s="122" t="s">
        <v>0</v>
      </c>
      <c r="F344" s="491"/>
      <c r="G344" s="492"/>
      <c r="H344" s="492"/>
      <c r="I344" s="492"/>
      <c r="J344" s="492"/>
      <c r="K344" s="492"/>
      <c r="L344" s="492"/>
      <c r="M344" s="493"/>
      <c r="N344" s="130"/>
      <c r="O344" s="130"/>
      <c r="P344" s="157"/>
    </row>
    <row r="345" spans="3:16" s="258" customFormat="1" ht="15" customHeight="1">
      <c r="C345" s="508"/>
      <c r="D345" s="487">
        <v>9</v>
      </c>
      <c r="E345" s="122" t="s">
        <v>17</v>
      </c>
      <c r="F345" s="491"/>
      <c r="G345" s="492"/>
      <c r="H345" s="492"/>
      <c r="I345" s="492"/>
      <c r="J345" s="492"/>
      <c r="K345" s="492"/>
      <c r="L345" s="492"/>
      <c r="M345" s="493"/>
      <c r="N345" s="130"/>
      <c r="O345" s="130"/>
      <c r="P345" s="157"/>
    </row>
    <row r="346" spans="3:16" s="258" customFormat="1" ht="15" customHeight="1">
      <c r="C346" s="508"/>
      <c r="D346" s="483"/>
      <c r="E346" s="124" t="s">
        <v>301</v>
      </c>
      <c r="F346" s="488"/>
      <c r="G346" s="489"/>
      <c r="H346" s="489"/>
      <c r="I346" s="489"/>
      <c r="J346" s="489"/>
      <c r="K346" s="489"/>
      <c r="L346" s="489"/>
      <c r="M346" s="490"/>
      <c r="N346" s="134"/>
      <c r="O346" s="134"/>
      <c r="P346" s="195"/>
    </row>
    <row r="347" spans="3:16" s="258" customFormat="1" ht="15" customHeight="1">
      <c r="C347" s="508"/>
      <c r="D347" s="487">
        <v>10</v>
      </c>
      <c r="E347" s="122" t="s">
        <v>100</v>
      </c>
      <c r="F347" s="491"/>
      <c r="G347" s="492"/>
      <c r="H347" s="492"/>
      <c r="I347" s="492"/>
      <c r="J347" s="492"/>
      <c r="K347" s="492"/>
      <c r="L347" s="492"/>
      <c r="M347" s="493"/>
      <c r="N347" s="130"/>
      <c r="O347" s="130"/>
      <c r="P347" s="195"/>
    </row>
    <row r="348" spans="3:16" s="258" customFormat="1" ht="15" customHeight="1">
      <c r="C348" s="508"/>
      <c r="D348" s="487">
        <v>11</v>
      </c>
      <c r="E348" s="122" t="s">
        <v>740</v>
      </c>
      <c r="F348" s="491"/>
      <c r="G348" s="492"/>
      <c r="H348" s="492"/>
      <c r="I348" s="492"/>
      <c r="J348" s="492"/>
      <c r="K348" s="492"/>
      <c r="L348" s="492"/>
      <c r="M348" s="493"/>
      <c r="N348" s="130"/>
      <c r="O348" s="130"/>
      <c r="P348" s="195"/>
    </row>
    <row r="349" spans="3:16" s="258" customFormat="1" ht="15" customHeight="1">
      <c r="C349" s="508"/>
      <c r="D349" s="487">
        <v>12</v>
      </c>
      <c r="E349" s="122" t="s">
        <v>67</v>
      </c>
      <c r="F349" s="491"/>
      <c r="G349" s="492"/>
      <c r="H349" s="492"/>
      <c r="I349" s="492"/>
      <c r="J349" s="492"/>
      <c r="K349" s="492"/>
      <c r="L349" s="492"/>
      <c r="M349" s="493"/>
      <c r="N349" s="130"/>
      <c r="O349" s="130"/>
      <c r="P349" s="157"/>
    </row>
    <row r="350" spans="3:16" s="258" customFormat="1" ht="15" customHeight="1">
      <c r="C350" s="508"/>
      <c r="D350" s="487">
        <v>13</v>
      </c>
      <c r="E350" s="122" t="s">
        <v>19</v>
      </c>
      <c r="F350" s="491"/>
      <c r="G350" s="492"/>
      <c r="H350" s="492"/>
      <c r="I350" s="492"/>
      <c r="J350" s="492"/>
      <c r="K350" s="492"/>
      <c r="L350" s="492"/>
      <c r="M350" s="493"/>
      <c r="N350" s="130"/>
      <c r="O350" s="130"/>
      <c r="P350" s="195"/>
    </row>
    <row r="351" spans="3:16" s="258" customFormat="1" ht="15" customHeight="1">
      <c r="C351" s="508"/>
      <c r="D351" s="487">
        <v>14</v>
      </c>
      <c r="E351" s="122" t="s">
        <v>105</v>
      </c>
      <c r="F351" s="491"/>
      <c r="G351" s="492"/>
      <c r="H351" s="492"/>
      <c r="I351" s="492"/>
      <c r="J351" s="492"/>
      <c r="K351" s="492"/>
      <c r="L351" s="492"/>
      <c r="M351" s="493"/>
      <c r="N351" s="130"/>
      <c r="O351" s="130"/>
      <c r="P351" s="195"/>
    </row>
    <row r="352" spans="3:16" s="258" customFormat="1" ht="15" customHeight="1">
      <c r="C352" s="508"/>
      <c r="D352" s="487">
        <v>15</v>
      </c>
      <c r="E352" s="122" t="s">
        <v>23</v>
      </c>
      <c r="F352" s="491"/>
      <c r="G352" s="492"/>
      <c r="H352" s="492"/>
      <c r="I352" s="492"/>
      <c r="J352" s="492"/>
      <c r="K352" s="492"/>
      <c r="L352" s="492"/>
      <c r="M352" s="493"/>
      <c r="N352" s="130"/>
      <c r="O352" s="130"/>
      <c r="P352" s="195"/>
    </row>
    <row r="353" spans="3:16" s="258" customFormat="1" ht="15" customHeight="1">
      <c r="C353" s="508"/>
      <c r="D353" s="487">
        <v>16</v>
      </c>
      <c r="E353" s="122" t="s">
        <v>220</v>
      </c>
      <c r="F353" s="491"/>
      <c r="G353" s="492"/>
      <c r="H353" s="492"/>
      <c r="I353" s="492"/>
      <c r="J353" s="492"/>
      <c r="K353" s="492"/>
      <c r="L353" s="492"/>
      <c r="M353" s="493"/>
      <c r="N353" s="130"/>
      <c r="O353" s="130"/>
      <c r="P353" s="195"/>
    </row>
    <row r="354" spans="3:16" s="258" customFormat="1" ht="15" customHeight="1">
      <c r="C354" s="508"/>
      <c r="D354" s="487">
        <v>17</v>
      </c>
      <c r="E354" s="122" t="s">
        <v>7</v>
      </c>
      <c r="F354" s="491"/>
      <c r="G354" s="492"/>
      <c r="H354" s="492"/>
      <c r="I354" s="492"/>
      <c r="J354" s="492"/>
      <c r="K354" s="492"/>
      <c r="L354" s="492"/>
      <c r="M354" s="493"/>
      <c r="N354" s="130"/>
      <c r="O354" s="130"/>
      <c r="P354" s="195"/>
    </row>
    <row r="355" spans="3:16" s="258" customFormat="1" ht="15" customHeight="1">
      <c r="C355" s="508"/>
      <c r="D355" s="483"/>
      <c r="E355" s="124" t="s">
        <v>167</v>
      </c>
      <c r="F355" s="488"/>
      <c r="G355" s="489"/>
      <c r="H355" s="489"/>
      <c r="I355" s="489"/>
      <c r="J355" s="489"/>
      <c r="K355" s="489"/>
      <c r="L355" s="489"/>
      <c r="M355" s="490"/>
      <c r="N355" s="134"/>
      <c r="O355" s="134"/>
      <c r="P355" s="195"/>
    </row>
    <row r="356" spans="3:16" s="258" customFormat="1" ht="15" customHeight="1">
      <c r="C356" s="508"/>
      <c r="D356" s="487">
        <v>18</v>
      </c>
      <c r="E356" s="122" t="s">
        <v>100</v>
      </c>
      <c r="F356" s="491"/>
      <c r="G356" s="492"/>
      <c r="H356" s="492"/>
      <c r="I356" s="492"/>
      <c r="J356" s="492"/>
      <c r="K356" s="492"/>
      <c r="L356" s="492"/>
      <c r="M356" s="493"/>
      <c r="N356" s="130"/>
      <c r="O356" s="130"/>
      <c r="P356" s="195"/>
    </row>
    <row r="357" spans="3:16" s="258" customFormat="1" ht="15" customHeight="1">
      <c r="C357" s="508"/>
      <c r="D357" s="487">
        <v>19</v>
      </c>
      <c r="E357" s="122" t="s">
        <v>740</v>
      </c>
      <c r="F357" s="491"/>
      <c r="G357" s="492"/>
      <c r="H357" s="492"/>
      <c r="I357" s="492"/>
      <c r="J357" s="492"/>
      <c r="K357" s="492"/>
      <c r="L357" s="492"/>
      <c r="M357" s="493"/>
      <c r="N357" s="130"/>
      <c r="O357" s="130"/>
      <c r="P357" s="195"/>
    </row>
    <row r="358" spans="3:16" s="258" customFormat="1" ht="15" customHeight="1">
      <c r="C358" s="508"/>
      <c r="D358" s="487">
        <v>20</v>
      </c>
      <c r="E358" s="122" t="s">
        <v>67</v>
      </c>
      <c r="F358" s="491"/>
      <c r="G358" s="492"/>
      <c r="H358" s="492"/>
      <c r="I358" s="492"/>
      <c r="J358" s="492"/>
      <c r="K358" s="492"/>
      <c r="L358" s="492"/>
      <c r="M358" s="493"/>
      <c r="N358" s="130"/>
      <c r="O358" s="130"/>
      <c r="P358" s="195"/>
    </row>
    <row r="359" spans="3:16" s="258" customFormat="1" ht="15" customHeight="1">
      <c r="C359" s="508"/>
      <c r="D359" s="487">
        <v>21</v>
      </c>
      <c r="E359" s="122" t="s">
        <v>19</v>
      </c>
      <c r="F359" s="491"/>
      <c r="G359" s="492"/>
      <c r="H359" s="492"/>
      <c r="I359" s="492"/>
      <c r="J359" s="492"/>
      <c r="K359" s="492"/>
      <c r="L359" s="492"/>
      <c r="M359" s="493"/>
      <c r="N359" s="130"/>
      <c r="O359" s="130"/>
      <c r="P359" s="157"/>
    </row>
    <row r="360" spans="3:16" s="258" customFormat="1" ht="15" customHeight="1">
      <c r="C360" s="508"/>
      <c r="D360" s="487">
        <v>22</v>
      </c>
      <c r="E360" s="122" t="s">
        <v>105</v>
      </c>
      <c r="F360" s="491"/>
      <c r="G360" s="492"/>
      <c r="H360" s="492"/>
      <c r="I360" s="492"/>
      <c r="J360" s="492"/>
      <c r="K360" s="492"/>
      <c r="L360" s="492"/>
      <c r="M360" s="493"/>
      <c r="N360" s="130"/>
      <c r="O360" s="130"/>
      <c r="P360" s="157"/>
    </row>
    <row r="361" spans="3:16" s="258" customFormat="1" ht="15" customHeight="1">
      <c r="C361" s="508"/>
      <c r="D361" s="487">
        <v>23</v>
      </c>
      <c r="E361" s="122" t="s">
        <v>23</v>
      </c>
      <c r="F361" s="491"/>
      <c r="G361" s="492"/>
      <c r="H361" s="492"/>
      <c r="I361" s="492"/>
      <c r="J361" s="492"/>
      <c r="K361" s="492"/>
      <c r="L361" s="492"/>
      <c r="M361" s="493"/>
      <c r="N361" s="130"/>
      <c r="O361" s="130"/>
      <c r="P361" s="157"/>
    </row>
    <row r="362" spans="3:16" s="258" customFormat="1" ht="15" customHeight="1">
      <c r="C362" s="508"/>
      <c r="D362" s="487">
        <v>24</v>
      </c>
      <c r="E362" s="122" t="s">
        <v>220</v>
      </c>
      <c r="F362" s="491"/>
      <c r="G362" s="492"/>
      <c r="H362" s="492"/>
      <c r="I362" s="492"/>
      <c r="J362" s="492"/>
      <c r="K362" s="492"/>
      <c r="L362" s="492"/>
      <c r="M362" s="493"/>
      <c r="N362" s="130"/>
      <c r="O362" s="130"/>
      <c r="P362" s="157"/>
    </row>
    <row r="363" spans="3:16" s="258" customFormat="1" ht="15" customHeight="1">
      <c r="C363" s="508"/>
      <c r="D363" s="487">
        <v>25</v>
      </c>
      <c r="E363" s="122" t="s">
        <v>7</v>
      </c>
      <c r="F363" s="491"/>
      <c r="G363" s="492"/>
      <c r="H363" s="492"/>
      <c r="I363" s="492"/>
      <c r="J363" s="492"/>
      <c r="K363" s="492"/>
      <c r="L363" s="492"/>
      <c r="M363" s="493"/>
      <c r="N363" s="130"/>
      <c r="O363" s="130"/>
      <c r="P363" s="157"/>
    </row>
    <row r="364" spans="3:16" s="258" customFormat="1" ht="15" customHeight="1">
      <c r="C364" s="508"/>
      <c r="D364" s="483"/>
      <c r="E364" s="124" t="s">
        <v>20</v>
      </c>
      <c r="F364" s="488"/>
      <c r="G364" s="489"/>
      <c r="H364" s="489"/>
      <c r="I364" s="489"/>
      <c r="J364" s="489"/>
      <c r="K364" s="489"/>
      <c r="L364" s="489"/>
      <c r="M364" s="490"/>
      <c r="N364" s="474"/>
      <c r="O364" s="494"/>
      <c r="P364" s="195"/>
    </row>
    <row r="365" spans="3:16" s="258" customFormat="1" ht="15" customHeight="1">
      <c r="C365" s="508"/>
      <c r="D365" s="487">
        <v>26</v>
      </c>
      <c r="E365" s="122" t="s">
        <v>505</v>
      </c>
      <c r="F365" s="491"/>
      <c r="G365" s="492"/>
      <c r="H365" s="492"/>
      <c r="I365" s="492"/>
      <c r="J365" s="492"/>
      <c r="K365" s="492"/>
      <c r="L365" s="492"/>
      <c r="M365" s="493"/>
      <c r="N365" s="130"/>
      <c r="O365" s="130"/>
      <c r="P365" s="195"/>
    </row>
    <row r="366" spans="3:16" s="258" customFormat="1" ht="15" customHeight="1">
      <c r="C366" s="508"/>
      <c r="D366" s="487">
        <v>27</v>
      </c>
      <c r="E366" s="122" t="s">
        <v>60</v>
      </c>
      <c r="F366" s="491"/>
      <c r="G366" s="492"/>
      <c r="H366" s="492"/>
      <c r="I366" s="492"/>
      <c r="J366" s="492"/>
      <c r="K366" s="492"/>
      <c r="L366" s="492"/>
      <c r="M366" s="493"/>
      <c r="N366" s="130"/>
      <c r="O366" s="130"/>
      <c r="P366" s="195"/>
    </row>
    <row r="367" spans="3:16" s="258" customFormat="1" ht="15" customHeight="1">
      <c r="C367" s="508"/>
      <c r="D367" s="487">
        <v>28</v>
      </c>
      <c r="E367" s="122" t="s">
        <v>45</v>
      </c>
      <c r="F367" s="495"/>
      <c r="G367" s="492"/>
      <c r="H367" s="492"/>
      <c r="I367" s="492"/>
      <c r="J367" s="492"/>
      <c r="K367" s="492"/>
      <c r="L367" s="492"/>
      <c r="M367" s="493"/>
      <c r="N367" s="130"/>
      <c r="O367" s="130"/>
      <c r="P367" s="195"/>
    </row>
    <row r="368" spans="3:16" s="258" customFormat="1" ht="15" customHeight="1">
      <c r="C368" s="508"/>
      <c r="D368" s="487">
        <v>29</v>
      </c>
      <c r="E368" s="122" t="s">
        <v>521</v>
      </c>
      <c r="F368" s="495"/>
      <c r="G368" s="492"/>
      <c r="H368" s="492"/>
      <c r="I368" s="492"/>
      <c r="J368" s="492"/>
      <c r="K368" s="492"/>
      <c r="L368" s="492"/>
      <c r="M368" s="493"/>
      <c r="N368" s="130"/>
      <c r="O368" s="130"/>
      <c r="P368" s="195"/>
    </row>
    <row r="369" spans="3:16" s="258" customFormat="1" ht="15" customHeight="1">
      <c r="C369" s="508"/>
      <c r="D369" s="487">
        <v>30</v>
      </c>
      <c r="E369" s="122" t="s">
        <v>521</v>
      </c>
      <c r="F369" s="495"/>
      <c r="G369" s="492"/>
      <c r="H369" s="492"/>
      <c r="I369" s="492"/>
      <c r="J369" s="492"/>
      <c r="K369" s="492"/>
      <c r="L369" s="492"/>
      <c r="M369" s="493"/>
      <c r="N369" s="130"/>
      <c r="O369" s="130"/>
      <c r="P369" s="195"/>
    </row>
    <row r="370" spans="3:16" s="258" customFormat="1" ht="15" customHeight="1">
      <c r="C370" s="508"/>
      <c r="D370" s="487">
        <v>31</v>
      </c>
      <c r="E370" s="122" t="s">
        <v>729</v>
      </c>
      <c r="F370" s="495"/>
      <c r="G370" s="492"/>
      <c r="H370" s="492"/>
      <c r="I370" s="492"/>
      <c r="J370" s="492"/>
      <c r="K370" s="492"/>
      <c r="L370" s="492"/>
      <c r="M370" s="493"/>
      <c r="N370" s="130"/>
      <c r="O370" s="130"/>
      <c r="P370" s="195"/>
    </row>
    <row r="371" spans="3:16" s="258" customFormat="1" ht="15" customHeight="1">
      <c r="C371" s="508"/>
      <c r="D371" s="487">
        <v>32</v>
      </c>
      <c r="E371" s="122" t="s">
        <v>10</v>
      </c>
      <c r="F371" s="495"/>
      <c r="G371" s="492"/>
      <c r="H371" s="492"/>
      <c r="I371" s="492"/>
      <c r="J371" s="492"/>
      <c r="K371" s="492"/>
      <c r="L371" s="492"/>
      <c r="M371" s="519"/>
      <c r="N371" s="130"/>
      <c r="O371" s="130"/>
      <c r="P371" s="195"/>
    </row>
    <row r="372" spans="3:16" s="258" customFormat="1" ht="15" customHeight="1">
      <c r="C372" s="508"/>
      <c r="D372" s="483"/>
      <c r="E372" s="124" t="s">
        <v>176</v>
      </c>
      <c r="F372" s="488"/>
      <c r="G372" s="489"/>
      <c r="H372" s="489"/>
      <c r="I372" s="489"/>
      <c r="J372" s="489"/>
      <c r="K372" s="507"/>
      <c r="L372" s="489"/>
      <c r="M372" s="490"/>
      <c r="N372" s="474"/>
      <c r="O372" s="494"/>
      <c r="P372" s="195"/>
    </row>
    <row r="373" spans="3:16" s="258" customFormat="1" ht="15" customHeight="1">
      <c r="C373" s="508"/>
      <c r="D373" s="487">
        <v>33</v>
      </c>
      <c r="E373" s="122" t="s">
        <v>176</v>
      </c>
      <c r="F373" s="491"/>
      <c r="G373" s="492"/>
      <c r="H373" s="492"/>
      <c r="I373" s="492"/>
      <c r="J373" s="492"/>
      <c r="K373" s="492"/>
      <c r="L373" s="492"/>
      <c r="M373" s="493"/>
      <c r="N373" s="130"/>
      <c r="O373" s="130"/>
      <c r="P373" s="195"/>
    </row>
    <row r="374" spans="3:16" s="258" customFormat="1" ht="15" customHeight="1">
      <c r="C374" s="508"/>
      <c r="D374" s="487">
        <v>34</v>
      </c>
      <c r="E374" s="122" t="s">
        <v>191</v>
      </c>
      <c r="F374" s="491"/>
      <c r="G374" s="492"/>
      <c r="H374" s="492"/>
      <c r="I374" s="492"/>
      <c r="J374" s="492"/>
      <c r="K374" s="492"/>
      <c r="L374" s="492"/>
      <c r="M374" s="493"/>
      <c r="N374" s="130"/>
      <c r="O374" s="130"/>
      <c r="P374" s="195"/>
    </row>
    <row r="375" spans="3:16" s="258" customFormat="1" ht="15" customHeight="1">
      <c r="C375" s="498"/>
      <c r="D375" s="483"/>
      <c r="E375" s="124" t="s">
        <v>302</v>
      </c>
      <c r="F375" s="488"/>
      <c r="G375" s="489"/>
      <c r="H375" s="489"/>
      <c r="I375" s="489"/>
      <c r="J375" s="489"/>
      <c r="K375" s="507"/>
      <c r="L375" s="489"/>
      <c r="M375" s="490"/>
      <c r="N375" s="474"/>
      <c r="O375" s="494"/>
      <c r="P375" s="195"/>
    </row>
    <row r="376" spans="3:16" s="258" customFormat="1" ht="15" customHeight="1">
      <c r="C376" s="498"/>
      <c r="D376" s="487">
        <v>35</v>
      </c>
      <c r="E376" s="206">
        <v>42460</v>
      </c>
      <c r="F376" s="495"/>
      <c r="G376" s="492"/>
      <c r="H376" s="492"/>
      <c r="I376" s="492"/>
      <c r="J376" s="492"/>
      <c r="K376" s="492"/>
      <c r="L376" s="492"/>
      <c r="M376" s="493"/>
      <c r="N376" s="130"/>
      <c r="O376" s="130"/>
      <c r="P376" s="195"/>
    </row>
    <row r="377" spans="3:16" s="258" customFormat="1" ht="15" customHeight="1">
      <c r="C377" s="498"/>
      <c r="D377" s="487">
        <v>36</v>
      </c>
      <c r="E377" s="206">
        <v>42825</v>
      </c>
      <c r="F377" s="495"/>
      <c r="G377" s="492"/>
      <c r="H377" s="492"/>
      <c r="I377" s="492"/>
      <c r="J377" s="492"/>
      <c r="K377" s="492"/>
      <c r="L377" s="492"/>
      <c r="M377" s="493"/>
      <c r="N377" s="130"/>
      <c r="O377" s="130"/>
      <c r="P377" s="195"/>
    </row>
    <row r="378" spans="3:16" s="258" customFormat="1" ht="15" customHeight="1">
      <c r="C378" s="498"/>
      <c r="D378" s="487">
        <v>37</v>
      </c>
      <c r="E378" s="206">
        <v>43190</v>
      </c>
      <c r="F378" s="495"/>
      <c r="G378" s="492"/>
      <c r="H378" s="492"/>
      <c r="I378" s="492"/>
      <c r="J378" s="492"/>
      <c r="K378" s="492"/>
      <c r="L378" s="492"/>
      <c r="M378" s="493"/>
      <c r="N378" s="130"/>
      <c r="O378" s="130"/>
      <c r="P378" s="195"/>
    </row>
    <row r="379" spans="3:16" s="258" customFormat="1" ht="15" customHeight="1">
      <c r="C379" s="498"/>
      <c r="D379" s="487">
        <v>38</v>
      </c>
      <c r="E379" s="206">
        <v>43555</v>
      </c>
      <c r="F379" s="495"/>
      <c r="G379" s="492"/>
      <c r="H379" s="492"/>
      <c r="I379" s="492"/>
      <c r="J379" s="492"/>
      <c r="K379" s="492"/>
      <c r="L379" s="492"/>
      <c r="M379" s="493"/>
      <c r="N379" s="130"/>
      <c r="O379" s="130"/>
      <c r="P379" s="195"/>
    </row>
    <row r="380" spans="3:16" s="258" customFormat="1" ht="15" customHeight="1">
      <c r="C380" s="498"/>
      <c r="D380" s="487">
        <v>39</v>
      </c>
      <c r="E380" s="206">
        <v>43921</v>
      </c>
      <c r="F380" s="495"/>
      <c r="G380" s="492"/>
      <c r="H380" s="492"/>
      <c r="I380" s="492"/>
      <c r="J380" s="492"/>
      <c r="K380" s="492"/>
      <c r="L380" s="492"/>
      <c r="M380" s="493"/>
      <c r="N380" s="130"/>
      <c r="O380" s="130"/>
      <c r="P380" s="195"/>
    </row>
    <row r="381" spans="3:16" s="258" customFormat="1" ht="15" customHeight="1">
      <c r="C381" s="498"/>
      <c r="D381" s="487">
        <v>40</v>
      </c>
      <c r="E381" s="206">
        <v>44286</v>
      </c>
      <c r="F381" s="495"/>
      <c r="G381" s="492"/>
      <c r="H381" s="492"/>
      <c r="I381" s="492"/>
      <c r="J381" s="492"/>
      <c r="K381" s="492"/>
      <c r="L381" s="492"/>
      <c r="M381" s="493"/>
      <c r="N381" s="130"/>
      <c r="O381" s="130"/>
      <c r="P381" s="195"/>
    </row>
    <row r="382" spans="3:16" s="258" customFormat="1" ht="15" customHeight="1">
      <c r="C382" s="498"/>
      <c r="D382" s="487">
        <v>41</v>
      </c>
      <c r="E382" s="206">
        <v>44651</v>
      </c>
      <c r="F382" s="495"/>
      <c r="G382" s="492"/>
      <c r="H382" s="492"/>
      <c r="I382" s="492"/>
      <c r="J382" s="492"/>
      <c r="K382" s="492"/>
      <c r="L382" s="492"/>
      <c r="M382" s="493"/>
      <c r="N382" s="130"/>
      <c r="O382" s="130"/>
      <c r="P382" s="195"/>
    </row>
    <row r="383" spans="3:16" s="258" customFormat="1" ht="15" customHeight="1">
      <c r="C383" s="498"/>
      <c r="D383" s="487">
        <v>42</v>
      </c>
      <c r="E383" s="206">
        <v>45016</v>
      </c>
      <c r="F383" s="495"/>
      <c r="G383" s="492"/>
      <c r="H383" s="492"/>
      <c r="I383" s="492"/>
      <c r="J383" s="492"/>
      <c r="K383" s="492"/>
      <c r="L383" s="492"/>
      <c r="M383" s="493"/>
      <c r="N383" s="130"/>
      <c r="O383" s="130"/>
      <c r="P383" s="195"/>
    </row>
    <row r="384" spans="3:16" s="258" customFormat="1" ht="15" customHeight="1">
      <c r="C384" s="498"/>
      <c r="D384" s="483"/>
      <c r="E384" s="124" t="s">
        <v>506</v>
      </c>
      <c r="F384" s="488"/>
      <c r="G384" s="489"/>
      <c r="H384" s="489"/>
      <c r="I384" s="489"/>
      <c r="J384" s="489"/>
      <c r="K384" s="507"/>
      <c r="L384" s="489"/>
      <c r="M384" s="490"/>
      <c r="N384" s="474"/>
      <c r="O384" s="494"/>
      <c r="P384" s="195"/>
    </row>
    <row r="385" spans="3:16" s="258" customFormat="1" ht="15" customHeight="1">
      <c r="C385" s="498"/>
      <c r="D385" s="487">
        <v>43</v>
      </c>
      <c r="E385" s="206">
        <v>42460</v>
      </c>
      <c r="F385" s="495"/>
      <c r="G385" s="492"/>
      <c r="H385" s="492"/>
      <c r="I385" s="492"/>
      <c r="J385" s="492"/>
      <c r="K385" s="492"/>
      <c r="L385" s="492"/>
      <c r="M385" s="493"/>
      <c r="N385" s="130"/>
      <c r="O385" s="130"/>
      <c r="P385" s="195"/>
    </row>
    <row r="386" spans="3:16" s="258" customFormat="1" ht="15" customHeight="1">
      <c r="C386" s="498"/>
      <c r="D386" s="487">
        <v>44</v>
      </c>
      <c r="E386" s="206">
        <v>42825</v>
      </c>
      <c r="F386" s="495"/>
      <c r="G386" s="492"/>
      <c r="H386" s="492"/>
      <c r="I386" s="492"/>
      <c r="J386" s="492"/>
      <c r="K386" s="492"/>
      <c r="L386" s="492"/>
      <c r="M386" s="493"/>
      <c r="N386" s="130"/>
      <c r="O386" s="130"/>
      <c r="P386" s="195"/>
    </row>
    <row r="387" spans="3:16" s="258" customFormat="1" ht="15" customHeight="1">
      <c r="C387" s="498"/>
      <c r="D387" s="487">
        <v>45</v>
      </c>
      <c r="E387" s="206">
        <v>43190</v>
      </c>
      <c r="F387" s="495"/>
      <c r="G387" s="492"/>
      <c r="H387" s="492"/>
      <c r="I387" s="492"/>
      <c r="J387" s="492"/>
      <c r="K387" s="492"/>
      <c r="L387" s="492"/>
      <c r="M387" s="493"/>
      <c r="N387" s="130"/>
      <c r="O387" s="130"/>
      <c r="P387" s="195"/>
    </row>
    <row r="388" spans="3:16" s="258" customFormat="1" ht="15" customHeight="1">
      <c r="C388" s="498"/>
      <c r="D388" s="487">
        <v>46</v>
      </c>
      <c r="E388" s="206">
        <v>43555</v>
      </c>
      <c r="F388" s="495"/>
      <c r="G388" s="492"/>
      <c r="H388" s="492"/>
      <c r="I388" s="492"/>
      <c r="J388" s="492"/>
      <c r="K388" s="492"/>
      <c r="L388" s="492"/>
      <c r="M388" s="493"/>
      <c r="N388" s="130"/>
      <c r="O388" s="130"/>
      <c r="P388" s="195"/>
    </row>
    <row r="389" spans="3:16" s="258" customFormat="1" ht="15" customHeight="1">
      <c r="C389" s="498"/>
      <c r="D389" s="487">
        <v>47</v>
      </c>
      <c r="E389" s="206">
        <v>43921</v>
      </c>
      <c r="F389" s="495"/>
      <c r="G389" s="492"/>
      <c r="H389" s="492"/>
      <c r="I389" s="492"/>
      <c r="J389" s="492"/>
      <c r="K389" s="492"/>
      <c r="L389" s="492"/>
      <c r="M389" s="493"/>
      <c r="N389" s="130"/>
      <c r="O389" s="130"/>
      <c r="P389" s="195"/>
    </row>
    <row r="390" spans="3:16" s="258" customFormat="1" ht="15" customHeight="1">
      <c r="C390" s="498"/>
      <c r="D390" s="487">
        <v>48</v>
      </c>
      <c r="E390" s="206">
        <v>44286</v>
      </c>
      <c r="F390" s="495"/>
      <c r="G390" s="492"/>
      <c r="H390" s="492"/>
      <c r="I390" s="492"/>
      <c r="J390" s="492"/>
      <c r="K390" s="492"/>
      <c r="L390" s="492"/>
      <c r="M390" s="493"/>
      <c r="N390" s="130"/>
      <c r="O390" s="130"/>
      <c r="P390" s="195"/>
    </row>
    <row r="391" spans="3:16" s="258" customFormat="1" ht="15" customHeight="1">
      <c r="C391" s="498"/>
      <c r="D391" s="487">
        <v>49</v>
      </c>
      <c r="E391" s="206">
        <v>44651</v>
      </c>
      <c r="F391" s="495"/>
      <c r="G391" s="492"/>
      <c r="H391" s="492"/>
      <c r="I391" s="492"/>
      <c r="J391" s="492"/>
      <c r="K391" s="492"/>
      <c r="L391" s="492"/>
      <c r="M391" s="493"/>
      <c r="N391" s="130"/>
      <c r="O391" s="130"/>
      <c r="P391" s="195"/>
    </row>
    <row r="392" spans="3:16" s="258" customFormat="1" ht="15" customHeight="1">
      <c r="C392" s="498"/>
      <c r="D392" s="487">
        <v>50</v>
      </c>
      <c r="E392" s="206">
        <v>45016</v>
      </c>
      <c r="F392" s="495"/>
      <c r="G392" s="492"/>
      <c r="H392" s="492"/>
      <c r="I392" s="492"/>
      <c r="J392" s="492"/>
      <c r="K392" s="492"/>
      <c r="L392" s="492"/>
      <c r="M392" s="493"/>
      <c r="N392" s="130"/>
      <c r="O392" s="130"/>
      <c r="P392" s="195"/>
    </row>
    <row r="393" spans="3:16" s="258" customFormat="1" ht="15" customHeight="1">
      <c r="C393" s="498"/>
      <c r="D393" s="483"/>
      <c r="E393" s="124" t="s">
        <v>518</v>
      </c>
      <c r="F393" s="488"/>
      <c r="G393" s="489"/>
      <c r="H393" s="489"/>
      <c r="I393" s="489"/>
      <c r="J393" s="489"/>
      <c r="K393" s="507"/>
      <c r="L393" s="489"/>
      <c r="M393" s="490"/>
      <c r="N393" s="474"/>
      <c r="O393" s="494"/>
      <c r="P393" s="195"/>
    </row>
    <row r="394" spans="3:16" s="258" customFormat="1" ht="15" customHeight="1">
      <c r="C394" s="498"/>
      <c r="D394" s="487">
        <v>51</v>
      </c>
      <c r="E394" s="122" t="s">
        <v>489</v>
      </c>
      <c r="F394" s="491"/>
      <c r="G394" s="492"/>
      <c r="H394" s="492"/>
      <c r="I394" s="492"/>
      <c r="J394" s="492"/>
      <c r="K394" s="492"/>
      <c r="L394" s="492"/>
      <c r="M394" s="493"/>
      <c r="N394" s="130"/>
      <c r="O394" s="130"/>
      <c r="P394" s="195"/>
    </row>
    <row r="395" spans="3:16" s="258" customFormat="1" ht="15" customHeight="1">
      <c r="C395" s="498"/>
      <c r="D395" s="487">
        <v>52</v>
      </c>
      <c r="E395" s="122" t="s">
        <v>490</v>
      </c>
      <c r="F395" s="509"/>
      <c r="G395" s="510"/>
      <c r="H395" s="510"/>
      <c r="I395" s="510"/>
      <c r="J395" s="510"/>
      <c r="K395" s="510"/>
      <c r="L395" s="510"/>
      <c r="M395" s="511"/>
      <c r="N395" s="234"/>
      <c r="O395" s="234"/>
      <c r="P395" s="195"/>
    </row>
    <row r="396" spans="3:16" s="258" customFormat="1" ht="15" customHeight="1">
      <c r="C396" s="508"/>
      <c r="D396" s="487">
        <v>53</v>
      </c>
      <c r="E396" s="122" t="s">
        <v>465</v>
      </c>
      <c r="F396" s="491"/>
      <c r="G396" s="492"/>
      <c r="H396" s="492"/>
      <c r="I396" s="492"/>
      <c r="J396" s="492"/>
      <c r="K396" s="492"/>
      <c r="L396" s="492"/>
      <c r="M396" s="493"/>
      <c r="N396" s="130"/>
      <c r="O396" s="130"/>
      <c r="P396" s="195"/>
    </row>
    <row r="397" spans="3:16" s="258" customFormat="1" ht="15" customHeight="1">
      <c r="C397" s="508"/>
      <c r="D397" s="487">
        <v>54</v>
      </c>
      <c r="E397" s="122" t="s">
        <v>491</v>
      </c>
      <c r="F397" s="495"/>
      <c r="G397" s="492"/>
      <c r="H397" s="492"/>
      <c r="I397" s="492"/>
      <c r="J397" s="492"/>
      <c r="K397" s="492"/>
      <c r="L397" s="492"/>
      <c r="M397" s="493"/>
      <c r="N397" s="130"/>
      <c r="O397" s="130"/>
      <c r="P397" s="195"/>
    </row>
    <row r="398" spans="3:16" s="258" customFormat="1" ht="15" customHeight="1" thickBot="1">
      <c r="C398" s="508"/>
      <c r="D398" s="496">
        <v>55</v>
      </c>
      <c r="E398" s="520" t="s">
        <v>874</v>
      </c>
      <c r="F398" s="515"/>
      <c r="G398" s="497"/>
      <c r="H398" s="497"/>
      <c r="I398" s="497"/>
      <c r="J398" s="497"/>
      <c r="K398" s="497"/>
      <c r="L398" s="497"/>
      <c r="M398" s="512"/>
      <c r="N398" s="514"/>
      <c r="O398" s="514"/>
      <c r="P398" s="195"/>
    </row>
    <row r="399" spans="3:16" s="258" customFormat="1" ht="15" customHeight="1">
      <c r="C399" s="498"/>
      <c r="D399" s="256"/>
      <c r="E399" s="195"/>
      <c r="F399" s="157"/>
      <c r="G399" s="157"/>
      <c r="H399" s="157"/>
      <c r="I399" s="157"/>
      <c r="J399" s="157"/>
      <c r="K399" s="157"/>
      <c r="L399" s="157"/>
      <c r="M399" s="523"/>
      <c r="N399" s="157"/>
      <c r="O399" s="157"/>
      <c r="P399" s="195"/>
    </row>
    <row r="400" spans="3:16" s="258" customFormat="1" ht="15" customHeight="1">
      <c r="C400" s="498"/>
      <c r="D400" s="256"/>
      <c r="E400" s="195"/>
      <c r="F400" s="157"/>
      <c r="G400" s="157"/>
      <c r="H400" s="157"/>
      <c r="I400" s="157"/>
      <c r="J400" s="157"/>
      <c r="K400" s="157"/>
      <c r="L400" s="157"/>
      <c r="M400" s="523"/>
      <c r="N400" s="157"/>
      <c r="O400" s="157"/>
      <c r="P400" s="195"/>
    </row>
    <row r="401" spans="3:16" s="258" customFormat="1" ht="15" customHeight="1">
      <c r="C401" s="498"/>
      <c r="D401" s="256"/>
      <c r="E401" s="195"/>
      <c r="F401" s="157"/>
      <c r="G401" s="157"/>
      <c r="H401" s="157"/>
      <c r="I401" s="157"/>
      <c r="J401" s="157"/>
      <c r="K401" s="157"/>
      <c r="L401" s="157"/>
      <c r="M401" s="523"/>
      <c r="N401" s="157"/>
      <c r="O401" s="157"/>
      <c r="P401" s="195"/>
    </row>
    <row r="402" spans="3:16" s="258" customFormat="1" ht="15" customHeight="1">
      <c r="C402" s="498"/>
      <c r="D402" s="256"/>
      <c r="E402" s="195"/>
      <c r="F402" s="157"/>
      <c r="G402" s="157"/>
      <c r="H402" s="157"/>
      <c r="I402" s="157"/>
      <c r="J402" s="157"/>
      <c r="K402" s="157"/>
      <c r="L402" s="157"/>
      <c r="M402" s="523"/>
      <c r="N402" s="157"/>
      <c r="O402" s="157"/>
      <c r="P402" s="195"/>
    </row>
    <row r="403" spans="3:16" s="258" customFormat="1" ht="15" customHeight="1">
      <c r="C403" s="498"/>
      <c r="D403" s="256"/>
      <c r="E403" s="195"/>
      <c r="F403" s="157"/>
      <c r="G403" s="157"/>
      <c r="H403" s="157"/>
      <c r="I403" s="157"/>
      <c r="J403" s="157"/>
      <c r="K403" s="157"/>
      <c r="L403" s="157"/>
      <c r="M403" s="523"/>
      <c r="N403" s="157"/>
      <c r="O403" s="157"/>
      <c r="P403" s="195"/>
    </row>
    <row r="404" spans="3:16" s="258" customFormat="1" ht="15" customHeight="1">
      <c r="C404" s="517" t="s">
        <v>1024</v>
      </c>
      <c r="D404" s="517"/>
      <c r="E404" s="517"/>
      <c r="F404" s="517"/>
      <c r="G404" s="517"/>
      <c r="H404" s="517"/>
      <c r="I404" s="517"/>
      <c r="J404" s="517"/>
      <c r="K404" s="517"/>
      <c r="L404" s="517"/>
      <c r="M404" s="517"/>
      <c r="N404" s="517"/>
      <c r="O404" s="517"/>
      <c r="P404" s="195"/>
    </row>
    <row r="405" spans="3:16" s="258" customFormat="1" ht="15" customHeight="1">
      <c r="C405" s="508"/>
      <c r="D405" s="508"/>
      <c r="E405" s="508"/>
      <c r="F405" s="508"/>
      <c r="G405" s="508"/>
      <c r="H405" s="508"/>
      <c r="I405" s="508"/>
      <c r="J405" s="508"/>
      <c r="K405" s="508"/>
      <c r="L405" s="508"/>
      <c r="M405" s="508"/>
      <c r="N405" s="508"/>
      <c r="O405" s="508"/>
      <c r="P405" s="195"/>
    </row>
    <row r="406" spans="3:16" s="258" customFormat="1" ht="15" customHeight="1">
      <c r="C406" s="508"/>
      <c r="D406" s="479"/>
      <c r="E406" s="479"/>
      <c r="F406" s="480"/>
      <c r="G406" s="480"/>
      <c r="H406" s="480"/>
      <c r="I406" s="480"/>
      <c r="J406" s="480"/>
      <c r="K406" s="480"/>
      <c r="L406" s="480"/>
      <c r="M406" s="480"/>
      <c r="N406" s="479"/>
      <c r="O406" s="479"/>
      <c r="P406" s="195"/>
    </row>
    <row r="407" spans="3:16" s="258" customFormat="1" ht="15" customHeight="1">
      <c r="C407" s="508"/>
      <c r="D407" s="479"/>
      <c r="E407" s="518" t="s">
        <v>58</v>
      </c>
      <c r="F407" s="518" t="s">
        <v>239</v>
      </c>
      <c r="G407" s="480"/>
      <c r="H407" s="518" t="s">
        <v>39</v>
      </c>
      <c r="I407" s="480"/>
      <c r="J407" s="480"/>
      <c r="K407" s="480"/>
      <c r="L407" s="480"/>
      <c r="M407" s="480"/>
      <c r="N407" s="479"/>
      <c r="O407" s="479"/>
      <c r="P407" s="195"/>
    </row>
    <row r="408" spans="3:16" s="258" customFormat="1" ht="15" customHeight="1">
      <c r="C408" s="508"/>
      <c r="D408" s="118"/>
      <c r="E408" s="118" t="s">
        <v>1025</v>
      </c>
      <c r="F408" s="388">
        <v>42460</v>
      </c>
      <c r="G408" s="119"/>
      <c r="H408" s="118" t="s">
        <v>1042</v>
      </c>
      <c r="I408" s="119"/>
      <c r="J408" s="119"/>
      <c r="K408" s="119"/>
      <c r="L408" s="119"/>
      <c r="M408" s="119"/>
      <c r="N408" s="118"/>
      <c r="O408" s="118"/>
      <c r="P408" s="195"/>
    </row>
    <row r="409" spans="3:16" s="258" customFormat="1" ht="15" customHeight="1" thickBot="1">
      <c r="C409" s="508"/>
      <c r="D409" s="508"/>
      <c r="E409" s="508"/>
      <c r="F409" s="508"/>
      <c r="G409" s="478"/>
      <c r="H409" s="508"/>
      <c r="I409" s="508"/>
      <c r="J409" s="508"/>
      <c r="K409" s="508"/>
      <c r="L409" s="508"/>
      <c r="M409" s="508"/>
      <c r="N409" s="508"/>
      <c r="O409" s="508"/>
      <c r="P409" s="157"/>
    </row>
    <row r="410" spans="3:16" s="258" customFormat="1" ht="15" customHeight="1">
      <c r="C410" s="508"/>
      <c r="D410" s="481"/>
      <c r="E410" s="506" t="s">
        <v>236</v>
      </c>
      <c r="F410" s="499">
        <v>42460</v>
      </c>
      <c r="G410" s="500">
        <v>42825</v>
      </c>
      <c r="H410" s="500">
        <v>43190</v>
      </c>
      <c r="I410" s="500">
        <v>43555</v>
      </c>
      <c r="J410" s="500">
        <v>43921</v>
      </c>
      <c r="K410" s="500">
        <v>44286</v>
      </c>
      <c r="L410" s="500">
        <v>44651</v>
      </c>
      <c r="M410" s="501">
        <v>45016</v>
      </c>
      <c r="N410" s="513" t="s">
        <v>86</v>
      </c>
      <c r="O410" s="502" t="s">
        <v>87</v>
      </c>
      <c r="P410" s="195"/>
    </row>
    <row r="411" spans="3:16" s="258" customFormat="1" ht="15" customHeight="1">
      <c r="C411" s="508"/>
      <c r="D411" s="482"/>
      <c r="E411" s="122" t="s">
        <v>240</v>
      </c>
      <c r="F411" s="503" t="s">
        <v>844</v>
      </c>
      <c r="G411" s="504" t="s">
        <v>844</v>
      </c>
      <c r="H411" s="504" t="s">
        <v>844</v>
      </c>
      <c r="I411" s="504" t="s">
        <v>844</v>
      </c>
      <c r="J411" s="504" t="s">
        <v>844</v>
      </c>
      <c r="K411" s="504" t="s">
        <v>844</v>
      </c>
      <c r="L411" s="504" t="s">
        <v>844</v>
      </c>
      <c r="M411" s="505" t="s">
        <v>844</v>
      </c>
      <c r="N411" s="192" t="s">
        <v>844</v>
      </c>
      <c r="O411" s="192" t="s">
        <v>844</v>
      </c>
      <c r="P411" s="195"/>
    </row>
    <row r="412" spans="3:16" s="258" customFormat="1" ht="15" customHeight="1">
      <c r="C412" s="508"/>
      <c r="D412" s="483"/>
      <c r="E412" s="124" t="s">
        <v>69</v>
      </c>
      <c r="F412" s="484"/>
      <c r="G412" s="485"/>
      <c r="H412" s="485"/>
      <c r="I412" s="485"/>
      <c r="J412" s="485"/>
      <c r="K412" s="485"/>
      <c r="L412" s="485"/>
      <c r="M412" s="486"/>
      <c r="N412" s="128"/>
      <c r="O412" s="128"/>
      <c r="P412" s="157"/>
    </row>
    <row r="413" spans="3:16" s="258" customFormat="1" ht="15" customHeight="1">
      <c r="C413" s="508"/>
      <c r="D413" s="487">
        <v>1</v>
      </c>
      <c r="E413" s="122" t="s">
        <v>213</v>
      </c>
      <c r="F413" s="491"/>
      <c r="G413" s="492"/>
      <c r="H413" s="492"/>
      <c r="I413" s="492"/>
      <c r="J413" s="492"/>
      <c r="K413" s="492"/>
      <c r="L413" s="492"/>
      <c r="M413" s="493"/>
      <c r="N413" s="130"/>
      <c r="O413" s="130"/>
      <c r="P413" s="157"/>
    </row>
    <row r="414" spans="3:16" s="258" customFormat="1" ht="15" customHeight="1">
      <c r="C414" s="508"/>
      <c r="D414" s="487">
        <v>2</v>
      </c>
      <c r="E414" s="122" t="s">
        <v>879</v>
      </c>
      <c r="F414" s="491"/>
      <c r="G414" s="492"/>
      <c r="H414" s="492"/>
      <c r="I414" s="492"/>
      <c r="J414" s="492"/>
      <c r="K414" s="492"/>
      <c r="L414" s="492"/>
      <c r="M414" s="493"/>
      <c r="N414" s="130"/>
      <c r="O414" s="130"/>
      <c r="P414" s="157"/>
    </row>
    <row r="415" spans="3:16" s="258" customFormat="1" ht="15" customHeight="1">
      <c r="C415" s="508"/>
      <c r="D415" s="487">
        <v>3</v>
      </c>
      <c r="E415" s="122" t="s">
        <v>214</v>
      </c>
      <c r="F415" s="491"/>
      <c r="G415" s="492"/>
      <c r="H415" s="492"/>
      <c r="I415" s="492"/>
      <c r="J415" s="492"/>
      <c r="K415" s="492"/>
      <c r="L415" s="492"/>
      <c r="M415" s="493"/>
      <c r="N415" s="130"/>
      <c r="O415" s="130"/>
      <c r="P415" s="157"/>
    </row>
    <row r="416" spans="3:16" s="258" customFormat="1" ht="15" customHeight="1">
      <c r="C416" s="508"/>
      <c r="D416" s="483"/>
      <c r="E416" s="124" t="s">
        <v>16</v>
      </c>
      <c r="F416" s="484"/>
      <c r="G416" s="485"/>
      <c r="H416" s="485"/>
      <c r="I416" s="485"/>
      <c r="J416" s="485"/>
      <c r="K416" s="485"/>
      <c r="L416" s="485"/>
      <c r="M416" s="486"/>
      <c r="N416" s="128"/>
      <c r="O416" s="128"/>
      <c r="P416" s="157"/>
    </row>
    <row r="417" spans="3:16" s="258" customFormat="1" ht="15" customHeight="1">
      <c r="C417" s="508"/>
      <c r="D417" s="487">
        <v>4</v>
      </c>
      <c r="E417" s="122" t="s">
        <v>492</v>
      </c>
      <c r="F417" s="491"/>
      <c r="G417" s="492"/>
      <c r="H417" s="492"/>
      <c r="I417" s="492"/>
      <c r="J417" s="492"/>
      <c r="K417" s="492"/>
      <c r="L417" s="492"/>
      <c r="M417" s="493"/>
      <c r="N417" s="130"/>
      <c r="O417" s="130"/>
      <c r="P417" s="157"/>
    </row>
    <row r="418" spans="3:16" s="258" customFormat="1" ht="15" customHeight="1">
      <c r="C418" s="508"/>
      <c r="D418" s="487">
        <v>5</v>
      </c>
      <c r="E418" s="122" t="s">
        <v>122</v>
      </c>
      <c r="F418" s="491"/>
      <c r="G418" s="492"/>
      <c r="H418" s="492"/>
      <c r="I418" s="492"/>
      <c r="J418" s="492"/>
      <c r="K418" s="492"/>
      <c r="L418" s="492"/>
      <c r="M418" s="493"/>
      <c r="N418" s="130"/>
      <c r="O418" s="130"/>
      <c r="P418" s="157"/>
    </row>
    <row r="419" spans="3:16" s="258" customFormat="1" ht="15" customHeight="1">
      <c r="C419" s="508"/>
      <c r="D419" s="487">
        <v>6</v>
      </c>
      <c r="E419" s="122" t="s">
        <v>493</v>
      </c>
      <c r="F419" s="491"/>
      <c r="G419" s="492"/>
      <c r="H419" s="492"/>
      <c r="I419" s="492"/>
      <c r="J419" s="492"/>
      <c r="K419" s="492"/>
      <c r="L419" s="492"/>
      <c r="M419" s="493"/>
      <c r="N419" s="130"/>
      <c r="O419" s="130"/>
      <c r="P419" s="157"/>
    </row>
    <row r="420" spans="3:16" s="258" customFormat="1" ht="15" customHeight="1">
      <c r="C420" s="508"/>
      <c r="D420" s="487">
        <v>7</v>
      </c>
      <c r="E420" s="122" t="s">
        <v>215</v>
      </c>
      <c r="F420" s="491"/>
      <c r="G420" s="492"/>
      <c r="H420" s="492"/>
      <c r="I420" s="492"/>
      <c r="J420" s="492"/>
      <c r="K420" s="492"/>
      <c r="L420" s="492"/>
      <c r="M420" s="493"/>
      <c r="N420" s="130"/>
      <c r="O420" s="130"/>
      <c r="P420" s="157"/>
    </row>
    <row r="421" spans="3:16" s="258" customFormat="1" ht="15" customHeight="1">
      <c r="C421" s="508"/>
      <c r="D421" s="487">
        <v>8</v>
      </c>
      <c r="E421" s="122" t="s">
        <v>0</v>
      </c>
      <c r="F421" s="491"/>
      <c r="G421" s="492"/>
      <c r="H421" s="492"/>
      <c r="I421" s="492"/>
      <c r="J421" s="492"/>
      <c r="K421" s="492"/>
      <c r="L421" s="492"/>
      <c r="M421" s="493"/>
      <c r="N421" s="130"/>
      <c r="O421" s="130"/>
      <c r="P421" s="157"/>
    </row>
    <row r="422" spans="3:16" s="258" customFormat="1" ht="15" customHeight="1">
      <c r="C422" s="508"/>
      <c r="D422" s="487">
        <v>9</v>
      </c>
      <c r="E422" s="122" t="s">
        <v>17</v>
      </c>
      <c r="F422" s="491"/>
      <c r="G422" s="492"/>
      <c r="H422" s="492"/>
      <c r="I422" s="492"/>
      <c r="J422" s="492"/>
      <c r="K422" s="492"/>
      <c r="L422" s="492"/>
      <c r="M422" s="493"/>
      <c r="N422" s="130"/>
      <c r="O422" s="130"/>
      <c r="P422" s="157"/>
    </row>
    <row r="423" spans="3:16" s="258" customFormat="1" ht="15" customHeight="1">
      <c r="C423" s="508"/>
      <c r="D423" s="483"/>
      <c r="E423" s="124" t="s">
        <v>301</v>
      </c>
      <c r="F423" s="488"/>
      <c r="G423" s="489"/>
      <c r="H423" s="489"/>
      <c r="I423" s="489"/>
      <c r="J423" s="489"/>
      <c r="K423" s="489"/>
      <c r="L423" s="489"/>
      <c r="M423" s="490"/>
      <c r="N423" s="134"/>
      <c r="O423" s="134"/>
      <c r="P423" s="157"/>
    </row>
    <row r="424" spans="3:16" s="258" customFormat="1" ht="15" customHeight="1">
      <c r="C424" s="508"/>
      <c r="D424" s="487">
        <v>10</v>
      </c>
      <c r="E424" s="122" t="s">
        <v>100</v>
      </c>
      <c r="F424" s="491"/>
      <c r="G424" s="492"/>
      <c r="H424" s="492"/>
      <c r="I424" s="492"/>
      <c r="J424" s="492"/>
      <c r="K424" s="492"/>
      <c r="L424" s="492"/>
      <c r="M424" s="493"/>
      <c r="N424" s="130"/>
      <c r="O424" s="130"/>
      <c r="P424" s="157"/>
    </row>
    <row r="425" spans="3:16" s="258" customFormat="1" ht="15" customHeight="1">
      <c r="C425" s="508"/>
      <c r="D425" s="487">
        <v>11</v>
      </c>
      <c r="E425" s="122" t="s">
        <v>740</v>
      </c>
      <c r="F425" s="491"/>
      <c r="G425" s="492"/>
      <c r="H425" s="492"/>
      <c r="I425" s="492"/>
      <c r="J425" s="492"/>
      <c r="K425" s="492"/>
      <c r="L425" s="492"/>
      <c r="M425" s="493"/>
      <c r="N425" s="130"/>
      <c r="O425" s="130"/>
      <c r="P425" s="157"/>
    </row>
    <row r="426" spans="3:16" s="258" customFormat="1" ht="15" customHeight="1">
      <c r="C426" s="508"/>
      <c r="D426" s="487">
        <v>12</v>
      </c>
      <c r="E426" s="122" t="s">
        <v>67</v>
      </c>
      <c r="F426" s="491"/>
      <c r="G426" s="492"/>
      <c r="H426" s="492"/>
      <c r="I426" s="492"/>
      <c r="J426" s="492"/>
      <c r="K426" s="492"/>
      <c r="L426" s="492"/>
      <c r="M426" s="493"/>
      <c r="N426" s="130"/>
      <c r="O426" s="130"/>
      <c r="P426" s="157"/>
    </row>
    <row r="427" spans="3:16" s="258" customFormat="1" ht="15" customHeight="1">
      <c r="C427" s="508"/>
      <c r="D427" s="487">
        <v>13</v>
      </c>
      <c r="E427" s="122" t="s">
        <v>19</v>
      </c>
      <c r="F427" s="491"/>
      <c r="G427" s="492"/>
      <c r="H427" s="492"/>
      <c r="I427" s="492"/>
      <c r="J427" s="492"/>
      <c r="K427" s="492"/>
      <c r="L427" s="492"/>
      <c r="M427" s="493"/>
      <c r="N427" s="130"/>
      <c r="O427" s="130"/>
      <c r="P427" s="157"/>
    </row>
    <row r="428" spans="3:16" s="258" customFormat="1" ht="15" customHeight="1">
      <c r="C428" s="508"/>
      <c r="D428" s="487">
        <v>14</v>
      </c>
      <c r="E428" s="122" t="s">
        <v>105</v>
      </c>
      <c r="F428" s="491"/>
      <c r="G428" s="492"/>
      <c r="H428" s="492"/>
      <c r="I428" s="492"/>
      <c r="J428" s="492"/>
      <c r="K428" s="492"/>
      <c r="L428" s="492"/>
      <c r="M428" s="493"/>
      <c r="N428" s="130"/>
      <c r="O428" s="130"/>
      <c r="P428" s="157"/>
    </row>
    <row r="429" spans="3:16" s="258" customFormat="1" ht="15" customHeight="1">
      <c r="C429" s="508"/>
      <c r="D429" s="487">
        <v>15</v>
      </c>
      <c r="E429" s="122" t="s">
        <v>23</v>
      </c>
      <c r="F429" s="491"/>
      <c r="G429" s="492"/>
      <c r="H429" s="492"/>
      <c r="I429" s="492"/>
      <c r="J429" s="492"/>
      <c r="K429" s="492"/>
      <c r="L429" s="492"/>
      <c r="M429" s="493"/>
      <c r="N429" s="130"/>
      <c r="O429" s="130"/>
      <c r="P429" s="157"/>
    </row>
    <row r="430" spans="3:16" s="258" customFormat="1" ht="15" customHeight="1">
      <c r="C430" s="508"/>
      <c r="D430" s="487">
        <v>16</v>
      </c>
      <c r="E430" s="122" t="s">
        <v>220</v>
      </c>
      <c r="F430" s="491"/>
      <c r="G430" s="492"/>
      <c r="H430" s="492"/>
      <c r="I430" s="492"/>
      <c r="J430" s="492"/>
      <c r="K430" s="492"/>
      <c r="L430" s="492"/>
      <c r="M430" s="493"/>
      <c r="N430" s="130"/>
      <c r="O430" s="130"/>
      <c r="P430" s="157"/>
    </row>
    <row r="431" spans="3:16" s="258" customFormat="1" ht="15" customHeight="1">
      <c r="C431" s="508"/>
      <c r="D431" s="487">
        <v>17</v>
      </c>
      <c r="E431" s="122" t="s">
        <v>7</v>
      </c>
      <c r="F431" s="491"/>
      <c r="G431" s="492"/>
      <c r="H431" s="492"/>
      <c r="I431" s="492"/>
      <c r="J431" s="492"/>
      <c r="K431" s="492"/>
      <c r="L431" s="492"/>
      <c r="M431" s="493"/>
      <c r="N431" s="130"/>
      <c r="O431" s="130"/>
      <c r="P431" s="157"/>
    </row>
    <row r="432" spans="3:16" s="258" customFormat="1" ht="15" customHeight="1">
      <c r="C432" s="508"/>
      <c r="D432" s="483"/>
      <c r="E432" s="124" t="s">
        <v>167</v>
      </c>
      <c r="F432" s="488"/>
      <c r="G432" s="489"/>
      <c r="H432" s="489"/>
      <c r="I432" s="489"/>
      <c r="J432" s="489"/>
      <c r="K432" s="489"/>
      <c r="L432" s="489"/>
      <c r="M432" s="490"/>
      <c r="N432" s="134"/>
      <c r="O432" s="134"/>
      <c r="P432" s="157"/>
    </row>
    <row r="433" spans="3:16" s="258" customFormat="1" ht="15" customHeight="1">
      <c r="C433" s="508"/>
      <c r="D433" s="487">
        <v>18</v>
      </c>
      <c r="E433" s="122" t="s">
        <v>100</v>
      </c>
      <c r="F433" s="491"/>
      <c r="G433" s="492"/>
      <c r="H433" s="492"/>
      <c r="I433" s="492"/>
      <c r="J433" s="492"/>
      <c r="K433" s="492"/>
      <c r="L433" s="492"/>
      <c r="M433" s="493"/>
      <c r="N433" s="130"/>
      <c r="O433" s="130"/>
      <c r="P433" s="195"/>
    </row>
    <row r="434" spans="3:16" s="258" customFormat="1" ht="15" customHeight="1">
      <c r="C434" s="508"/>
      <c r="D434" s="487">
        <v>19</v>
      </c>
      <c r="E434" s="122" t="s">
        <v>740</v>
      </c>
      <c r="F434" s="491"/>
      <c r="G434" s="492"/>
      <c r="H434" s="492"/>
      <c r="I434" s="492"/>
      <c r="J434" s="492"/>
      <c r="K434" s="492"/>
      <c r="L434" s="492"/>
      <c r="M434" s="493"/>
      <c r="N434" s="130"/>
      <c r="O434" s="130"/>
      <c r="P434" s="195"/>
    </row>
    <row r="435" spans="3:16" s="258" customFormat="1" ht="15" customHeight="1">
      <c r="C435" s="508"/>
      <c r="D435" s="487">
        <v>20</v>
      </c>
      <c r="E435" s="122" t="s">
        <v>67</v>
      </c>
      <c r="F435" s="491"/>
      <c r="G435" s="492"/>
      <c r="H435" s="492"/>
      <c r="I435" s="492"/>
      <c r="J435" s="492"/>
      <c r="K435" s="492"/>
      <c r="L435" s="492"/>
      <c r="M435" s="493"/>
      <c r="N435" s="130"/>
      <c r="O435" s="130"/>
      <c r="P435" s="195"/>
    </row>
    <row r="436" spans="3:16" s="258" customFormat="1" ht="15" customHeight="1">
      <c r="C436" s="508"/>
      <c r="D436" s="487">
        <v>21</v>
      </c>
      <c r="E436" s="122" t="s">
        <v>19</v>
      </c>
      <c r="F436" s="491"/>
      <c r="G436" s="492"/>
      <c r="H436" s="492"/>
      <c r="I436" s="492"/>
      <c r="J436" s="492"/>
      <c r="K436" s="492"/>
      <c r="L436" s="492"/>
      <c r="M436" s="493"/>
      <c r="N436" s="130"/>
      <c r="O436" s="130"/>
      <c r="P436" s="157"/>
    </row>
    <row r="437" spans="3:16" s="258" customFormat="1" ht="15" customHeight="1">
      <c r="C437" s="508"/>
      <c r="D437" s="487">
        <v>22</v>
      </c>
      <c r="E437" s="122" t="s">
        <v>105</v>
      </c>
      <c r="F437" s="491"/>
      <c r="G437" s="492"/>
      <c r="H437" s="492"/>
      <c r="I437" s="492"/>
      <c r="J437" s="492"/>
      <c r="K437" s="492"/>
      <c r="L437" s="492"/>
      <c r="M437" s="493"/>
      <c r="N437" s="130"/>
      <c r="O437" s="130"/>
      <c r="P437" s="195"/>
    </row>
    <row r="438" spans="3:16" s="258" customFormat="1" ht="15" customHeight="1">
      <c r="C438" s="508"/>
      <c r="D438" s="487">
        <v>23</v>
      </c>
      <c r="E438" s="122" t="s">
        <v>23</v>
      </c>
      <c r="F438" s="491"/>
      <c r="G438" s="492"/>
      <c r="H438" s="492"/>
      <c r="I438" s="492"/>
      <c r="J438" s="492"/>
      <c r="K438" s="492"/>
      <c r="L438" s="492"/>
      <c r="M438" s="493"/>
      <c r="N438" s="130"/>
      <c r="O438" s="130"/>
      <c r="P438" s="195"/>
    </row>
    <row r="439" spans="3:16" s="258" customFormat="1" ht="15" customHeight="1">
      <c r="C439" s="508"/>
      <c r="D439" s="487">
        <v>24</v>
      </c>
      <c r="E439" s="122" t="s">
        <v>220</v>
      </c>
      <c r="F439" s="491"/>
      <c r="G439" s="492"/>
      <c r="H439" s="492"/>
      <c r="I439" s="492"/>
      <c r="J439" s="492"/>
      <c r="K439" s="492"/>
      <c r="L439" s="492"/>
      <c r="M439" s="493"/>
      <c r="N439" s="130"/>
      <c r="O439" s="130"/>
      <c r="P439" s="195"/>
    </row>
    <row r="440" spans="3:16" s="258" customFormat="1" ht="15" customHeight="1">
      <c r="C440" s="508"/>
      <c r="D440" s="487">
        <v>25</v>
      </c>
      <c r="E440" s="122" t="s">
        <v>7</v>
      </c>
      <c r="F440" s="491"/>
      <c r="G440" s="492"/>
      <c r="H440" s="492"/>
      <c r="I440" s="492"/>
      <c r="J440" s="492"/>
      <c r="K440" s="492"/>
      <c r="L440" s="492"/>
      <c r="M440" s="493"/>
      <c r="N440" s="130"/>
      <c r="O440" s="130"/>
      <c r="P440" s="195"/>
    </row>
    <row r="441" spans="3:16" s="258" customFormat="1" ht="15" customHeight="1">
      <c r="C441" s="508"/>
      <c r="D441" s="483"/>
      <c r="E441" s="124" t="s">
        <v>20</v>
      </c>
      <c r="F441" s="488"/>
      <c r="G441" s="489"/>
      <c r="H441" s="489"/>
      <c r="I441" s="489"/>
      <c r="J441" s="489"/>
      <c r="K441" s="489"/>
      <c r="L441" s="489"/>
      <c r="M441" s="490"/>
      <c r="N441" s="474"/>
      <c r="O441" s="494"/>
      <c r="P441" s="195"/>
    </row>
    <row r="442" spans="3:16" s="258" customFormat="1" ht="15" customHeight="1">
      <c r="C442" s="508"/>
      <c r="D442" s="487">
        <v>26</v>
      </c>
      <c r="E442" s="122" t="s">
        <v>505</v>
      </c>
      <c r="F442" s="491"/>
      <c r="G442" s="492"/>
      <c r="H442" s="492"/>
      <c r="I442" s="492"/>
      <c r="J442" s="492"/>
      <c r="K442" s="492"/>
      <c r="L442" s="492"/>
      <c r="M442" s="493"/>
      <c r="N442" s="130"/>
      <c r="O442" s="130"/>
      <c r="P442" s="195"/>
    </row>
    <row r="443" spans="3:16" s="258" customFormat="1" ht="15" customHeight="1">
      <c r="C443" s="508"/>
      <c r="D443" s="487">
        <v>27</v>
      </c>
      <c r="E443" s="122" t="s">
        <v>60</v>
      </c>
      <c r="F443" s="491"/>
      <c r="G443" s="492"/>
      <c r="H443" s="492"/>
      <c r="I443" s="492"/>
      <c r="J443" s="492"/>
      <c r="K443" s="492"/>
      <c r="L443" s="492"/>
      <c r="M443" s="493"/>
      <c r="N443" s="130"/>
      <c r="O443" s="130"/>
      <c r="P443" s="195"/>
    </row>
    <row r="444" spans="3:16" s="258" customFormat="1" ht="15" customHeight="1">
      <c r="C444" s="508"/>
      <c r="D444" s="487">
        <v>28</v>
      </c>
      <c r="E444" s="122" t="s">
        <v>45</v>
      </c>
      <c r="F444" s="495"/>
      <c r="G444" s="492"/>
      <c r="H444" s="492"/>
      <c r="I444" s="492"/>
      <c r="J444" s="492"/>
      <c r="K444" s="492"/>
      <c r="L444" s="492"/>
      <c r="M444" s="493"/>
      <c r="N444" s="130"/>
      <c r="O444" s="130"/>
      <c r="P444" s="195"/>
    </row>
    <row r="445" spans="3:16" s="258" customFormat="1" ht="15" customHeight="1">
      <c r="C445" s="508"/>
      <c r="D445" s="487">
        <v>29</v>
      </c>
      <c r="E445" s="122" t="s">
        <v>521</v>
      </c>
      <c r="F445" s="495"/>
      <c r="G445" s="492"/>
      <c r="H445" s="492"/>
      <c r="I445" s="492"/>
      <c r="J445" s="492"/>
      <c r="K445" s="492"/>
      <c r="L445" s="492"/>
      <c r="M445" s="493"/>
      <c r="N445" s="130"/>
      <c r="O445" s="130"/>
      <c r="P445" s="195"/>
    </row>
    <row r="446" spans="3:16" s="258" customFormat="1" ht="15" customHeight="1">
      <c r="C446" s="508"/>
      <c r="D446" s="487">
        <v>30</v>
      </c>
      <c r="E446" s="122" t="s">
        <v>521</v>
      </c>
      <c r="F446" s="495"/>
      <c r="G446" s="492"/>
      <c r="H446" s="492"/>
      <c r="I446" s="492"/>
      <c r="J446" s="492"/>
      <c r="K446" s="492"/>
      <c r="L446" s="492"/>
      <c r="M446" s="493"/>
      <c r="N446" s="130"/>
      <c r="O446" s="130"/>
      <c r="P446" s="157"/>
    </row>
    <row r="447" spans="3:16" s="258" customFormat="1" ht="15" customHeight="1">
      <c r="C447" s="508"/>
      <c r="D447" s="487">
        <v>31</v>
      </c>
      <c r="E447" s="122" t="s">
        <v>729</v>
      </c>
      <c r="F447" s="495"/>
      <c r="G447" s="492"/>
      <c r="H447" s="492"/>
      <c r="I447" s="492"/>
      <c r="J447" s="492"/>
      <c r="K447" s="492"/>
      <c r="L447" s="492"/>
      <c r="M447" s="493"/>
      <c r="N447" s="130"/>
      <c r="O447" s="130"/>
      <c r="P447" s="157"/>
    </row>
    <row r="448" spans="3:16" s="258" customFormat="1" ht="15" customHeight="1">
      <c r="C448" s="508"/>
      <c r="D448" s="487">
        <v>32</v>
      </c>
      <c r="E448" s="122" t="s">
        <v>10</v>
      </c>
      <c r="F448" s="495"/>
      <c r="G448" s="492"/>
      <c r="H448" s="492"/>
      <c r="I448" s="492"/>
      <c r="J448" s="492"/>
      <c r="K448" s="492"/>
      <c r="L448" s="492"/>
      <c r="M448" s="519"/>
      <c r="N448" s="130"/>
      <c r="O448" s="130"/>
      <c r="P448" s="157"/>
    </row>
    <row r="449" spans="3:16" s="258" customFormat="1" ht="15" customHeight="1">
      <c r="C449" s="508"/>
      <c r="D449" s="483"/>
      <c r="E449" s="124" t="s">
        <v>176</v>
      </c>
      <c r="F449" s="488"/>
      <c r="G449" s="489"/>
      <c r="H449" s="489"/>
      <c r="I449" s="489"/>
      <c r="J449" s="489"/>
      <c r="K449" s="507"/>
      <c r="L449" s="489"/>
      <c r="M449" s="490"/>
      <c r="N449" s="474"/>
      <c r="O449" s="494"/>
      <c r="P449" s="157"/>
    </row>
    <row r="450" spans="3:16" s="258" customFormat="1" ht="15" customHeight="1">
      <c r="C450" s="508"/>
      <c r="D450" s="487">
        <v>33</v>
      </c>
      <c r="E450" s="122" t="s">
        <v>176</v>
      </c>
      <c r="F450" s="491"/>
      <c r="G450" s="492"/>
      <c r="H450" s="492"/>
      <c r="I450" s="492"/>
      <c r="J450" s="492"/>
      <c r="K450" s="492"/>
      <c r="L450" s="492"/>
      <c r="M450" s="493"/>
      <c r="N450" s="130"/>
      <c r="O450" s="130"/>
      <c r="P450" s="157"/>
    </row>
    <row r="451" spans="3:16" s="258" customFormat="1" ht="15" customHeight="1">
      <c r="C451" s="508"/>
      <c r="D451" s="487">
        <v>34</v>
      </c>
      <c r="E451" s="122" t="s">
        <v>191</v>
      </c>
      <c r="F451" s="491"/>
      <c r="G451" s="492"/>
      <c r="H451" s="492"/>
      <c r="I451" s="492"/>
      <c r="J451" s="492"/>
      <c r="K451" s="492"/>
      <c r="L451" s="492"/>
      <c r="M451" s="493"/>
      <c r="N451" s="130"/>
      <c r="O451" s="130"/>
      <c r="P451" s="195"/>
    </row>
    <row r="452" spans="3:16" s="258" customFormat="1" ht="15" customHeight="1">
      <c r="C452" s="498"/>
      <c r="D452" s="483"/>
      <c r="E452" s="124" t="s">
        <v>302</v>
      </c>
      <c r="F452" s="488"/>
      <c r="G452" s="489"/>
      <c r="H452" s="489"/>
      <c r="I452" s="489"/>
      <c r="J452" s="489"/>
      <c r="K452" s="507"/>
      <c r="L452" s="489"/>
      <c r="M452" s="490"/>
      <c r="N452" s="474"/>
      <c r="O452" s="494"/>
      <c r="P452" s="195"/>
    </row>
    <row r="453" spans="3:16" s="258" customFormat="1" ht="15" customHeight="1">
      <c r="C453" s="498"/>
      <c r="D453" s="487">
        <v>35</v>
      </c>
      <c r="E453" s="206">
        <v>42460</v>
      </c>
      <c r="F453" s="495"/>
      <c r="G453" s="492"/>
      <c r="H453" s="492"/>
      <c r="I453" s="492"/>
      <c r="J453" s="492"/>
      <c r="K453" s="492"/>
      <c r="L453" s="492"/>
      <c r="M453" s="493"/>
      <c r="N453" s="130"/>
      <c r="O453" s="130"/>
      <c r="P453" s="195"/>
    </row>
    <row r="454" spans="3:16" s="258" customFormat="1" ht="15" customHeight="1">
      <c r="C454" s="498"/>
      <c r="D454" s="487">
        <v>36</v>
      </c>
      <c r="E454" s="206">
        <v>42825</v>
      </c>
      <c r="F454" s="495"/>
      <c r="G454" s="492"/>
      <c r="H454" s="492"/>
      <c r="I454" s="492"/>
      <c r="J454" s="492"/>
      <c r="K454" s="492"/>
      <c r="L454" s="492"/>
      <c r="M454" s="493"/>
      <c r="N454" s="130"/>
      <c r="O454" s="130"/>
      <c r="P454" s="195"/>
    </row>
    <row r="455" spans="3:16" s="258" customFormat="1" ht="15" customHeight="1">
      <c r="C455" s="498"/>
      <c r="D455" s="487">
        <v>37</v>
      </c>
      <c r="E455" s="206">
        <v>43190</v>
      </c>
      <c r="F455" s="495"/>
      <c r="G455" s="492"/>
      <c r="H455" s="492"/>
      <c r="I455" s="492"/>
      <c r="J455" s="492"/>
      <c r="K455" s="492"/>
      <c r="L455" s="492"/>
      <c r="M455" s="493"/>
      <c r="N455" s="130"/>
      <c r="O455" s="130"/>
      <c r="P455" s="195"/>
    </row>
    <row r="456" spans="3:16" s="258" customFormat="1" ht="15" customHeight="1">
      <c r="C456" s="498"/>
      <c r="D456" s="487">
        <v>38</v>
      </c>
      <c r="E456" s="206">
        <v>43555</v>
      </c>
      <c r="F456" s="495"/>
      <c r="G456" s="492"/>
      <c r="H456" s="492"/>
      <c r="I456" s="492"/>
      <c r="J456" s="492"/>
      <c r="K456" s="492"/>
      <c r="L456" s="492"/>
      <c r="M456" s="493"/>
      <c r="N456" s="130"/>
      <c r="O456" s="130"/>
      <c r="P456" s="195"/>
    </row>
    <row r="457" spans="3:16" s="258" customFormat="1" ht="15" customHeight="1">
      <c r="C457" s="498"/>
      <c r="D457" s="487">
        <v>39</v>
      </c>
      <c r="E457" s="206">
        <v>43921</v>
      </c>
      <c r="F457" s="495"/>
      <c r="G457" s="492"/>
      <c r="H457" s="492"/>
      <c r="I457" s="492"/>
      <c r="J457" s="492"/>
      <c r="K457" s="492"/>
      <c r="L457" s="492"/>
      <c r="M457" s="493"/>
      <c r="N457" s="130"/>
      <c r="O457" s="130"/>
      <c r="P457" s="195"/>
    </row>
    <row r="458" spans="3:16" s="258" customFormat="1" ht="15" customHeight="1">
      <c r="C458" s="498"/>
      <c r="D458" s="487">
        <v>40</v>
      </c>
      <c r="E458" s="206">
        <v>44286</v>
      </c>
      <c r="F458" s="495"/>
      <c r="G458" s="492"/>
      <c r="H458" s="492"/>
      <c r="I458" s="492"/>
      <c r="J458" s="492"/>
      <c r="K458" s="492"/>
      <c r="L458" s="492"/>
      <c r="M458" s="493"/>
      <c r="N458" s="130"/>
      <c r="O458" s="130"/>
      <c r="P458" s="195"/>
    </row>
    <row r="459" spans="3:16" s="258" customFormat="1" ht="15" customHeight="1">
      <c r="C459" s="498"/>
      <c r="D459" s="487">
        <v>41</v>
      </c>
      <c r="E459" s="206">
        <v>44651</v>
      </c>
      <c r="F459" s="495"/>
      <c r="G459" s="492"/>
      <c r="H459" s="492"/>
      <c r="I459" s="492"/>
      <c r="J459" s="492"/>
      <c r="K459" s="492"/>
      <c r="L459" s="492"/>
      <c r="M459" s="493"/>
      <c r="N459" s="130"/>
      <c r="O459" s="130"/>
      <c r="P459" s="195"/>
    </row>
    <row r="460" spans="3:16" s="258" customFormat="1" ht="15" customHeight="1">
      <c r="C460" s="498"/>
      <c r="D460" s="487">
        <v>42</v>
      </c>
      <c r="E460" s="206">
        <v>45016</v>
      </c>
      <c r="F460" s="495"/>
      <c r="G460" s="492"/>
      <c r="H460" s="492"/>
      <c r="I460" s="492"/>
      <c r="J460" s="492"/>
      <c r="K460" s="492"/>
      <c r="L460" s="492"/>
      <c r="M460" s="493"/>
      <c r="N460" s="130"/>
      <c r="O460" s="130"/>
      <c r="P460" s="195"/>
    </row>
    <row r="461" spans="3:16" s="258" customFormat="1" ht="15" customHeight="1">
      <c r="C461" s="498"/>
      <c r="D461" s="483"/>
      <c r="E461" s="124" t="s">
        <v>506</v>
      </c>
      <c r="F461" s="488"/>
      <c r="G461" s="489"/>
      <c r="H461" s="489"/>
      <c r="I461" s="489"/>
      <c r="J461" s="489"/>
      <c r="K461" s="507"/>
      <c r="L461" s="489"/>
      <c r="M461" s="490"/>
      <c r="N461" s="474"/>
      <c r="O461" s="494"/>
      <c r="P461" s="195"/>
    </row>
    <row r="462" spans="3:16" s="258" customFormat="1" ht="15" customHeight="1">
      <c r="C462" s="498"/>
      <c r="D462" s="487">
        <v>43</v>
      </c>
      <c r="E462" s="206">
        <v>42460</v>
      </c>
      <c r="F462" s="495"/>
      <c r="G462" s="492"/>
      <c r="H462" s="492"/>
      <c r="I462" s="492"/>
      <c r="J462" s="492"/>
      <c r="K462" s="492"/>
      <c r="L462" s="492"/>
      <c r="M462" s="493"/>
      <c r="N462" s="130"/>
      <c r="O462" s="130"/>
      <c r="P462" s="195"/>
    </row>
    <row r="463" spans="3:16" s="258" customFormat="1" ht="15" customHeight="1">
      <c r="C463" s="498"/>
      <c r="D463" s="487">
        <v>44</v>
      </c>
      <c r="E463" s="206">
        <v>42825</v>
      </c>
      <c r="F463" s="495"/>
      <c r="G463" s="492"/>
      <c r="H463" s="492"/>
      <c r="I463" s="492"/>
      <c r="J463" s="492"/>
      <c r="K463" s="492"/>
      <c r="L463" s="492"/>
      <c r="M463" s="493"/>
      <c r="N463" s="130"/>
      <c r="O463" s="130"/>
      <c r="P463" s="195"/>
    </row>
    <row r="464" spans="3:16" s="258" customFormat="1" ht="15" customHeight="1">
      <c r="C464" s="498"/>
      <c r="D464" s="487">
        <v>45</v>
      </c>
      <c r="E464" s="206">
        <v>43190</v>
      </c>
      <c r="F464" s="495"/>
      <c r="G464" s="492"/>
      <c r="H464" s="492"/>
      <c r="I464" s="492"/>
      <c r="J464" s="492"/>
      <c r="K464" s="492"/>
      <c r="L464" s="492"/>
      <c r="M464" s="493"/>
      <c r="N464" s="130"/>
      <c r="O464" s="130"/>
      <c r="P464" s="195"/>
    </row>
    <row r="465" spans="3:16" s="258" customFormat="1" ht="15" customHeight="1">
      <c r="C465" s="498"/>
      <c r="D465" s="487">
        <v>46</v>
      </c>
      <c r="E465" s="206">
        <v>43555</v>
      </c>
      <c r="F465" s="495"/>
      <c r="G465" s="492"/>
      <c r="H465" s="492"/>
      <c r="I465" s="492"/>
      <c r="J465" s="492"/>
      <c r="K465" s="492"/>
      <c r="L465" s="492"/>
      <c r="M465" s="493"/>
      <c r="N465" s="130"/>
      <c r="O465" s="130"/>
      <c r="P465" s="195"/>
    </row>
    <row r="466" spans="3:16" s="258" customFormat="1" ht="15" customHeight="1">
      <c r="C466" s="498"/>
      <c r="D466" s="487">
        <v>47</v>
      </c>
      <c r="E466" s="206">
        <v>43921</v>
      </c>
      <c r="F466" s="495"/>
      <c r="G466" s="492"/>
      <c r="H466" s="492"/>
      <c r="I466" s="492"/>
      <c r="J466" s="492"/>
      <c r="K466" s="492"/>
      <c r="L466" s="492"/>
      <c r="M466" s="493"/>
      <c r="N466" s="130"/>
      <c r="O466" s="130"/>
      <c r="P466" s="195"/>
    </row>
    <row r="467" spans="3:16" s="258" customFormat="1" ht="15" customHeight="1">
      <c r="C467" s="498"/>
      <c r="D467" s="487">
        <v>48</v>
      </c>
      <c r="E467" s="206">
        <v>44286</v>
      </c>
      <c r="F467" s="495"/>
      <c r="G467" s="492"/>
      <c r="H467" s="492"/>
      <c r="I467" s="492"/>
      <c r="J467" s="492"/>
      <c r="K467" s="492"/>
      <c r="L467" s="492"/>
      <c r="M467" s="493"/>
      <c r="N467" s="130"/>
      <c r="O467" s="130"/>
      <c r="P467" s="195"/>
    </row>
    <row r="468" spans="3:16" s="258" customFormat="1" ht="15" customHeight="1">
      <c r="C468" s="498"/>
      <c r="D468" s="487">
        <v>49</v>
      </c>
      <c r="E468" s="206">
        <v>44651</v>
      </c>
      <c r="F468" s="495"/>
      <c r="G468" s="492"/>
      <c r="H468" s="492"/>
      <c r="I468" s="492"/>
      <c r="J468" s="492"/>
      <c r="K468" s="492"/>
      <c r="L468" s="492"/>
      <c r="M468" s="493"/>
      <c r="N468" s="130"/>
      <c r="O468" s="130"/>
      <c r="P468" s="195"/>
    </row>
    <row r="469" spans="3:16" s="258" customFormat="1" ht="15" customHeight="1">
      <c r="C469" s="498"/>
      <c r="D469" s="487">
        <v>50</v>
      </c>
      <c r="E469" s="206">
        <v>45016</v>
      </c>
      <c r="F469" s="495"/>
      <c r="G469" s="492"/>
      <c r="H469" s="492"/>
      <c r="I469" s="492"/>
      <c r="J469" s="492"/>
      <c r="K469" s="492"/>
      <c r="L469" s="492"/>
      <c r="M469" s="493"/>
      <c r="N469" s="130"/>
      <c r="O469" s="130"/>
      <c r="P469" s="195"/>
    </row>
    <row r="470" spans="3:16" s="258" customFormat="1" ht="15" customHeight="1">
      <c r="C470" s="498"/>
      <c r="D470" s="483"/>
      <c r="E470" s="124" t="s">
        <v>518</v>
      </c>
      <c r="F470" s="488"/>
      <c r="G470" s="489"/>
      <c r="H470" s="489"/>
      <c r="I470" s="489"/>
      <c r="J470" s="489"/>
      <c r="K470" s="507"/>
      <c r="L470" s="489"/>
      <c r="M470" s="490"/>
      <c r="N470" s="474"/>
      <c r="O470" s="494"/>
      <c r="P470" s="195"/>
    </row>
    <row r="471" spans="3:16" s="258" customFormat="1" ht="15" customHeight="1">
      <c r="C471" s="498"/>
      <c r="D471" s="487">
        <v>51</v>
      </c>
      <c r="E471" s="122" t="s">
        <v>489</v>
      </c>
      <c r="F471" s="491"/>
      <c r="G471" s="492"/>
      <c r="H471" s="492"/>
      <c r="I471" s="492"/>
      <c r="J471" s="492"/>
      <c r="K471" s="492"/>
      <c r="L471" s="492"/>
      <c r="M471" s="493"/>
      <c r="N471" s="130"/>
      <c r="O471" s="130"/>
      <c r="P471" s="195"/>
    </row>
    <row r="472" spans="3:16" s="258" customFormat="1" ht="15" customHeight="1">
      <c r="C472" s="498"/>
      <c r="D472" s="487">
        <v>52</v>
      </c>
      <c r="E472" s="122" t="s">
        <v>490</v>
      </c>
      <c r="F472" s="509"/>
      <c r="G472" s="510"/>
      <c r="H472" s="510"/>
      <c r="I472" s="510"/>
      <c r="J472" s="510"/>
      <c r="K472" s="510"/>
      <c r="L472" s="510"/>
      <c r="M472" s="511"/>
      <c r="N472" s="234"/>
      <c r="O472" s="234"/>
      <c r="P472" s="195"/>
    </row>
    <row r="473" spans="3:16" s="258" customFormat="1" ht="15" customHeight="1">
      <c r="C473" s="508"/>
      <c r="D473" s="487">
        <v>53</v>
      </c>
      <c r="E473" s="122" t="s">
        <v>465</v>
      </c>
      <c r="F473" s="491"/>
      <c r="G473" s="492"/>
      <c r="H473" s="492"/>
      <c r="I473" s="492"/>
      <c r="J473" s="492"/>
      <c r="K473" s="492"/>
      <c r="L473" s="492"/>
      <c r="M473" s="493"/>
      <c r="N473" s="130"/>
      <c r="O473" s="130"/>
      <c r="P473" s="195"/>
    </row>
    <row r="474" spans="3:16" s="258" customFormat="1" ht="15" customHeight="1">
      <c r="C474" s="508"/>
      <c r="D474" s="487">
        <v>54</v>
      </c>
      <c r="E474" s="122" t="s">
        <v>491</v>
      </c>
      <c r="F474" s="495"/>
      <c r="G474" s="492"/>
      <c r="H474" s="492"/>
      <c r="I474" s="492"/>
      <c r="J474" s="492"/>
      <c r="K474" s="492"/>
      <c r="L474" s="492"/>
      <c r="M474" s="493"/>
      <c r="N474" s="130"/>
      <c r="O474" s="130"/>
      <c r="P474" s="195"/>
    </row>
    <row r="475" spans="3:16" s="258" customFormat="1" ht="15" customHeight="1" thickBot="1">
      <c r="C475" s="508"/>
      <c r="D475" s="496">
        <v>55</v>
      </c>
      <c r="E475" s="520" t="s">
        <v>874</v>
      </c>
      <c r="F475" s="515"/>
      <c r="G475" s="497"/>
      <c r="H475" s="497"/>
      <c r="I475" s="497"/>
      <c r="J475" s="497"/>
      <c r="K475" s="497"/>
      <c r="L475" s="497"/>
      <c r="M475" s="512"/>
      <c r="N475" s="514"/>
      <c r="O475" s="514"/>
      <c r="P475" s="195"/>
    </row>
    <row r="476" spans="3:16" s="258" customFormat="1" ht="15" customHeight="1">
      <c r="C476" s="498"/>
      <c r="D476" s="256"/>
      <c r="E476" s="195"/>
      <c r="F476" s="157"/>
      <c r="G476" s="157"/>
      <c r="H476" s="157"/>
      <c r="I476" s="157"/>
      <c r="J476" s="157"/>
      <c r="K476" s="157"/>
      <c r="L476" s="157"/>
      <c r="M476" s="523"/>
      <c r="N476" s="157"/>
      <c r="O476" s="157"/>
      <c r="P476" s="195"/>
    </row>
    <row r="477" spans="3:16" s="258" customFormat="1" ht="15" customHeight="1">
      <c r="C477" s="498"/>
      <c r="D477" s="256"/>
      <c r="E477" s="195"/>
      <c r="F477" s="157"/>
      <c r="G477" s="157"/>
      <c r="H477" s="157"/>
      <c r="I477" s="157"/>
      <c r="J477" s="157"/>
      <c r="K477" s="157"/>
      <c r="L477" s="157"/>
      <c r="M477" s="523"/>
      <c r="N477" s="157"/>
      <c r="O477" s="157"/>
      <c r="P477" s="195"/>
    </row>
    <row r="478" spans="3:16" s="258" customFormat="1" ht="15" customHeight="1">
      <c r="C478" s="498"/>
      <c r="D478" s="256"/>
      <c r="E478" s="195"/>
      <c r="F478" s="157"/>
      <c r="G478" s="157"/>
      <c r="H478" s="157"/>
      <c r="I478" s="157"/>
      <c r="J478" s="157"/>
      <c r="K478" s="157"/>
      <c r="L478" s="157"/>
      <c r="M478" s="523"/>
      <c r="N478" s="157"/>
      <c r="O478" s="157"/>
      <c r="P478" s="195"/>
    </row>
    <row r="479" spans="3:16" s="258" customFormat="1" ht="15" customHeight="1">
      <c r="C479" s="498"/>
      <c r="D479" s="256"/>
      <c r="E479" s="195"/>
      <c r="F479" s="157"/>
      <c r="G479" s="157"/>
      <c r="H479" s="157"/>
      <c r="I479" s="157"/>
      <c r="J479" s="157"/>
      <c r="K479" s="157"/>
      <c r="L479" s="157"/>
      <c r="M479" s="523"/>
      <c r="N479" s="157"/>
      <c r="O479" s="157"/>
      <c r="P479" s="195"/>
    </row>
    <row r="480" spans="3:16" s="258" customFormat="1" ht="15" customHeight="1">
      <c r="C480" s="498"/>
      <c r="D480" s="256"/>
      <c r="E480" s="195"/>
      <c r="F480" s="157"/>
      <c r="G480" s="157"/>
      <c r="H480" s="157"/>
      <c r="I480" s="157"/>
      <c r="J480" s="157"/>
      <c r="K480" s="157"/>
      <c r="L480" s="157"/>
      <c r="M480" s="523"/>
      <c r="N480" s="157"/>
      <c r="O480" s="157"/>
      <c r="P480" s="195"/>
    </row>
    <row r="481" spans="3:16" s="258" customFormat="1" ht="15" customHeight="1">
      <c r="C481" s="517" t="s">
        <v>1026</v>
      </c>
      <c r="D481" s="517"/>
      <c r="E481" s="517"/>
      <c r="F481" s="517"/>
      <c r="G481" s="517"/>
      <c r="H481" s="517"/>
      <c r="I481" s="517"/>
      <c r="J481" s="517"/>
      <c r="K481" s="517"/>
      <c r="L481" s="517"/>
      <c r="M481" s="517"/>
      <c r="N481" s="517"/>
      <c r="O481" s="517"/>
      <c r="P481" s="195"/>
    </row>
    <row r="482" spans="3:16" s="258" customFormat="1" ht="15" customHeight="1">
      <c r="C482" s="508"/>
      <c r="D482" s="508"/>
      <c r="E482" s="508"/>
      <c r="F482" s="508"/>
      <c r="G482" s="508"/>
      <c r="H482" s="508"/>
      <c r="I482" s="508"/>
      <c r="J482" s="508"/>
      <c r="K482" s="508"/>
      <c r="L482" s="508"/>
      <c r="M482" s="508"/>
      <c r="N482" s="508"/>
      <c r="O482" s="508"/>
      <c r="P482" s="195"/>
    </row>
    <row r="483" spans="3:16" s="258" customFormat="1" ht="15" customHeight="1">
      <c r="C483" s="508"/>
      <c r="D483" s="479"/>
      <c r="E483" s="479"/>
      <c r="F483" s="480"/>
      <c r="G483" s="480"/>
      <c r="H483" s="480"/>
      <c r="I483" s="480"/>
      <c r="J483" s="480"/>
      <c r="K483" s="480"/>
      <c r="L483" s="480"/>
      <c r="M483" s="480"/>
      <c r="N483" s="479"/>
      <c r="O483" s="479"/>
      <c r="P483" s="195"/>
    </row>
    <row r="484" spans="3:16" s="258" customFormat="1" ht="15" customHeight="1">
      <c r="C484" s="508"/>
      <c r="D484" s="479"/>
      <c r="E484" s="518" t="s">
        <v>58</v>
      </c>
      <c r="F484" s="518" t="s">
        <v>239</v>
      </c>
      <c r="G484" s="480"/>
      <c r="H484" s="518" t="s">
        <v>39</v>
      </c>
      <c r="I484" s="480"/>
      <c r="J484" s="480"/>
      <c r="K484" s="480"/>
      <c r="L484" s="480"/>
      <c r="M484" s="480"/>
      <c r="N484" s="479"/>
      <c r="O484" s="479"/>
      <c r="P484" s="195"/>
    </row>
    <row r="485" spans="3:16" s="258" customFormat="1" ht="15" customHeight="1">
      <c r="C485" s="508"/>
      <c r="D485" s="118"/>
      <c r="E485" s="118" t="s">
        <v>1027</v>
      </c>
      <c r="F485" s="388">
        <v>42460</v>
      </c>
      <c r="G485" s="119"/>
      <c r="H485" s="118" t="s">
        <v>1042</v>
      </c>
      <c r="I485" s="119"/>
      <c r="J485" s="119"/>
      <c r="K485" s="119"/>
      <c r="L485" s="119"/>
      <c r="M485" s="119"/>
      <c r="N485" s="118"/>
      <c r="O485" s="118"/>
      <c r="P485" s="195"/>
    </row>
    <row r="486" spans="3:16" s="258" customFormat="1" ht="15" customHeight="1" thickBot="1">
      <c r="C486" s="508"/>
      <c r="D486" s="508"/>
      <c r="E486" s="508"/>
      <c r="F486" s="508"/>
      <c r="G486" s="478"/>
      <c r="H486" s="508"/>
      <c r="I486" s="508"/>
      <c r="J486" s="508"/>
      <c r="K486" s="508"/>
      <c r="L486" s="508"/>
      <c r="M486" s="508"/>
      <c r="N486" s="508"/>
      <c r="O486" s="508"/>
      <c r="P486" s="195"/>
    </row>
    <row r="487" spans="3:16" s="258" customFormat="1" ht="15" customHeight="1">
      <c r="C487" s="508"/>
      <c r="D487" s="481"/>
      <c r="E487" s="506" t="s">
        <v>236</v>
      </c>
      <c r="F487" s="499">
        <v>42460</v>
      </c>
      <c r="G487" s="500">
        <v>42825</v>
      </c>
      <c r="H487" s="500">
        <v>43190</v>
      </c>
      <c r="I487" s="500">
        <v>43555</v>
      </c>
      <c r="J487" s="500">
        <v>43921</v>
      </c>
      <c r="K487" s="500">
        <v>44286</v>
      </c>
      <c r="L487" s="500">
        <v>44651</v>
      </c>
      <c r="M487" s="501">
        <v>45016</v>
      </c>
      <c r="N487" s="513" t="s">
        <v>86</v>
      </c>
      <c r="O487" s="502" t="s">
        <v>87</v>
      </c>
      <c r="P487" s="195"/>
    </row>
    <row r="488" spans="3:16" s="258" customFormat="1" ht="15" customHeight="1">
      <c r="C488" s="508"/>
      <c r="D488" s="482"/>
      <c r="E488" s="122" t="s">
        <v>240</v>
      </c>
      <c r="F488" s="503" t="s">
        <v>844</v>
      </c>
      <c r="G488" s="504" t="s">
        <v>844</v>
      </c>
      <c r="H488" s="504" t="s">
        <v>844</v>
      </c>
      <c r="I488" s="504" t="s">
        <v>844</v>
      </c>
      <c r="J488" s="504" t="s">
        <v>844</v>
      </c>
      <c r="K488" s="504" t="s">
        <v>844</v>
      </c>
      <c r="L488" s="504" t="s">
        <v>844</v>
      </c>
      <c r="M488" s="505" t="s">
        <v>844</v>
      </c>
      <c r="N488" s="192" t="s">
        <v>844</v>
      </c>
      <c r="O488" s="192" t="s">
        <v>844</v>
      </c>
      <c r="P488" s="195"/>
    </row>
    <row r="489" spans="3:16" s="258" customFormat="1" ht="15" customHeight="1">
      <c r="C489" s="508"/>
      <c r="D489" s="483"/>
      <c r="E489" s="124" t="s">
        <v>69</v>
      </c>
      <c r="F489" s="484"/>
      <c r="G489" s="485"/>
      <c r="H489" s="485"/>
      <c r="I489" s="485"/>
      <c r="J489" s="485"/>
      <c r="K489" s="485"/>
      <c r="L489" s="485"/>
      <c r="M489" s="486"/>
      <c r="N489" s="128"/>
      <c r="O489" s="128"/>
      <c r="P489" s="195"/>
    </row>
    <row r="490" spans="3:16" s="258" customFormat="1" ht="15" customHeight="1">
      <c r="C490" s="508"/>
      <c r="D490" s="487">
        <v>1</v>
      </c>
      <c r="E490" s="122" t="s">
        <v>213</v>
      </c>
      <c r="F490" s="491"/>
      <c r="G490" s="492"/>
      <c r="H490" s="492"/>
      <c r="I490" s="492"/>
      <c r="J490" s="492"/>
      <c r="K490" s="492"/>
      <c r="L490" s="492"/>
      <c r="M490" s="493"/>
      <c r="N490" s="130"/>
      <c r="O490" s="130"/>
      <c r="P490" s="195"/>
    </row>
    <row r="491" spans="3:16" s="258" customFormat="1" ht="15" customHeight="1">
      <c r="C491" s="508"/>
      <c r="D491" s="487">
        <v>2</v>
      </c>
      <c r="E491" s="122" t="s">
        <v>879</v>
      </c>
      <c r="F491" s="491"/>
      <c r="G491" s="492"/>
      <c r="H491" s="492"/>
      <c r="I491" s="492"/>
      <c r="J491" s="492"/>
      <c r="K491" s="492"/>
      <c r="L491" s="492"/>
      <c r="M491" s="493"/>
      <c r="N491" s="130"/>
      <c r="O491" s="130"/>
      <c r="P491" s="195"/>
    </row>
    <row r="492" spans="3:16" s="258" customFormat="1" ht="15" customHeight="1">
      <c r="C492" s="508"/>
      <c r="D492" s="487">
        <v>3</v>
      </c>
      <c r="E492" s="122" t="s">
        <v>214</v>
      </c>
      <c r="F492" s="491"/>
      <c r="G492" s="492"/>
      <c r="H492" s="492"/>
      <c r="I492" s="492"/>
      <c r="J492" s="492"/>
      <c r="K492" s="492"/>
      <c r="L492" s="492"/>
      <c r="M492" s="493"/>
      <c r="N492" s="130"/>
      <c r="O492" s="130"/>
      <c r="P492" s="195"/>
    </row>
    <row r="493" spans="3:16" s="258" customFormat="1" ht="15" customHeight="1">
      <c r="C493" s="508"/>
      <c r="D493" s="483"/>
      <c r="E493" s="124" t="s">
        <v>16</v>
      </c>
      <c r="F493" s="484"/>
      <c r="G493" s="485"/>
      <c r="H493" s="485"/>
      <c r="I493" s="485"/>
      <c r="J493" s="485"/>
      <c r="K493" s="485"/>
      <c r="L493" s="485"/>
      <c r="M493" s="486"/>
      <c r="N493" s="128"/>
      <c r="O493" s="128"/>
      <c r="P493" s="195"/>
    </row>
    <row r="494" spans="3:16" s="258" customFormat="1" ht="15" customHeight="1">
      <c r="C494" s="508"/>
      <c r="D494" s="487">
        <v>4</v>
      </c>
      <c r="E494" s="122" t="s">
        <v>492</v>
      </c>
      <c r="F494" s="491"/>
      <c r="G494" s="492"/>
      <c r="H494" s="492"/>
      <c r="I494" s="492"/>
      <c r="J494" s="492"/>
      <c r="K494" s="492"/>
      <c r="L494" s="492"/>
      <c r="M494" s="493"/>
      <c r="N494" s="130"/>
      <c r="O494" s="130"/>
      <c r="P494" s="195"/>
    </row>
    <row r="495" spans="3:16" s="258" customFormat="1" ht="15" customHeight="1">
      <c r="C495" s="508"/>
      <c r="D495" s="487">
        <v>5</v>
      </c>
      <c r="E495" s="122" t="s">
        <v>122</v>
      </c>
      <c r="F495" s="491"/>
      <c r="G495" s="492"/>
      <c r="H495" s="492"/>
      <c r="I495" s="492"/>
      <c r="J495" s="492"/>
      <c r="K495" s="492"/>
      <c r="L495" s="492"/>
      <c r="M495" s="493"/>
      <c r="N495" s="130"/>
      <c r="O495" s="130"/>
      <c r="P495" s="195"/>
    </row>
    <row r="496" spans="3:16" s="258" customFormat="1" ht="15" customHeight="1">
      <c r="C496" s="508"/>
      <c r="D496" s="487">
        <v>6</v>
      </c>
      <c r="E496" s="122" t="s">
        <v>493</v>
      </c>
      <c r="F496" s="491"/>
      <c r="G496" s="492"/>
      <c r="H496" s="492"/>
      <c r="I496" s="492"/>
      <c r="J496" s="492"/>
      <c r="K496" s="492"/>
      <c r="L496" s="492"/>
      <c r="M496" s="493"/>
      <c r="N496" s="130"/>
      <c r="O496" s="130"/>
      <c r="P496" s="157"/>
    </row>
    <row r="497" spans="3:16" s="258" customFormat="1" ht="15" customHeight="1">
      <c r="C497" s="508"/>
      <c r="D497" s="487">
        <v>7</v>
      </c>
      <c r="E497" s="122" t="s">
        <v>215</v>
      </c>
      <c r="F497" s="491"/>
      <c r="G497" s="492"/>
      <c r="H497" s="492"/>
      <c r="I497" s="492"/>
      <c r="J497" s="492"/>
      <c r="K497" s="492"/>
      <c r="L497" s="492"/>
      <c r="M497" s="493"/>
      <c r="N497" s="130"/>
      <c r="O497" s="130"/>
      <c r="P497" s="195"/>
    </row>
    <row r="498" spans="3:16" s="258" customFormat="1" ht="15" customHeight="1">
      <c r="C498" s="508"/>
      <c r="D498" s="487">
        <v>8</v>
      </c>
      <c r="E498" s="122" t="s">
        <v>0</v>
      </c>
      <c r="F498" s="491"/>
      <c r="G498" s="492"/>
      <c r="H498" s="492"/>
      <c r="I498" s="492"/>
      <c r="J498" s="492"/>
      <c r="K498" s="492"/>
      <c r="L498" s="492"/>
      <c r="M498" s="493"/>
      <c r="N498" s="130"/>
      <c r="O498" s="130"/>
      <c r="P498" s="195"/>
    </row>
    <row r="499" spans="3:16" s="258" customFormat="1" ht="15" customHeight="1">
      <c r="C499" s="508"/>
      <c r="D499" s="487">
        <v>9</v>
      </c>
      <c r="E499" s="122" t="s">
        <v>17</v>
      </c>
      <c r="F499" s="491"/>
      <c r="G499" s="492"/>
      <c r="H499" s="492"/>
      <c r="I499" s="492"/>
      <c r="J499" s="492"/>
      <c r="K499" s="492"/>
      <c r="L499" s="492"/>
      <c r="M499" s="493"/>
      <c r="N499" s="130"/>
      <c r="O499" s="130"/>
      <c r="P499" s="157"/>
    </row>
    <row r="500" spans="3:16" s="258" customFormat="1" ht="15" customHeight="1">
      <c r="C500" s="508"/>
      <c r="D500" s="483"/>
      <c r="E500" s="124" t="s">
        <v>301</v>
      </c>
      <c r="F500" s="488"/>
      <c r="G500" s="489"/>
      <c r="H500" s="489"/>
      <c r="I500" s="489"/>
      <c r="J500" s="489"/>
      <c r="K500" s="489"/>
      <c r="L500" s="489"/>
      <c r="M500" s="490"/>
      <c r="N500" s="134"/>
      <c r="O500" s="134"/>
      <c r="P500" s="157"/>
    </row>
    <row r="501" spans="3:16" s="258" customFormat="1" ht="15" customHeight="1">
      <c r="C501" s="508"/>
      <c r="D501" s="487">
        <v>10</v>
      </c>
      <c r="E501" s="122" t="s">
        <v>100</v>
      </c>
      <c r="F501" s="491"/>
      <c r="G501" s="492"/>
      <c r="H501" s="492"/>
      <c r="I501" s="492"/>
      <c r="J501" s="492"/>
      <c r="K501" s="492"/>
      <c r="L501" s="492"/>
      <c r="M501" s="493"/>
      <c r="N501" s="130"/>
      <c r="O501" s="130"/>
      <c r="P501" s="157"/>
    </row>
    <row r="502" spans="3:16" s="258" customFormat="1" ht="15" customHeight="1">
      <c r="C502" s="508"/>
      <c r="D502" s="487">
        <v>11</v>
      </c>
      <c r="E502" s="122" t="s">
        <v>740</v>
      </c>
      <c r="F502" s="491"/>
      <c r="G502" s="492"/>
      <c r="H502" s="492"/>
      <c r="I502" s="492"/>
      <c r="J502" s="492"/>
      <c r="K502" s="492"/>
      <c r="L502" s="492"/>
      <c r="M502" s="493"/>
      <c r="N502" s="130"/>
      <c r="O502" s="130"/>
      <c r="P502" s="157"/>
    </row>
    <row r="503" spans="3:16" s="258" customFormat="1" ht="15" customHeight="1">
      <c r="C503" s="508"/>
      <c r="D503" s="487">
        <v>12</v>
      </c>
      <c r="E503" s="122" t="s">
        <v>67</v>
      </c>
      <c r="F503" s="491"/>
      <c r="G503" s="492"/>
      <c r="H503" s="492"/>
      <c r="I503" s="492"/>
      <c r="J503" s="492"/>
      <c r="K503" s="492"/>
      <c r="L503" s="492"/>
      <c r="M503" s="493"/>
      <c r="N503" s="130"/>
      <c r="O503" s="130"/>
      <c r="P503" s="157"/>
    </row>
    <row r="504" spans="3:16" s="258" customFormat="1" ht="15" customHeight="1">
      <c r="C504" s="508"/>
      <c r="D504" s="487">
        <v>13</v>
      </c>
      <c r="E504" s="122" t="s">
        <v>19</v>
      </c>
      <c r="F504" s="491"/>
      <c r="G504" s="492"/>
      <c r="H504" s="492"/>
      <c r="I504" s="492"/>
      <c r="J504" s="492"/>
      <c r="K504" s="492"/>
      <c r="L504" s="492"/>
      <c r="M504" s="493"/>
      <c r="N504" s="130"/>
      <c r="O504" s="130"/>
      <c r="P504" s="157"/>
    </row>
    <row r="505" spans="3:16" s="258" customFormat="1" ht="15" customHeight="1">
      <c r="C505" s="508"/>
      <c r="D505" s="487">
        <v>14</v>
      </c>
      <c r="E505" s="122" t="s">
        <v>105</v>
      </c>
      <c r="F505" s="491"/>
      <c r="G505" s="492"/>
      <c r="H505" s="492"/>
      <c r="I505" s="492"/>
      <c r="J505" s="492"/>
      <c r="K505" s="492"/>
      <c r="L505" s="492"/>
      <c r="M505" s="493"/>
      <c r="N505" s="130"/>
      <c r="O505" s="130"/>
      <c r="P505" s="157"/>
    </row>
    <row r="506" spans="3:16" s="258" customFormat="1" ht="15" customHeight="1">
      <c r="C506" s="508"/>
      <c r="D506" s="487">
        <v>15</v>
      </c>
      <c r="E506" s="122" t="s">
        <v>23</v>
      </c>
      <c r="F506" s="491"/>
      <c r="G506" s="492"/>
      <c r="H506" s="492"/>
      <c r="I506" s="492"/>
      <c r="J506" s="492"/>
      <c r="K506" s="492"/>
      <c r="L506" s="492"/>
      <c r="M506" s="493"/>
      <c r="N506" s="130"/>
      <c r="O506" s="130"/>
      <c r="P506" s="157"/>
    </row>
    <row r="507" spans="3:16" s="258" customFormat="1" ht="15" customHeight="1">
      <c r="C507" s="508"/>
      <c r="D507" s="487">
        <v>16</v>
      </c>
      <c r="E507" s="122" t="s">
        <v>220</v>
      </c>
      <c r="F507" s="491"/>
      <c r="G507" s="492"/>
      <c r="H507" s="492"/>
      <c r="I507" s="492"/>
      <c r="J507" s="492"/>
      <c r="K507" s="492"/>
      <c r="L507" s="492"/>
      <c r="M507" s="493"/>
      <c r="N507" s="130"/>
      <c r="O507" s="130"/>
      <c r="P507" s="157"/>
    </row>
    <row r="508" spans="3:16" s="258" customFormat="1" ht="15" customHeight="1">
      <c r="C508" s="508"/>
      <c r="D508" s="487">
        <v>17</v>
      </c>
      <c r="E508" s="122" t="s">
        <v>7</v>
      </c>
      <c r="F508" s="491"/>
      <c r="G508" s="492"/>
      <c r="H508" s="492"/>
      <c r="I508" s="492"/>
      <c r="J508" s="492"/>
      <c r="K508" s="492"/>
      <c r="L508" s="492"/>
      <c r="M508" s="493"/>
      <c r="N508" s="130"/>
      <c r="O508" s="130"/>
      <c r="P508" s="157"/>
    </row>
    <row r="509" spans="3:16" s="258" customFormat="1" ht="15" customHeight="1">
      <c r="C509" s="508"/>
      <c r="D509" s="483"/>
      <c r="E509" s="124" t="s">
        <v>167</v>
      </c>
      <c r="F509" s="488"/>
      <c r="G509" s="489"/>
      <c r="H509" s="489"/>
      <c r="I509" s="489"/>
      <c r="J509" s="489"/>
      <c r="K509" s="489"/>
      <c r="L509" s="489"/>
      <c r="M509" s="490"/>
      <c r="N509" s="134"/>
      <c r="O509" s="134"/>
      <c r="P509" s="157"/>
    </row>
    <row r="510" spans="3:16" s="258" customFormat="1" ht="15" customHeight="1">
      <c r="C510" s="508"/>
      <c r="D510" s="487">
        <v>18</v>
      </c>
      <c r="E510" s="122" t="s">
        <v>100</v>
      </c>
      <c r="F510" s="491"/>
      <c r="G510" s="492"/>
      <c r="H510" s="492"/>
      <c r="I510" s="492"/>
      <c r="J510" s="492"/>
      <c r="K510" s="492"/>
      <c r="L510" s="492"/>
      <c r="M510" s="493"/>
      <c r="N510" s="130"/>
      <c r="O510" s="130"/>
      <c r="P510" s="157"/>
    </row>
    <row r="511" spans="3:16" s="258" customFormat="1" ht="15" customHeight="1">
      <c r="C511" s="508"/>
      <c r="D511" s="487">
        <v>19</v>
      </c>
      <c r="E511" s="122" t="s">
        <v>740</v>
      </c>
      <c r="F511" s="491"/>
      <c r="G511" s="492"/>
      <c r="H511" s="492"/>
      <c r="I511" s="492"/>
      <c r="J511" s="492"/>
      <c r="K511" s="492"/>
      <c r="L511" s="492"/>
      <c r="M511" s="493"/>
      <c r="N511" s="130"/>
      <c r="O511" s="130"/>
      <c r="P511" s="157"/>
    </row>
    <row r="512" spans="3:16" s="258" customFormat="1" ht="15" customHeight="1">
      <c r="C512" s="508"/>
      <c r="D512" s="487">
        <v>20</v>
      </c>
      <c r="E512" s="122" t="s">
        <v>67</v>
      </c>
      <c r="F512" s="491"/>
      <c r="G512" s="492"/>
      <c r="H512" s="492"/>
      <c r="I512" s="492"/>
      <c r="J512" s="492"/>
      <c r="K512" s="492"/>
      <c r="L512" s="492"/>
      <c r="M512" s="493"/>
      <c r="N512" s="130"/>
      <c r="O512" s="130"/>
      <c r="P512" s="157"/>
    </row>
    <row r="513" spans="3:16" s="258" customFormat="1" ht="15" customHeight="1">
      <c r="C513" s="508"/>
      <c r="D513" s="487">
        <v>21</v>
      </c>
      <c r="E513" s="122" t="s">
        <v>19</v>
      </c>
      <c r="F513" s="491"/>
      <c r="G513" s="492"/>
      <c r="H513" s="492"/>
      <c r="I513" s="492"/>
      <c r="J513" s="492"/>
      <c r="K513" s="492"/>
      <c r="L513" s="492"/>
      <c r="M513" s="493"/>
      <c r="N513" s="130"/>
      <c r="O513" s="130"/>
      <c r="P513" s="157"/>
    </row>
    <row r="514" spans="3:16" s="258" customFormat="1" ht="15" customHeight="1">
      <c r="C514" s="508"/>
      <c r="D514" s="487">
        <v>22</v>
      </c>
      <c r="E514" s="122" t="s">
        <v>105</v>
      </c>
      <c r="F514" s="491"/>
      <c r="G514" s="492"/>
      <c r="H514" s="492"/>
      <c r="I514" s="492"/>
      <c r="J514" s="492"/>
      <c r="K514" s="492"/>
      <c r="L514" s="492"/>
      <c r="M514" s="493"/>
      <c r="N514" s="130"/>
      <c r="O514" s="130"/>
      <c r="P514" s="157"/>
    </row>
    <row r="515" spans="3:16" s="258" customFormat="1" ht="15" customHeight="1">
      <c r="C515" s="508"/>
      <c r="D515" s="487">
        <v>23</v>
      </c>
      <c r="E515" s="122" t="s">
        <v>23</v>
      </c>
      <c r="F515" s="491"/>
      <c r="G515" s="492"/>
      <c r="H515" s="492"/>
      <c r="I515" s="492"/>
      <c r="J515" s="492"/>
      <c r="K515" s="492"/>
      <c r="L515" s="492"/>
      <c r="M515" s="493"/>
      <c r="N515" s="130"/>
      <c r="O515" s="130"/>
      <c r="P515" s="157"/>
    </row>
    <row r="516" spans="3:16" s="258" customFormat="1" ht="15" customHeight="1">
      <c r="C516" s="508"/>
      <c r="D516" s="487">
        <v>24</v>
      </c>
      <c r="E516" s="122" t="s">
        <v>220</v>
      </c>
      <c r="F516" s="491"/>
      <c r="G516" s="492"/>
      <c r="H516" s="492"/>
      <c r="I516" s="492"/>
      <c r="J516" s="492"/>
      <c r="K516" s="492"/>
      <c r="L516" s="492"/>
      <c r="M516" s="493"/>
      <c r="N516" s="130"/>
      <c r="O516" s="130"/>
      <c r="P516" s="157"/>
    </row>
    <row r="517" spans="3:16" s="258" customFormat="1" ht="15" customHeight="1">
      <c r="C517" s="508"/>
      <c r="D517" s="487">
        <v>25</v>
      </c>
      <c r="E517" s="122" t="s">
        <v>7</v>
      </c>
      <c r="F517" s="491"/>
      <c r="G517" s="492"/>
      <c r="H517" s="492"/>
      <c r="I517" s="492"/>
      <c r="J517" s="492"/>
      <c r="K517" s="492"/>
      <c r="L517" s="492"/>
      <c r="M517" s="493"/>
      <c r="N517" s="130"/>
      <c r="O517" s="130"/>
      <c r="P517" s="157"/>
    </row>
    <row r="518" spans="3:16" s="258" customFormat="1" ht="15" customHeight="1">
      <c r="C518" s="508"/>
      <c r="D518" s="483"/>
      <c r="E518" s="124" t="s">
        <v>20</v>
      </c>
      <c r="F518" s="488"/>
      <c r="G518" s="489"/>
      <c r="H518" s="489"/>
      <c r="I518" s="489"/>
      <c r="J518" s="489"/>
      <c r="K518" s="489"/>
      <c r="L518" s="489"/>
      <c r="M518" s="490"/>
      <c r="N518" s="474"/>
      <c r="O518" s="494"/>
      <c r="P518" s="157"/>
    </row>
    <row r="519" spans="3:16" s="258" customFormat="1" ht="15" customHeight="1">
      <c r="C519" s="508"/>
      <c r="D519" s="487">
        <v>26</v>
      </c>
      <c r="E519" s="122" t="s">
        <v>505</v>
      </c>
      <c r="F519" s="491"/>
      <c r="G519" s="492"/>
      <c r="H519" s="492"/>
      <c r="I519" s="492"/>
      <c r="J519" s="492"/>
      <c r="K519" s="492"/>
      <c r="L519" s="492"/>
      <c r="M519" s="493"/>
      <c r="N519" s="130"/>
      <c r="O519" s="130"/>
      <c r="P519" s="157"/>
    </row>
    <row r="520" spans="3:16" s="258" customFormat="1" ht="15" customHeight="1">
      <c r="C520" s="508"/>
      <c r="D520" s="487">
        <v>27</v>
      </c>
      <c r="E520" s="122" t="s">
        <v>60</v>
      </c>
      <c r="F520" s="491"/>
      <c r="G520" s="492"/>
      <c r="H520" s="492"/>
      <c r="I520" s="492"/>
      <c r="J520" s="492"/>
      <c r="K520" s="492"/>
      <c r="L520" s="492"/>
      <c r="M520" s="493"/>
      <c r="N520" s="130"/>
      <c r="O520" s="130"/>
      <c r="P520" s="195"/>
    </row>
    <row r="521" spans="3:16" s="258" customFormat="1" ht="15" customHeight="1">
      <c r="C521" s="508"/>
      <c r="D521" s="487">
        <v>28</v>
      </c>
      <c r="E521" s="122" t="s">
        <v>45</v>
      </c>
      <c r="F521" s="495"/>
      <c r="G521" s="492"/>
      <c r="H521" s="492"/>
      <c r="I521" s="492"/>
      <c r="J521" s="492"/>
      <c r="K521" s="492"/>
      <c r="L521" s="492"/>
      <c r="M521" s="493"/>
      <c r="N521" s="130"/>
      <c r="O521" s="130"/>
      <c r="P521" s="195"/>
    </row>
    <row r="522" spans="3:16" s="258" customFormat="1" ht="15" customHeight="1">
      <c r="C522" s="508"/>
      <c r="D522" s="487">
        <v>29</v>
      </c>
      <c r="E522" s="122" t="s">
        <v>521</v>
      </c>
      <c r="F522" s="495"/>
      <c r="G522" s="492"/>
      <c r="H522" s="492"/>
      <c r="I522" s="492"/>
      <c r="J522" s="492"/>
      <c r="K522" s="492"/>
      <c r="L522" s="492"/>
      <c r="M522" s="493"/>
      <c r="N522" s="130"/>
      <c r="O522" s="130"/>
      <c r="P522" s="195"/>
    </row>
    <row r="523" spans="3:16" s="258" customFormat="1" ht="15" customHeight="1">
      <c r="C523" s="508"/>
      <c r="D523" s="487">
        <v>30</v>
      </c>
      <c r="E523" s="122" t="s">
        <v>521</v>
      </c>
      <c r="F523" s="495"/>
      <c r="G523" s="492"/>
      <c r="H523" s="492"/>
      <c r="I523" s="492"/>
      <c r="J523" s="492"/>
      <c r="K523" s="492"/>
      <c r="L523" s="492"/>
      <c r="M523" s="493"/>
      <c r="N523" s="130"/>
      <c r="O523" s="130"/>
      <c r="P523" s="157"/>
    </row>
    <row r="524" spans="3:16" s="258" customFormat="1" ht="15" customHeight="1">
      <c r="C524" s="508"/>
      <c r="D524" s="487">
        <v>31</v>
      </c>
      <c r="E524" s="122" t="s">
        <v>729</v>
      </c>
      <c r="F524" s="495"/>
      <c r="G524" s="492"/>
      <c r="H524" s="492"/>
      <c r="I524" s="492"/>
      <c r="J524" s="492"/>
      <c r="K524" s="492"/>
      <c r="L524" s="492"/>
      <c r="M524" s="493"/>
      <c r="N524" s="130"/>
      <c r="O524" s="130"/>
      <c r="P524" s="195"/>
    </row>
    <row r="525" spans="3:16" s="258" customFormat="1" ht="15" customHeight="1">
      <c r="C525" s="508"/>
      <c r="D525" s="487">
        <v>32</v>
      </c>
      <c r="E525" s="122" t="s">
        <v>10</v>
      </c>
      <c r="F525" s="495"/>
      <c r="G525" s="492"/>
      <c r="H525" s="492"/>
      <c r="I525" s="492"/>
      <c r="J525" s="492"/>
      <c r="K525" s="492"/>
      <c r="L525" s="492"/>
      <c r="M525" s="519"/>
      <c r="N525" s="130"/>
      <c r="O525" s="130"/>
      <c r="P525" s="195"/>
    </row>
    <row r="526" spans="3:16" s="258" customFormat="1" ht="15" customHeight="1">
      <c r="C526" s="508"/>
      <c r="D526" s="483"/>
      <c r="E526" s="124" t="s">
        <v>176</v>
      </c>
      <c r="F526" s="488"/>
      <c r="G526" s="489"/>
      <c r="H526" s="489"/>
      <c r="I526" s="489"/>
      <c r="J526" s="489"/>
      <c r="K526" s="507"/>
      <c r="L526" s="489"/>
      <c r="M526" s="490"/>
      <c r="N526" s="474"/>
      <c r="O526" s="494"/>
      <c r="P526" s="195"/>
    </row>
    <row r="527" spans="3:16" s="258" customFormat="1" ht="15" customHeight="1">
      <c r="C527" s="508"/>
      <c r="D527" s="487">
        <v>33</v>
      </c>
      <c r="E527" s="122" t="s">
        <v>176</v>
      </c>
      <c r="F527" s="491"/>
      <c r="G527" s="492"/>
      <c r="H527" s="492"/>
      <c r="I527" s="492"/>
      <c r="J527" s="492"/>
      <c r="K527" s="492"/>
      <c r="L527" s="492"/>
      <c r="M527" s="493"/>
      <c r="N527" s="130"/>
      <c r="O527" s="130"/>
      <c r="P527" s="195"/>
    </row>
    <row r="528" spans="3:16" s="258" customFormat="1" ht="15" customHeight="1">
      <c r="C528" s="508"/>
      <c r="D528" s="487">
        <v>34</v>
      </c>
      <c r="E528" s="122" t="s">
        <v>191</v>
      </c>
      <c r="F528" s="491"/>
      <c r="G528" s="492"/>
      <c r="H528" s="492"/>
      <c r="I528" s="492"/>
      <c r="J528" s="492"/>
      <c r="K528" s="492"/>
      <c r="L528" s="492"/>
      <c r="M528" s="493"/>
      <c r="N528" s="130"/>
      <c r="O528" s="130"/>
      <c r="P528" s="195"/>
    </row>
    <row r="529" spans="3:16" s="258" customFormat="1" ht="15" customHeight="1">
      <c r="C529" s="498"/>
      <c r="D529" s="483"/>
      <c r="E529" s="124" t="s">
        <v>302</v>
      </c>
      <c r="F529" s="488"/>
      <c r="G529" s="489"/>
      <c r="H529" s="489"/>
      <c r="I529" s="489"/>
      <c r="J529" s="489"/>
      <c r="K529" s="507"/>
      <c r="L529" s="489"/>
      <c r="M529" s="490"/>
      <c r="N529" s="474"/>
      <c r="O529" s="494"/>
      <c r="P529" s="195"/>
    </row>
    <row r="530" spans="3:16" s="258" customFormat="1" ht="15" customHeight="1">
      <c r="C530" s="498"/>
      <c r="D530" s="487">
        <v>35</v>
      </c>
      <c r="E530" s="206">
        <v>42460</v>
      </c>
      <c r="F530" s="495"/>
      <c r="G530" s="492"/>
      <c r="H530" s="492"/>
      <c r="I530" s="492"/>
      <c r="J530" s="492"/>
      <c r="K530" s="492"/>
      <c r="L530" s="492"/>
      <c r="M530" s="493"/>
      <c r="N530" s="130"/>
      <c r="O530" s="130"/>
      <c r="P530" s="195"/>
    </row>
    <row r="531" spans="3:16" s="258" customFormat="1" ht="15" customHeight="1">
      <c r="C531" s="498"/>
      <c r="D531" s="487">
        <v>36</v>
      </c>
      <c r="E531" s="206">
        <v>42825</v>
      </c>
      <c r="F531" s="495"/>
      <c r="G531" s="492"/>
      <c r="H531" s="492"/>
      <c r="I531" s="492"/>
      <c r="J531" s="492"/>
      <c r="K531" s="492"/>
      <c r="L531" s="492"/>
      <c r="M531" s="493"/>
      <c r="N531" s="130"/>
      <c r="O531" s="130"/>
      <c r="P531" s="195"/>
    </row>
    <row r="532" spans="3:16" s="258" customFormat="1" ht="15" customHeight="1">
      <c r="C532" s="498"/>
      <c r="D532" s="487">
        <v>37</v>
      </c>
      <c r="E532" s="206">
        <v>43190</v>
      </c>
      <c r="F532" s="495"/>
      <c r="G532" s="492"/>
      <c r="H532" s="492"/>
      <c r="I532" s="492"/>
      <c r="J532" s="492"/>
      <c r="K532" s="492"/>
      <c r="L532" s="492"/>
      <c r="M532" s="493"/>
      <c r="N532" s="130"/>
      <c r="O532" s="130"/>
      <c r="P532" s="195"/>
    </row>
    <row r="533" spans="3:16" s="258" customFormat="1" ht="15" customHeight="1">
      <c r="C533" s="498"/>
      <c r="D533" s="487">
        <v>38</v>
      </c>
      <c r="E533" s="206">
        <v>43555</v>
      </c>
      <c r="F533" s="495"/>
      <c r="G533" s="492"/>
      <c r="H533" s="492"/>
      <c r="I533" s="492"/>
      <c r="J533" s="492"/>
      <c r="K533" s="492"/>
      <c r="L533" s="492"/>
      <c r="M533" s="493"/>
      <c r="N533" s="130"/>
      <c r="O533" s="130"/>
      <c r="P533" s="157"/>
    </row>
    <row r="534" spans="3:16" s="258" customFormat="1" ht="15" customHeight="1">
      <c r="C534" s="498"/>
      <c r="D534" s="487">
        <v>39</v>
      </c>
      <c r="E534" s="206">
        <v>43921</v>
      </c>
      <c r="F534" s="495"/>
      <c r="G534" s="492"/>
      <c r="H534" s="492"/>
      <c r="I534" s="492"/>
      <c r="J534" s="492"/>
      <c r="K534" s="492"/>
      <c r="L534" s="492"/>
      <c r="M534" s="493"/>
      <c r="N534" s="130"/>
      <c r="O534" s="130"/>
      <c r="P534" s="157"/>
    </row>
    <row r="535" spans="3:16" s="258" customFormat="1" ht="15" customHeight="1">
      <c r="C535" s="498"/>
      <c r="D535" s="487">
        <v>40</v>
      </c>
      <c r="E535" s="206">
        <v>44286</v>
      </c>
      <c r="F535" s="495"/>
      <c r="G535" s="492"/>
      <c r="H535" s="492"/>
      <c r="I535" s="492"/>
      <c r="J535" s="492"/>
      <c r="K535" s="492"/>
      <c r="L535" s="492"/>
      <c r="M535" s="493"/>
      <c r="N535" s="130"/>
      <c r="O535" s="130"/>
      <c r="P535" s="157"/>
    </row>
    <row r="536" spans="3:16" s="258" customFormat="1" ht="15" customHeight="1">
      <c r="C536" s="498"/>
      <c r="D536" s="487">
        <v>41</v>
      </c>
      <c r="E536" s="206">
        <v>44651</v>
      </c>
      <c r="F536" s="495"/>
      <c r="G536" s="492"/>
      <c r="H536" s="492"/>
      <c r="I536" s="492"/>
      <c r="J536" s="492"/>
      <c r="K536" s="492"/>
      <c r="L536" s="492"/>
      <c r="M536" s="493"/>
      <c r="N536" s="130"/>
      <c r="O536" s="130"/>
      <c r="P536" s="157"/>
    </row>
    <row r="537" spans="3:16" s="258" customFormat="1" ht="15" customHeight="1">
      <c r="C537" s="498"/>
      <c r="D537" s="487">
        <v>42</v>
      </c>
      <c r="E537" s="206">
        <v>45016</v>
      </c>
      <c r="F537" s="495"/>
      <c r="G537" s="492"/>
      <c r="H537" s="492"/>
      <c r="I537" s="492"/>
      <c r="J537" s="492"/>
      <c r="K537" s="492"/>
      <c r="L537" s="492"/>
      <c r="M537" s="493"/>
      <c r="N537" s="130"/>
      <c r="O537" s="130"/>
      <c r="P537" s="157"/>
    </row>
    <row r="538" spans="3:16" s="258" customFormat="1" ht="15" customHeight="1">
      <c r="C538" s="498"/>
      <c r="D538" s="483"/>
      <c r="E538" s="124" t="s">
        <v>506</v>
      </c>
      <c r="F538" s="488"/>
      <c r="G538" s="489"/>
      <c r="H538" s="489"/>
      <c r="I538" s="489"/>
      <c r="J538" s="489"/>
      <c r="K538" s="507"/>
      <c r="L538" s="489"/>
      <c r="M538" s="490"/>
      <c r="N538" s="474"/>
      <c r="O538" s="494"/>
      <c r="P538" s="157"/>
    </row>
    <row r="539" spans="3:16" s="258" customFormat="1" ht="15" customHeight="1">
      <c r="C539" s="498"/>
      <c r="D539" s="487">
        <v>43</v>
      </c>
      <c r="E539" s="206">
        <v>42460</v>
      </c>
      <c r="F539" s="495"/>
      <c r="G539" s="492"/>
      <c r="H539" s="492"/>
      <c r="I539" s="492"/>
      <c r="J539" s="492"/>
      <c r="K539" s="492"/>
      <c r="L539" s="492"/>
      <c r="M539" s="493"/>
      <c r="N539" s="130"/>
      <c r="O539" s="130"/>
    </row>
    <row r="540" spans="3:16" s="258" customFormat="1" ht="15" customHeight="1">
      <c r="C540" s="498"/>
      <c r="D540" s="487">
        <v>44</v>
      </c>
      <c r="E540" s="206">
        <v>42825</v>
      </c>
      <c r="F540" s="495"/>
      <c r="G540" s="492"/>
      <c r="H540" s="492"/>
      <c r="I540" s="492"/>
      <c r="J540" s="492"/>
      <c r="K540" s="492"/>
      <c r="L540" s="492"/>
      <c r="M540" s="493"/>
      <c r="N540" s="130"/>
      <c r="O540" s="130"/>
    </row>
    <row r="541" spans="3:16" ht="15" customHeight="1">
      <c r="C541" s="498"/>
      <c r="D541" s="487">
        <v>45</v>
      </c>
      <c r="E541" s="206">
        <v>43190</v>
      </c>
      <c r="F541" s="495"/>
      <c r="G541" s="492"/>
      <c r="H541" s="492"/>
      <c r="I541" s="492"/>
      <c r="J541" s="492"/>
      <c r="K541" s="492"/>
      <c r="L541" s="492"/>
      <c r="M541" s="493"/>
      <c r="N541" s="130"/>
      <c r="O541" s="130"/>
    </row>
    <row r="542" spans="3:16" ht="15" customHeight="1">
      <c r="C542" s="498"/>
      <c r="D542" s="487">
        <v>46</v>
      </c>
      <c r="E542" s="206">
        <v>43555</v>
      </c>
      <c r="F542" s="495"/>
      <c r="G542" s="492"/>
      <c r="H542" s="492"/>
      <c r="I542" s="492"/>
      <c r="J542" s="492"/>
      <c r="K542" s="492"/>
      <c r="L542" s="492"/>
      <c r="M542" s="493"/>
      <c r="N542" s="130"/>
      <c r="O542" s="130"/>
    </row>
    <row r="543" spans="3:16" ht="15" customHeight="1">
      <c r="C543" s="498"/>
      <c r="D543" s="487">
        <v>47</v>
      </c>
      <c r="E543" s="206">
        <v>43921</v>
      </c>
      <c r="F543" s="495"/>
      <c r="G543" s="492"/>
      <c r="H543" s="492"/>
      <c r="I543" s="492"/>
      <c r="J543" s="492"/>
      <c r="K543" s="492"/>
      <c r="L543" s="492"/>
      <c r="M543" s="493"/>
      <c r="N543" s="130"/>
      <c r="O543" s="130"/>
    </row>
    <row r="544" spans="3:16" ht="15" customHeight="1">
      <c r="C544" s="498"/>
      <c r="D544" s="487">
        <v>48</v>
      </c>
      <c r="E544" s="206">
        <v>44286</v>
      </c>
      <c r="F544" s="495"/>
      <c r="G544" s="492"/>
      <c r="H544" s="492"/>
      <c r="I544" s="492"/>
      <c r="J544" s="492"/>
      <c r="K544" s="492"/>
      <c r="L544" s="492"/>
      <c r="M544" s="493"/>
      <c r="N544" s="130"/>
      <c r="O544" s="130"/>
    </row>
    <row r="545" spans="3:15" ht="15" customHeight="1">
      <c r="C545" s="498"/>
      <c r="D545" s="487">
        <v>49</v>
      </c>
      <c r="E545" s="206">
        <v>44651</v>
      </c>
      <c r="F545" s="495"/>
      <c r="G545" s="492"/>
      <c r="H545" s="492"/>
      <c r="I545" s="492"/>
      <c r="J545" s="492"/>
      <c r="K545" s="492"/>
      <c r="L545" s="492"/>
      <c r="M545" s="493"/>
      <c r="N545" s="130"/>
      <c r="O545" s="130"/>
    </row>
    <row r="546" spans="3:15" ht="15" customHeight="1">
      <c r="C546" s="498"/>
      <c r="D546" s="487">
        <v>50</v>
      </c>
      <c r="E546" s="206">
        <v>45016</v>
      </c>
      <c r="F546" s="495"/>
      <c r="G546" s="492"/>
      <c r="H546" s="492"/>
      <c r="I546" s="492"/>
      <c r="J546" s="492"/>
      <c r="K546" s="492"/>
      <c r="L546" s="492"/>
      <c r="M546" s="493"/>
      <c r="N546" s="130"/>
      <c r="O546" s="130"/>
    </row>
    <row r="547" spans="3:15" ht="15" customHeight="1">
      <c r="C547" s="498"/>
      <c r="D547" s="483"/>
      <c r="E547" s="124" t="s">
        <v>518</v>
      </c>
      <c r="F547" s="488"/>
      <c r="G547" s="489"/>
      <c r="H547" s="489"/>
      <c r="I547" s="489"/>
      <c r="J547" s="489"/>
      <c r="K547" s="507"/>
      <c r="L547" s="489"/>
      <c r="M547" s="490"/>
      <c r="N547" s="474"/>
      <c r="O547" s="494"/>
    </row>
    <row r="548" spans="3:15" ht="15" customHeight="1">
      <c r="C548" s="498"/>
      <c r="D548" s="487">
        <v>51</v>
      </c>
      <c r="E548" s="122" t="s">
        <v>489</v>
      </c>
      <c r="F548" s="491"/>
      <c r="G548" s="492"/>
      <c r="H548" s="492"/>
      <c r="I548" s="492"/>
      <c r="J548" s="492"/>
      <c r="K548" s="492"/>
      <c r="L548" s="492"/>
      <c r="M548" s="493"/>
      <c r="N548" s="130"/>
      <c r="O548" s="130"/>
    </row>
    <row r="549" spans="3:15" ht="15" customHeight="1">
      <c r="C549" s="498"/>
      <c r="D549" s="487">
        <v>52</v>
      </c>
      <c r="E549" s="122" t="s">
        <v>490</v>
      </c>
      <c r="F549" s="509"/>
      <c r="G549" s="510"/>
      <c r="H549" s="510"/>
      <c r="I549" s="510"/>
      <c r="J549" s="510"/>
      <c r="K549" s="510"/>
      <c r="L549" s="510"/>
      <c r="M549" s="511"/>
      <c r="N549" s="234"/>
      <c r="O549" s="234"/>
    </row>
    <row r="550" spans="3:15" ht="15" customHeight="1">
      <c r="C550" s="508"/>
      <c r="D550" s="487">
        <v>53</v>
      </c>
      <c r="E550" s="122" t="s">
        <v>465</v>
      </c>
      <c r="F550" s="491"/>
      <c r="G550" s="492"/>
      <c r="H550" s="492"/>
      <c r="I550" s="492"/>
      <c r="J550" s="492"/>
      <c r="K550" s="492"/>
      <c r="L550" s="492"/>
      <c r="M550" s="493"/>
      <c r="N550" s="130"/>
      <c r="O550" s="130"/>
    </row>
    <row r="551" spans="3:15" ht="15" customHeight="1">
      <c r="C551" s="508"/>
      <c r="D551" s="487">
        <v>54</v>
      </c>
      <c r="E551" s="122" t="s">
        <v>491</v>
      </c>
      <c r="F551" s="495"/>
      <c r="G551" s="492"/>
      <c r="H551" s="492"/>
      <c r="I551" s="492"/>
      <c r="J551" s="492"/>
      <c r="K551" s="492"/>
      <c r="L551" s="492"/>
      <c r="M551" s="493"/>
      <c r="N551" s="130"/>
      <c r="O551" s="130"/>
    </row>
    <row r="552" spans="3:15" ht="15" customHeight="1" thickBot="1">
      <c r="C552" s="508"/>
      <c r="D552" s="496">
        <v>55</v>
      </c>
      <c r="E552" s="520" t="s">
        <v>874</v>
      </c>
      <c r="F552" s="515"/>
      <c r="G552" s="497"/>
      <c r="H552" s="497"/>
      <c r="I552" s="497"/>
      <c r="J552" s="497"/>
      <c r="K552" s="497"/>
      <c r="L552" s="497"/>
      <c r="M552" s="512"/>
      <c r="N552" s="514"/>
      <c r="O552" s="514"/>
    </row>
    <row r="553" spans="3:15" ht="15" customHeight="1">
      <c r="C553" s="498"/>
      <c r="D553" s="256"/>
      <c r="E553" s="195"/>
      <c r="F553" s="157"/>
      <c r="G553" s="157"/>
      <c r="H553" s="157"/>
      <c r="I553" s="157"/>
      <c r="J553" s="157"/>
      <c r="K553" s="157"/>
      <c r="L553" s="157"/>
      <c r="M553" s="523"/>
      <c r="N553" s="157"/>
      <c r="O553" s="157"/>
    </row>
    <row r="554" spans="3:15" ht="15" customHeight="1">
      <c r="C554" s="498"/>
      <c r="D554" s="256"/>
      <c r="E554" s="195"/>
      <c r="F554" s="157"/>
      <c r="G554" s="157"/>
      <c r="H554" s="157"/>
      <c r="I554" s="157"/>
      <c r="J554" s="157"/>
      <c r="K554" s="157"/>
      <c r="L554" s="157"/>
      <c r="M554" s="523"/>
      <c r="N554" s="157"/>
      <c r="O554" s="157"/>
    </row>
    <row r="555" spans="3:15" ht="15" customHeight="1">
      <c r="C555" s="498"/>
      <c r="D555" s="256"/>
      <c r="E555" s="195"/>
      <c r="F555" s="157"/>
      <c r="G555" s="157"/>
      <c r="H555" s="157"/>
      <c r="I555" s="157"/>
      <c r="J555" s="157"/>
      <c r="K555" s="157"/>
      <c r="L555" s="157"/>
      <c r="M555" s="523"/>
      <c r="N555" s="157"/>
      <c r="O555" s="157"/>
    </row>
    <row r="556" spans="3:15" ht="15" customHeight="1">
      <c r="C556" s="498"/>
      <c r="D556" s="256"/>
      <c r="E556" s="195"/>
      <c r="F556" s="157"/>
      <c r="G556" s="157"/>
      <c r="H556" s="157"/>
      <c r="I556" s="157"/>
      <c r="J556" s="157"/>
      <c r="K556" s="157"/>
      <c r="L556" s="157"/>
      <c r="M556" s="523"/>
      <c r="N556" s="157"/>
      <c r="O556" s="157"/>
    </row>
    <row r="557" spans="3:15" ht="15" customHeight="1">
      <c r="C557" s="498"/>
      <c r="D557" s="256"/>
      <c r="E557" s="195"/>
      <c r="F557" s="157"/>
      <c r="G557" s="157"/>
      <c r="H557" s="157"/>
      <c r="I557" s="157"/>
      <c r="J557" s="157"/>
      <c r="K557" s="157"/>
      <c r="L557" s="157"/>
      <c r="M557" s="523"/>
      <c r="N557" s="157"/>
      <c r="O557" s="157"/>
    </row>
    <row r="558" spans="3:15" ht="15" customHeight="1">
      <c r="C558" s="517" t="s">
        <v>1028</v>
      </c>
      <c r="D558" s="517"/>
      <c r="E558" s="517"/>
      <c r="F558" s="517"/>
      <c r="G558" s="517"/>
      <c r="H558" s="517"/>
      <c r="I558" s="517"/>
      <c r="J558" s="517"/>
      <c r="K558" s="517"/>
      <c r="L558" s="517"/>
      <c r="M558" s="517"/>
      <c r="N558" s="517"/>
      <c r="O558" s="517"/>
    </row>
    <row r="559" spans="3:15" ht="15" customHeight="1">
      <c r="C559" s="508"/>
      <c r="D559" s="508"/>
      <c r="E559" s="508"/>
      <c r="F559" s="508"/>
      <c r="G559" s="508"/>
      <c r="H559" s="508"/>
      <c r="I559" s="508"/>
      <c r="J559" s="508"/>
      <c r="K559" s="508"/>
      <c r="L559" s="508"/>
      <c r="M559" s="508"/>
      <c r="N559" s="508"/>
      <c r="O559" s="508"/>
    </row>
    <row r="560" spans="3:15" ht="15" customHeight="1">
      <c r="C560" s="508"/>
      <c r="D560" s="479"/>
      <c r="E560" s="479"/>
      <c r="F560" s="480"/>
      <c r="G560" s="480"/>
      <c r="H560" s="480"/>
      <c r="I560" s="480"/>
      <c r="J560" s="480"/>
      <c r="K560" s="480"/>
      <c r="L560" s="480"/>
      <c r="M560" s="480"/>
      <c r="N560" s="479"/>
      <c r="O560" s="479"/>
    </row>
    <row r="561" spans="3:15" ht="15" customHeight="1">
      <c r="C561" s="508"/>
      <c r="D561" s="479"/>
      <c r="E561" s="518" t="s">
        <v>58</v>
      </c>
      <c r="F561" s="518" t="s">
        <v>239</v>
      </c>
      <c r="G561" s="480"/>
      <c r="H561" s="518" t="s">
        <v>39</v>
      </c>
      <c r="I561" s="480"/>
      <c r="J561" s="480"/>
      <c r="K561" s="480"/>
      <c r="L561" s="480"/>
      <c r="M561" s="480"/>
      <c r="N561" s="479"/>
      <c r="O561" s="479"/>
    </row>
    <row r="562" spans="3:15" ht="15" customHeight="1">
      <c r="C562" s="508"/>
      <c r="D562" s="118"/>
      <c r="E562" s="118" t="s">
        <v>1029</v>
      </c>
      <c r="F562" s="388">
        <v>42460</v>
      </c>
      <c r="G562" s="119"/>
      <c r="H562" s="118" t="s">
        <v>1042</v>
      </c>
      <c r="I562" s="119"/>
      <c r="J562" s="119"/>
      <c r="K562" s="119"/>
      <c r="L562" s="119"/>
      <c r="M562" s="119"/>
      <c r="N562" s="118"/>
      <c r="O562" s="118"/>
    </row>
    <row r="563" spans="3:15" ht="15" customHeight="1" thickBot="1">
      <c r="C563" s="508"/>
      <c r="D563" s="508"/>
      <c r="E563" s="508"/>
      <c r="F563" s="508"/>
      <c r="G563" s="478"/>
      <c r="H563" s="508"/>
      <c r="I563" s="508"/>
      <c r="J563" s="508"/>
      <c r="K563" s="508"/>
      <c r="L563" s="508"/>
      <c r="M563" s="508"/>
      <c r="N563" s="508"/>
      <c r="O563" s="508"/>
    </row>
    <row r="564" spans="3:15" ht="15" customHeight="1">
      <c r="C564" s="508"/>
      <c r="D564" s="481"/>
      <c r="E564" s="506" t="s">
        <v>236</v>
      </c>
      <c r="F564" s="499">
        <v>42460</v>
      </c>
      <c r="G564" s="500">
        <v>42825</v>
      </c>
      <c r="H564" s="500">
        <v>43190</v>
      </c>
      <c r="I564" s="500">
        <v>43555</v>
      </c>
      <c r="J564" s="500">
        <v>43921</v>
      </c>
      <c r="K564" s="500">
        <v>44286</v>
      </c>
      <c r="L564" s="500">
        <v>44651</v>
      </c>
      <c r="M564" s="501">
        <v>45016</v>
      </c>
      <c r="N564" s="513" t="s">
        <v>86</v>
      </c>
      <c r="O564" s="502" t="s">
        <v>87</v>
      </c>
    </row>
    <row r="565" spans="3:15" ht="15" customHeight="1">
      <c r="C565" s="508"/>
      <c r="D565" s="482"/>
      <c r="E565" s="122" t="s">
        <v>240</v>
      </c>
      <c r="F565" s="503" t="s">
        <v>844</v>
      </c>
      <c r="G565" s="504" t="s">
        <v>844</v>
      </c>
      <c r="H565" s="504" t="s">
        <v>844</v>
      </c>
      <c r="I565" s="504" t="s">
        <v>844</v>
      </c>
      <c r="J565" s="504" t="s">
        <v>844</v>
      </c>
      <c r="K565" s="504" t="s">
        <v>844</v>
      </c>
      <c r="L565" s="504" t="s">
        <v>844</v>
      </c>
      <c r="M565" s="505" t="s">
        <v>844</v>
      </c>
      <c r="N565" s="192" t="s">
        <v>844</v>
      </c>
      <c r="O565" s="192" t="s">
        <v>844</v>
      </c>
    </row>
    <row r="566" spans="3:15" ht="15" customHeight="1">
      <c r="C566" s="508"/>
      <c r="D566" s="483"/>
      <c r="E566" s="124" t="s">
        <v>69</v>
      </c>
      <c r="F566" s="484"/>
      <c r="G566" s="485"/>
      <c r="H566" s="485"/>
      <c r="I566" s="485"/>
      <c r="J566" s="485"/>
      <c r="K566" s="485"/>
      <c r="L566" s="485"/>
      <c r="M566" s="486"/>
      <c r="N566" s="128"/>
      <c r="O566" s="128"/>
    </row>
    <row r="567" spans="3:15" ht="15" customHeight="1">
      <c r="C567" s="508"/>
      <c r="D567" s="487">
        <v>1</v>
      </c>
      <c r="E567" s="122" t="s">
        <v>213</v>
      </c>
      <c r="F567" s="491">
        <v>177.95034897369345</v>
      </c>
      <c r="G567" s="492">
        <v>176.14983328221237</v>
      </c>
      <c r="H567" s="492">
        <v>172.15416875017985</v>
      </c>
      <c r="I567" s="492">
        <v>166.88049112591008</v>
      </c>
      <c r="J567" s="492">
        <v>171.81021576191236</v>
      </c>
      <c r="K567" s="492">
        <v>164.99823081725953</v>
      </c>
      <c r="L567" s="492">
        <v>154.6606545443021</v>
      </c>
      <c r="M567" s="493">
        <v>148.76651383293608</v>
      </c>
      <c r="N567" s="130">
        <v>1333.3704570884061</v>
      </c>
      <c r="O567" s="130">
        <v>166.67130713605076</v>
      </c>
    </row>
    <row r="568" spans="3:15" ht="15" customHeight="1">
      <c r="C568" s="508"/>
      <c r="D568" s="487">
        <v>2</v>
      </c>
      <c r="E568" s="122" t="s">
        <v>879</v>
      </c>
      <c r="F568" s="491">
        <v>83.741340693502764</v>
      </c>
      <c r="G568" s="492">
        <v>82.894039191629332</v>
      </c>
      <c r="H568" s="492">
        <v>81.01372647067285</v>
      </c>
      <c r="I568" s="492">
        <v>78.531995823957686</v>
      </c>
      <c r="J568" s="492">
        <v>80.851866240899909</v>
      </c>
      <c r="K568" s="492">
        <v>77.646226266945632</v>
      </c>
      <c r="L568" s="492">
        <v>72.781484491436288</v>
      </c>
      <c r="M568" s="493">
        <v>70.007771215499332</v>
      </c>
      <c r="N568" s="130">
        <v>627.46845039454388</v>
      </c>
      <c r="O568" s="130">
        <v>78.433556299317985</v>
      </c>
    </row>
    <row r="569" spans="3:15" ht="15" customHeight="1">
      <c r="C569" s="508"/>
      <c r="D569" s="487">
        <v>3</v>
      </c>
      <c r="E569" s="122" t="s">
        <v>214</v>
      </c>
      <c r="F569" s="491">
        <v>261.69168966719621</v>
      </c>
      <c r="G569" s="492">
        <v>259.0438724738417</v>
      </c>
      <c r="H569" s="492">
        <v>253.1678952208527</v>
      </c>
      <c r="I569" s="492">
        <v>245.41248694986777</v>
      </c>
      <c r="J569" s="492">
        <v>252.66208200281227</v>
      </c>
      <c r="K569" s="492">
        <v>242.64445708420516</v>
      </c>
      <c r="L569" s="492">
        <v>227.44213903573839</v>
      </c>
      <c r="M569" s="493">
        <v>218.77428504843542</v>
      </c>
      <c r="N569" s="130">
        <v>1960.8389074829495</v>
      </c>
      <c r="O569" s="130">
        <v>245.10486343536869</v>
      </c>
    </row>
    <row r="570" spans="3:15" ht="15" customHeight="1">
      <c r="C570" s="508"/>
      <c r="D570" s="483"/>
      <c r="E570" s="124" t="s">
        <v>16</v>
      </c>
      <c r="F570" s="484"/>
      <c r="G570" s="485"/>
      <c r="H570" s="485"/>
      <c r="I570" s="485"/>
      <c r="J570" s="485"/>
      <c r="K570" s="485"/>
      <c r="L570" s="485"/>
      <c r="M570" s="486"/>
      <c r="N570" s="128"/>
      <c r="O570" s="128"/>
    </row>
    <row r="571" spans="3:15" ht="15" customHeight="1">
      <c r="C571" s="508"/>
      <c r="D571" s="487">
        <v>4</v>
      </c>
      <c r="E571" s="122" t="s">
        <v>492</v>
      </c>
      <c r="F571" s="491">
        <v>1484.0996527753409</v>
      </c>
      <c r="G571" s="492">
        <v>1520.762508023899</v>
      </c>
      <c r="H571" s="492">
        <v>1553.376049614099</v>
      </c>
      <c r="I571" s="492">
        <v>1581.6311149113405</v>
      </c>
      <c r="J571" s="492">
        <v>1604.829971816933</v>
      </c>
      <c r="K571" s="492">
        <v>1634.0124199622987</v>
      </c>
      <c r="L571" s="492">
        <v>1658.5206496804312</v>
      </c>
      <c r="M571" s="493">
        <v>1688.6004781102979</v>
      </c>
      <c r="N571" s="130"/>
      <c r="O571" s="130">
        <v>1590.7291056118302</v>
      </c>
    </row>
    <row r="572" spans="3:15" ht="15" customHeight="1">
      <c r="C572" s="508"/>
      <c r="D572" s="487">
        <v>5</v>
      </c>
      <c r="E572" s="122" t="s">
        <v>122</v>
      </c>
      <c r="F572" s="491">
        <v>0</v>
      </c>
      <c r="G572" s="492">
        <v>0</v>
      </c>
      <c r="H572" s="492">
        <v>0</v>
      </c>
      <c r="I572" s="492">
        <v>0</v>
      </c>
      <c r="J572" s="492">
        <v>0</v>
      </c>
      <c r="K572" s="492">
        <v>0</v>
      </c>
      <c r="L572" s="492">
        <v>0</v>
      </c>
      <c r="M572" s="493">
        <v>0</v>
      </c>
      <c r="N572" s="130">
        <v>0</v>
      </c>
      <c r="O572" s="130">
        <v>0</v>
      </c>
    </row>
    <row r="573" spans="3:15" ht="15" customHeight="1">
      <c r="C573" s="508"/>
      <c r="D573" s="487">
        <v>6</v>
      </c>
      <c r="E573" s="122" t="s">
        <v>493</v>
      </c>
      <c r="F573" s="491">
        <v>1484.0996527753409</v>
      </c>
      <c r="G573" s="492">
        <v>1520.762508023899</v>
      </c>
      <c r="H573" s="492">
        <v>1553.376049614099</v>
      </c>
      <c r="I573" s="492">
        <v>1581.6311149113405</v>
      </c>
      <c r="J573" s="492">
        <v>1604.829971816933</v>
      </c>
      <c r="K573" s="492">
        <v>1634.0124199622987</v>
      </c>
      <c r="L573" s="492">
        <v>1658.5206496804312</v>
      </c>
      <c r="M573" s="493">
        <v>1688.6004781102979</v>
      </c>
      <c r="N573" s="130"/>
      <c r="O573" s="130">
        <v>1590.7291056118302</v>
      </c>
    </row>
    <row r="574" spans="3:15" ht="15" customHeight="1">
      <c r="C574" s="508"/>
      <c r="D574" s="487">
        <v>7</v>
      </c>
      <c r="E574" s="122" t="s">
        <v>215</v>
      </c>
      <c r="F574" s="491">
        <v>177.95034897369345</v>
      </c>
      <c r="G574" s="492">
        <v>176.14983328221237</v>
      </c>
      <c r="H574" s="492">
        <v>172.15416875017985</v>
      </c>
      <c r="I574" s="492">
        <v>166.88049112591008</v>
      </c>
      <c r="J574" s="492">
        <v>171.81021576191236</v>
      </c>
      <c r="K574" s="492">
        <v>164.99823081725953</v>
      </c>
      <c r="L574" s="492">
        <v>154.6606545443021</v>
      </c>
      <c r="M574" s="493">
        <v>148.76651383293608</v>
      </c>
      <c r="N574" s="130">
        <v>1333.3704570884061</v>
      </c>
      <c r="O574" s="130">
        <v>166.67130713605076</v>
      </c>
    </row>
    <row r="575" spans="3:15" ht="15" customHeight="1">
      <c r="C575" s="508"/>
      <c r="D575" s="487">
        <v>8</v>
      </c>
      <c r="E575" s="122" t="s">
        <v>0</v>
      </c>
      <c r="F575" s="491">
        <v>-141.28749372513536</v>
      </c>
      <c r="G575" s="492">
        <v>-143.53629169201236</v>
      </c>
      <c r="H575" s="492">
        <v>-143.89910345293836</v>
      </c>
      <c r="I575" s="492">
        <v>-143.68163422031759</v>
      </c>
      <c r="J575" s="492">
        <v>-142.62776761654675</v>
      </c>
      <c r="K575" s="492">
        <v>-140.49000109912717</v>
      </c>
      <c r="L575" s="492">
        <v>-124.58082611443535</v>
      </c>
      <c r="M575" s="493">
        <v>-124.95324866831363</v>
      </c>
      <c r="N575" s="130">
        <v>-1105.0563665888267</v>
      </c>
      <c r="O575" s="130">
        <v>-138.13204582360333</v>
      </c>
    </row>
    <row r="576" spans="3:15" ht="15" customHeight="1">
      <c r="C576" s="508"/>
      <c r="D576" s="487">
        <v>9</v>
      </c>
      <c r="E576" s="122" t="s">
        <v>17</v>
      </c>
      <c r="F576" s="491">
        <v>1520.762508023899</v>
      </c>
      <c r="G576" s="492">
        <v>1553.376049614099</v>
      </c>
      <c r="H576" s="492">
        <v>1581.6311149113405</v>
      </c>
      <c r="I576" s="492">
        <v>1604.829971816933</v>
      </c>
      <c r="J576" s="492">
        <v>1634.0124199622987</v>
      </c>
      <c r="K576" s="492">
        <v>1658.5206496804312</v>
      </c>
      <c r="L576" s="492">
        <v>1688.6004781102979</v>
      </c>
      <c r="M576" s="493">
        <v>1712.4137432749205</v>
      </c>
      <c r="N576" s="130"/>
      <c r="O576" s="130">
        <v>1619.2683669242776</v>
      </c>
    </row>
    <row r="577" spans="3:15" ht="15" customHeight="1">
      <c r="C577" s="508"/>
      <c r="D577" s="483"/>
      <c r="E577" s="124" t="s">
        <v>301</v>
      </c>
      <c r="F577" s="488"/>
      <c r="G577" s="489"/>
      <c r="H577" s="489"/>
      <c r="I577" s="489"/>
      <c r="J577" s="489"/>
      <c r="K577" s="489"/>
      <c r="L577" s="489"/>
      <c r="M577" s="490"/>
      <c r="N577" s="134"/>
      <c r="O577" s="134"/>
    </row>
    <row r="578" spans="3:15" ht="15" customHeight="1">
      <c r="C578" s="508"/>
      <c r="D578" s="487">
        <v>10</v>
      </c>
      <c r="E578" s="122" t="s">
        <v>100</v>
      </c>
      <c r="F578" s="491">
        <v>83.741340693502764</v>
      </c>
      <c r="G578" s="492">
        <v>82.894039191629332</v>
      </c>
      <c r="H578" s="492">
        <v>81.01372647067285</v>
      </c>
      <c r="I578" s="492">
        <v>78.531995823957686</v>
      </c>
      <c r="J578" s="492">
        <v>80.851866240899909</v>
      </c>
      <c r="K578" s="492">
        <v>77.646226266945632</v>
      </c>
      <c r="L578" s="492">
        <v>72.781484491436288</v>
      </c>
      <c r="M578" s="493">
        <v>70.007771215499332</v>
      </c>
      <c r="N578" s="130">
        <v>627.46845039454388</v>
      </c>
      <c r="O578" s="130">
        <v>78.433556299317985</v>
      </c>
    </row>
    <row r="579" spans="3:15" ht="15" customHeight="1">
      <c r="C579" s="508"/>
      <c r="D579" s="487">
        <v>11</v>
      </c>
      <c r="E579" s="122" t="s">
        <v>740</v>
      </c>
      <c r="F579" s="491">
        <v>56.254035896503026</v>
      </c>
      <c r="G579" s="492">
        <v>59.804035896503024</v>
      </c>
      <c r="H579" s="492">
        <v>63.09736922983636</v>
      </c>
      <c r="I579" s="492">
        <v>68.810702563169684</v>
      </c>
      <c r="J579" s="492">
        <v>75.064035896503029</v>
      </c>
      <c r="K579" s="492">
        <v>77.830702563169694</v>
      </c>
      <c r="L579" s="492">
        <v>79.128493627741165</v>
      </c>
      <c r="M579" s="493">
        <v>79.638493627741155</v>
      </c>
      <c r="N579" s="130">
        <v>559.62786930116704</v>
      </c>
      <c r="O579" s="130">
        <v>69.95348366264588</v>
      </c>
    </row>
    <row r="580" spans="3:15" ht="15" customHeight="1">
      <c r="C580" s="508"/>
      <c r="D580" s="487">
        <v>12</v>
      </c>
      <c r="E580" s="122" t="s">
        <v>67</v>
      </c>
      <c r="F580" s="491">
        <v>141.28749372513536</v>
      </c>
      <c r="G580" s="492">
        <v>143.53629169201236</v>
      </c>
      <c r="H580" s="492">
        <v>143.89910345293836</v>
      </c>
      <c r="I580" s="492">
        <v>143.68163422031759</v>
      </c>
      <c r="J580" s="492">
        <v>142.62776761654675</v>
      </c>
      <c r="K580" s="492">
        <v>140.49000109912717</v>
      </c>
      <c r="L580" s="492">
        <v>124.58082611443535</v>
      </c>
      <c r="M580" s="493">
        <v>124.95324866831363</v>
      </c>
      <c r="N580" s="130">
        <v>1105.0563665888267</v>
      </c>
      <c r="O580" s="130">
        <v>138.13204582360333</v>
      </c>
    </row>
    <row r="581" spans="3:15" ht="15" customHeight="1">
      <c r="C581" s="508"/>
      <c r="D581" s="487">
        <v>13</v>
      </c>
      <c r="E581" s="122" t="s">
        <v>19</v>
      </c>
      <c r="F581" s="491">
        <v>57.0187607328807</v>
      </c>
      <c r="G581" s="492">
        <v>58.335077539772904</v>
      </c>
      <c r="H581" s="492">
        <v>59.491926721808518</v>
      </c>
      <c r="I581" s="492">
        <v>60.470337450816302</v>
      </c>
      <c r="J581" s="492">
        <v>61.462374301828667</v>
      </c>
      <c r="K581" s="492">
        <v>62.483100857536968</v>
      </c>
      <c r="L581" s="492">
        <v>63.517170008187229</v>
      </c>
      <c r="M581" s="493">
        <v>64.542311806880534</v>
      </c>
      <c r="N581" s="130">
        <v>487.32105941971184</v>
      </c>
      <c r="O581" s="130">
        <v>60.91513242746398</v>
      </c>
    </row>
    <row r="582" spans="3:15" ht="15" customHeight="1">
      <c r="C582" s="508"/>
      <c r="D582" s="487">
        <v>14</v>
      </c>
      <c r="E582" s="122" t="s">
        <v>105</v>
      </c>
      <c r="F582" s="491">
        <v>0</v>
      </c>
      <c r="G582" s="492">
        <v>0</v>
      </c>
      <c r="H582" s="492">
        <v>0</v>
      </c>
      <c r="I582" s="492">
        <v>0</v>
      </c>
      <c r="J582" s="492">
        <v>0</v>
      </c>
      <c r="K582" s="492">
        <v>0</v>
      </c>
      <c r="L582" s="492">
        <v>0</v>
      </c>
      <c r="M582" s="493">
        <v>0</v>
      </c>
      <c r="N582" s="130">
        <v>0</v>
      </c>
      <c r="O582" s="130">
        <v>0</v>
      </c>
    </row>
    <row r="583" spans="3:15" ht="15" customHeight="1">
      <c r="C583" s="508"/>
      <c r="D583" s="487">
        <v>15</v>
      </c>
      <c r="E583" s="122" t="s">
        <v>23</v>
      </c>
      <c r="F583" s="491">
        <v>0</v>
      </c>
      <c r="G583" s="492">
        <v>0</v>
      </c>
      <c r="H583" s="492">
        <v>0</v>
      </c>
      <c r="I583" s="492">
        <v>0</v>
      </c>
      <c r="J583" s="492">
        <v>0</v>
      </c>
      <c r="K583" s="492">
        <v>0</v>
      </c>
      <c r="L583" s="492">
        <v>0</v>
      </c>
      <c r="M583" s="493">
        <v>0</v>
      </c>
      <c r="N583" s="130">
        <v>0</v>
      </c>
      <c r="O583" s="130">
        <v>0</v>
      </c>
    </row>
    <row r="584" spans="3:15" ht="15" customHeight="1">
      <c r="C584" s="508"/>
      <c r="D584" s="487">
        <v>16</v>
      </c>
      <c r="E584" s="122" t="s">
        <v>220</v>
      </c>
      <c r="F584" s="491">
        <v>19.899464690328365</v>
      </c>
      <c r="G584" s="492">
        <v>21.44487812269022</v>
      </c>
      <c r="H584" s="492">
        <v>26.168857345162877</v>
      </c>
      <c r="I584" s="492">
        <v>30.241249084268887</v>
      </c>
      <c r="J584" s="492">
        <v>29.888349925445254</v>
      </c>
      <c r="K584" s="492">
        <v>38.636871161585162</v>
      </c>
      <c r="L584" s="492">
        <v>63.51669496908869</v>
      </c>
      <c r="M584" s="493">
        <v>70.660939399915605</v>
      </c>
      <c r="N584" s="130">
        <v>300.45730469848507</v>
      </c>
      <c r="O584" s="130">
        <v>37.557163087310634</v>
      </c>
    </row>
    <row r="585" spans="3:15" ht="15" customHeight="1">
      <c r="C585" s="508"/>
      <c r="D585" s="487">
        <v>17</v>
      </c>
      <c r="E585" s="122" t="s">
        <v>7</v>
      </c>
      <c r="F585" s="491">
        <v>23.761950110041212</v>
      </c>
      <c r="G585" s="492">
        <v>22.797956790899274</v>
      </c>
      <c r="H585" s="492">
        <v>22.15141254771201</v>
      </c>
      <c r="I585" s="492">
        <v>21.255446856947941</v>
      </c>
      <c r="J585" s="492">
        <v>20.411652025706463</v>
      </c>
      <c r="K585" s="492">
        <v>20.682246401666344</v>
      </c>
      <c r="L585" s="492">
        <v>21.847464560738597</v>
      </c>
      <c r="M585" s="493">
        <v>23.273373034623081</v>
      </c>
      <c r="N585" s="130">
        <v>176.18150232833491</v>
      </c>
      <c r="O585" s="130">
        <v>22.022687791041864</v>
      </c>
    </row>
    <row r="586" spans="3:15" ht="15" customHeight="1">
      <c r="C586" s="508"/>
      <c r="D586" s="483"/>
      <c r="E586" s="124" t="s">
        <v>167</v>
      </c>
      <c r="F586" s="488"/>
      <c r="G586" s="489"/>
      <c r="H586" s="489"/>
      <c r="I586" s="489"/>
      <c r="J586" s="489"/>
      <c r="K586" s="489"/>
      <c r="L586" s="489"/>
      <c r="M586" s="490"/>
      <c r="N586" s="134"/>
      <c r="O586" s="134"/>
    </row>
    <row r="587" spans="3:15" ht="15" customHeight="1">
      <c r="C587" s="508"/>
      <c r="D587" s="487">
        <v>18</v>
      </c>
      <c r="E587" s="122" t="s">
        <v>100</v>
      </c>
      <c r="F587" s="491">
        <v>83.741340693502764</v>
      </c>
      <c r="G587" s="492">
        <v>82.894039191629332</v>
      </c>
      <c r="H587" s="492">
        <v>81.01372647067285</v>
      </c>
      <c r="I587" s="492">
        <v>78.531995823957686</v>
      </c>
      <c r="J587" s="492">
        <v>80.851866240899909</v>
      </c>
      <c r="K587" s="492">
        <v>77.646226266945632</v>
      </c>
      <c r="L587" s="492">
        <v>72.781484491436288</v>
      </c>
      <c r="M587" s="493">
        <v>70.007771215499332</v>
      </c>
      <c r="N587" s="130">
        <v>627.46845039454388</v>
      </c>
      <c r="O587" s="130">
        <v>78.433556299317985</v>
      </c>
    </row>
    <row r="588" spans="3:15" ht="15" customHeight="1">
      <c r="C588" s="508"/>
      <c r="D588" s="487">
        <v>19</v>
      </c>
      <c r="E588" s="122" t="s">
        <v>740</v>
      </c>
      <c r="F588" s="491">
        <v>56.254035896503026</v>
      </c>
      <c r="G588" s="492">
        <v>59.804035896503024</v>
      </c>
      <c r="H588" s="492">
        <v>63.09736922983636</v>
      </c>
      <c r="I588" s="492">
        <v>68.810702563169684</v>
      </c>
      <c r="J588" s="492">
        <v>75.064035896503029</v>
      </c>
      <c r="K588" s="492">
        <v>77.830702563169694</v>
      </c>
      <c r="L588" s="492">
        <v>79.128493627741165</v>
      </c>
      <c r="M588" s="493">
        <v>79.638493627741155</v>
      </c>
      <c r="N588" s="130">
        <v>559.62786930116704</v>
      </c>
      <c r="O588" s="130">
        <v>69.95348366264588</v>
      </c>
    </row>
    <row r="589" spans="3:15" ht="15" customHeight="1">
      <c r="C589" s="508"/>
      <c r="D589" s="487">
        <v>20</v>
      </c>
      <c r="E589" s="122" t="s">
        <v>67</v>
      </c>
      <c r="F589" s="491">
        <v>141.28749372513536</v>
      </c>
      <c r="G589" s="492">
        <v>143.53629169201236</v>
      </c>
      <c r="H589" s="492">
        <v>143.89910345293836</v>
      </c>
      <c r="I589" s="492">
        <v>143.68163422031759</v>
      </c>
      <c r="J589" s="492">
        <v>142.62776761654675</v>
      </c>
      <c r="K589" s="492">
        <v>140.49000109912717</v>
      </c>
      <c r="L589" s="492">
        <v>124.58082611443535</v>
      </c>
      <c r="M589" s="493">
        <v>124.95324866831363</v>
      </c>
      <c r="N589" s="130">
        <v>1105.0563665888267</v>
      </c>
      <c r="O589" s="130">
        <v>138.13204582360333</v>
      </c>
    </row>
    <row r="590" spans="3:15" ht="15" customHeight="1">
      <c r="C590" s="508"/>
      <c r="D590" s="487">
        <v>21</v>
      </c>
      <c r="E590" s="122" t="s">
        <v>19</v>
      </c>
      <c r="F590" s="491">
        <v>57.0187607328807</v>
      </c>
      <c r="G590" s="492">
        <v>58.335077539772904</v>
      </c>
      <c r="H590" s="492">
        <v>59.491926721808518</v>
      </c>
      <c r="I590" s="492">
        <v>60.470337450816302</v>
      </c>
      <c r="J590" s="492">
        <v>61.462374301828667</v>
      </c>
      <c r="K590" s="492">
        <v>62.483100857536968</v>
      </c>
      <c r="L590" s="492">
        <v>63.517170008187229</v>
      </c>
      <c r="M590" s="493">
        <v>64.542311806880534</v>
      </c>
      <c r="N590" s="130">
        <v>487.32105941971184</v>
      </c>
      <c r="O590" s="130">
        <v>60.91513242746398</v>
      </c>
    </row>
    <row r="591" spans="3:15" ht="15" customHeight="1">
      <c r="C591" s="508"/>
      <c r="D591" s="487">
        <v>22</v>
      </c>
      <c r="E591" s="122" t="s">
        <v>105</v>
      </c>
      <c r="F591" s="491">
        <v>0</v>
      </c>
      <c r="G591" s="492">
        <v>0</v>
      </c>
      <c r="H591" s="492">
        <v>0</v>
      </c>
      <c r="I591" s="492">
        <v>0</v>
      </c>
      <c r="J591" s="492">
        <v>0</v>
      </c>
      <c r="K591" s="492">
        <v>0</v>
      </c>
      <c r="L591" s="492">
        <v>0</v>
      </c>
      <c r="M591" s="493">
        <v>0</v>
      </c>
      <c r="N591" s="130">
        <v>0</v>
      </c>
      <c r="O591" s="130">
        <v>0</v>
      </c>
    </row>
    <row r="592" spans="3:15" ht="15" customHeight="1">
      <c r="C592" s="508"/>
      <c r="D592" s="487">
        <v>23</v>
      </c>
      <c r="E592" s="122" t="s">
        <v>23</v>
      </c>
      <c r="F592" s="491">
        <v>0</v>
      </c>
      <c r="G592" s="492">
        <v>0</v>
      </c>
      <c r="H592" s="492">
        <v>0</v>
      </c>
      <c r="I592" s="492">
        <v>0</v>
      </c>
      <c r="J592" s="492">
        <v>0</v>
      </c>
      <c r="K592" s="492">
        <v>0</v>
      </c>
      <c r="L592" s="492">
        <v>0</v>
      </c>
      <c r="M592" s="493">
        <v>0</v>
      </c>
      <c r="N592" s="130">
        <v>0</v>
      </c>
      <c r="O592" s="130">
        <v>0</v>
      </c>
    </row>
    <row r="593" spans="3:15" ht="15" customHeight="1">
      <c r="C593" s="508"/>
      <c r="D593" s="487">
        <v>24</v>
      </c>
      <c r="E593" s="122" t="s">
        <v>220</v>
      </c>
      <c r="F593" s="491">
        <v>19.899464690328365</v>
      </c>
      <c r="G593" s="492">
        <v>21.44487812269022</v>
      </c>
      <c r="H593" s="492">
        <v>26.168857345162877</v>
      </c>
      <c r="I593" s="492">
        <v>30.241249084268887</v>
      </c>
      <c r="J593" s="492">
        <v>29.888349925445254</v>
      </c>
      <c r="K593" s="492">
        <v>38.636871161585162</v>
      </c>
      <c r="L593" s="492">
        <v>63.51669496908869</v>
      </c>
      <c r="M593" s="493">
        <v>70.660939399915605</v>
      </c>
      <c r="N593" s="130">
        <v>300.45730469848507</v>
      </c>
      <c r="O593" s="130">
        <v>37.557163087310634</v>
      </c>
    </row>
    <row r="594" spans="3:15" ht="15" customHeight="1">
      <c r="C594" s="508"/>
      <c r="D594" s="487">
        <v>25</v>
      </c>
      <c r="E594" s="122" t="s">
        <v>7</v>
      </c>
      <c r="F594" s="491">
        <v>23.761950110041212</v>
      </c>
      <c r="G594" s="492">
        <v>22.797956790899274</v>
      </c>
      <c r="H594" s="492">
        <v>22.15141254771201</v>
      </c>
      <c r="I594" s="492">
        <v>21.255446856947941</v>
      </c>
      <c r="J594" s="492">
        <v>20.411652025706463</v>
      </c>
      <c r="K594" s="492">
        <v>20.682246401666344</v>
      </c>
      <c r="L594" s="492">
        <v>21.847464560738597</v>
      </c>
      <c r="M594" s="493">
        <v>23.273373034623081</v>
      </c>
      <c r="N594" s="130">
        <v>176.18150232833491</v>
      </c>
      <c r="O594" s="130">
        <v>22.022687791041864</v>
      </c>
    </row>
    <row r="595" spans="3:15" ht="15" customHeight="1">
      <c r="C595" s="508"/>
      <c r="D595" s="483"/>
      <c r="E595" s="124" t="s">
        <v>20</v>
      </c>
      <c r="F595" s="488"/>
      <c r="G595" s="489"/>
      <c r="H595" s="489"/>
      <c r="I595" s="489"/>
      <c r="J595" s="489"/>
      <c r="K595" s="489"/>
      <c r="L595" s="489"/>
      <c r="M595" s="490"/>
      <c r="N595" s="474"/>
      <c r="O595" s="494"/>
    </row>
    <row r="596" spans="3:15" ht="15" customHeight="1">
      <c r="C596" s="508"/>
      <c r="D596" s="487">
        <v>26</v>
      </c>
      <c r="E596" s="122" t="s">
        <v>505</v>
      </c>
      <c r="F596" s="491">
        <v>381.96304584839146</v>
      </c>
      <c r="G596" s="492">
        <v>388.81227923350707</v>
      </c>
      <c r="H596" s="492">
        <v>395.822395768131</v>
      </c>
      <c r="I596" s="492">
        <v>402.99136599947815</v>
      </c>
      <c r="J596" s="492">
        <v>410.3060460069301</v>
      </c>
      <c r="K596" s="492">
        <v>417.76914835003095</v>
      </c>
      <c r="L596" s="492">
        <v>425.37213377162738</v>
      </c>
      <c r="M596" s="493">
        <v>433.07613775297335</v>
      </c>
      <c r="N596" s="130">
        <v>3256.1125527310692</v>
      </c>
      <c r="O596" s="130">
        <v>407.01406909138365</v>
      </c>
    </row>
    <row r="597" spans="3:15" ht="15" customHeight="1">
      <c r="C597" s="508"/>
      <c r="D597" s="487">
        <v>27</v>
      </c>
      <c r="E597" s="122" t="s">
        <v>60</v>
      </c>
      <c r="F597" s="491">
        <v>0</v>
      </c>
      <c r="G597" s="492">
        <v>0</v>
      </c>
      <c r="H597" s="492">
        <v>0</v>
      </c>
      <c r="I597" s="492">
        <v>0</v>
      </c>
      <c r="J597" s="492">
        <v>0</v>
      </c>
      <c r="K597" s="492">
        <v>0</v>
      </c>
      <c r="L597" s="492">
        <v>0</v>
      </c>
      <c r="M597" s="493">
        <v>0</v>
      </c>
      <c r="N597" s="130">
        <v>0</v>
      </c>
      <c r="O597" s="130">
        <v>0</v>
      </c>
    </row>
    <row r="598" spans="3:15" ht="15" customHeight="1">
      <c r="C598" s="508"/>
      <c r="D598" s="487">
        <v>28</v>
      </c>
      <c r="E598" s="122" t="s">
        <v>45</v>
      </c>
      <c r="F598" s="495">
        <v>381.96304584839146</v>
      </c>
      <c r="G598" s="492">
        <v>388.81227923350707</v>
      </c>
      <c r="H598" s="492">
        <v>395.822395768131</v>
      </c>
      <c r="I598" s="492">
        <v>402.99136599947815</v>
      </c>
      <c r="J598" s="492">
        <v>410.3060460069301</v>
      </c>
      <c r="K598" s="492">
        <v>417.76914835003095</v>
      </c>
      <c r="L598" s="492">
        <v>425.37213377162738</v>
      </c>
      <c r="M598" s="493">
        <v>433.07613775297335</v>
      </c>
      <c r="N598" s="130">
        <v>3256.1125527310692</v>
      </c>
      <c r="O598" s="130">
        <v>407.01406909138365</v>
      </c>
    </row>
    <row r="599" spans="3:15" ht="15" customHeight="1">
      <c r="C599" s="508"/>
      <c r="D599" s="487">
        <v>29</v>
      </c>
      <c r="E599" s="122" t="s">
        <v>521</v>
      </c>
      <c r="F599" s="495"/>
      <c r="G599" s="492"/>
      <c r="H599" s="492"/>
      <c r="I599" s="492"/>
      <c r="J599" s="492"/>
      <c r="K599" s="492"/>
      <c r="L599" s="492"/>
      <c r="M599" s="493"/>
      <c r="N599" s="130"/>
      <c r="O599" s="130"/>
    </row>
    <row r="600" spans="3:15" ht="15" customHeight="1">
      <c r="C600" s="508"/>
      <c r="D600" s="487">
        <v>30</v>
      </c>
      <c r="E600" s="122" t="s">
        <v>521</v>
      </c>
      <c r="F600" s="495"/>
      <c r="G600" s="492"/>
      <c r="H600" s="492"/>
      <c r="I600" s="492"/>
      <c r="J600" s="492"/>
      <c r="K600" s="492"/>
      <c r="L600" s="492"/>
      <c r="M600" s="493"/>
      <c r="N600" s="130"/>
      <c r="O600" s="130"/>
    </row>
    <row r="601" spans="3:15" ht="15" customHeight="1">
      <c r="C601" s="508"/>
      <c r="D601" s="487">
        <v>31</v>
      </c>
      <c r="E601" s="122" t="s">
        <v>729</v>
      </c>
      <c r="F601" s="495">
        <v>0</v>
      </c>
      <c r="G601" s="492">
        <v>0</v>
      </c>
      <c r="H601" s="492">
        <v>0</v>
      </c>
      <c r="I601" s="492">
        <v>0</v>
      </c>
      <c r="J601" s="492">
        <v>0</v>
      </c>
      <c r="K601" s="492">
        <v>0</v>
      </c>
      <c r="L601" s="492">
        <v>0</v>
      </c>
      <c r="M601" s="493">
        <v>0</v>
      </c>
      <c r="N601" s="130">
        <v>0</v>
      </c>
      <c r="O601" s="130">
        <v>0</v>
      </c>
    </row>
    <row r="602" spans="3:15" ht="15" customHeight="1">
      <c r="C602" s="508"/>
      <c r="D602" s="487">
        <v>32</v>
      </c>
      <c r="E602" s="122" t="s">
        <v>10</v>
      </c>
      <c r="F602" s="495">
        <v>381.96304584839146</v>
      </c>
      <c r="G602" s="492">
        <v>388.81227923350707</v>
      </c>
      <c r="H602" s="492">
        <v>395.822395768131</v>
      </c>
      <c r="I602" s="492">
        <v>402.99136599947815</v>
      </c>
      <c r="J602" s="492">
        <v>410.3060460069301</v>
      </c>
      <c r="K602" s="492">
        <v>417.76914835003095</v>
      </c>
      <c r="L602" s="492">
        <v>425.37213377162738</v>
      </c>
      <c r="M602" s="519">
        <v>433.07613775297335</v>
      </c>
      <c r="N602" s="130">
        <v>3256.1125527310692</v>
      </c>
      <c r="O602" s="130">
        <v>407.01406909138365</v>
      </c>
    </row>
    <row r="603" spans="3:15" ht="15" customHeight="1">
      <c r="C603" s="508"/>
      <c r="D603" s="483"/>
      <c r="E603" s="124" t="s">
        <v>176</v>
      </c>
      <c r="F603" s="488"/>
      <c r="G603" s="489"/>
      <c r="H603" s="489"/>
      <c r="I603" s="489"/>
      <c r="J603" s="489"/>
      <c r="K603" s="507"/>
      <c r="L603" s="489"/>
      <c r="M603" s="490"/>
      <c r="N603" s="474"/>
      <c r="O603" s="494"/>
    </row>
    <row r="604" spans="3:15" ht="15" customHeight="1">
      <c r="C604" s="508"/>
      <c r="D604" s="487">
        <v>33</v>
      </c>
      <c r="E604" s="122" t="s">
        <v>176</v>
      </c>
      <c r="F604" s="491">
        <v>381.96304584839146</v>
      </c>
      <c r="G604" s="492">
        <v>388.81227923350707</v>
      </c>
      <c r="H604" s="492">
        <v>395.822395768131</v>
      </c>
      <c r="I604" s="492">
        <v>402.99136599947815</v>
      </c>
      <c r="J604" s="492">
        <v>410.3060460069301</v>
      </c>
      <c r="K604" s="492">
        <v>417.76914835003095</v>
      </c>
      <c r="L604" s="492">
        <v>425.37213377162738</v>
      </c>
      <c r="M604" s="493">
        <v>433.07613775297335</v>
      </c>
      <c r="N604" s="130">
        <v>3256.1125527310692</v>
      </c>
      <c r="O604" s="130">
        <v>407.01406909138365</v>
      </c>
    </row>
    <row r="605" spans="3:15" ht="15" customHeight="1">
      <c r="C605" s="508"/>
      <c r="D605" s="487">
        <v>34</v>
      </c>
      <c r="E605" s="122" t="s">
        <v>191</v>
      </c>
      <c r="F605" s="491">
        <v>0</v>
      </c>
      <c r="G605" s="492">
        <v>0</v>
      </c>
      <c r="H605" s="492">
        <v>0</v>
      </c>
      <c r="I605" s="492">
        <v>0</v>
      </c>
      <c r="J605" s="492">
        <v>0</v>
      </c>
      <c r="K605" s="492">
        <v>0</v>
      </c>
      <c r="L605" s="492">
        <v>0</v>
      </c>
      <c r="M605" s="493">
        <v>0</v>
      </c>
      <c r="N605" s="130">
        <v>0</v>
      </c>
      <c r="O605" s="130">
        <v>0</v>
      </c>
    </row>
    <row r="606" spans="3:15" ht="15" customHeight="1">
      <c r="C606" s="498"/>
      <c r="D606" s="483"/>
      <c r="E606" s="124" t="s">
        <v>302</v>
      </c>
      <c r="F606" s="488"/>
      <c r="G606" s="489"/>
      <c r="H606" s="489"/>
      <c r="I606" s="489"/>
      <c r="J606" s="489"/>
      <c r="K606" s="507"/>
      <c r="L606" s="489"/>
      <c r="M606" s="490"/>
      <c r="N606" s="474"/>
      <c r="O606" s="494"/>
    </row>
    <row r="607" spans="3:15" ht="15" customHeight="1">
      <c r="C607" s="498"/>
      <c r="D607" s="487">
        <v>35</v>
      </c>
      <c r="E607" s="206">
        <v>42460</v>
      </c>
      <c r="F607" s="495">
        <v>381.96304584839146</v>
      </c>
      <c r="G607" s="492">
        <v>388.81227923350707</v>
      </c>
      <c r="H607" s="492">
        <v>395.822395768131</v>
      </c>
      <c r="I607" s="492">
        <v>402.99136599947815</v>
      </c>
      <c r="J607" s="492">
        <v>410.3060460069301</v>
      </c>
      <c r="K607" s="492">
        <v>417.76914835003095</v>
      </c>
      <c r="L607" s="492">
        <v>425.37213377162738</v>
      </c>
      <c r="M607" s="493">
        <v>433.07613775297335</v>
      </c>
      <c r="N607" s="130">
        <v>3256.1125527310692</v>
      </c>
      <c r="O607" s="130">
        <v>407.01406909138365</v>
      </c>
    </row>
    <row r="608" spans="3:15" ht="15" customHeight="1">
      <c r="C608" s="498"/>
      <c r="D608" s="487">
        <v>36</v>
      </c>
      <c r="E608" s="206">
        <v>42825</v>
      </c>
      <c r="F608" s="495" t="s">
        <v>200</v>
      </c>
      <c r="G608" s="492" t="s">
        <v>200</v>
      </c>
      <c r="H608" s="492" t="s">
        <v>200</v>
      </c>
      <c r="I608" s="492" t="s">
        <v>200</v>
      </c>
      <c r="J608" s="492" t="s">
        <v>200</v>
      </c>
      <c r="K608" s="492" t="s">
        <v>200</v>
      </c>
      <c r="L608" s="492" t="s">
        <v>200</v>
      </c>
      <c r="M608" s="493" t="s">
        <v>200</v>
      </c>
      <c r="N608" s="130">
        <v>0</v>
      </c>
      <c r="O608" s="130">
        <v>0</v>
      </c>
    </row>
    <row r="609" spans="3:15" ht="15" customHeight="1">
      <c r="C609" s="498"/>
      <c r="D609" s="487">
        <v>37</v>
      </c>
      <c r="E609" s="206">
        <v>43190</v>
      </c>
      <c r="F609" s="495" t="s">
        <v>200</v>
      </c>
      <c r="G609" s="492" t="s">
        <v>200</v>
      </c>
      <c r="H609" s="492" t="s">
        <v>200</v>
      </c>
      <c r="I609" s="492" t="s">
        <v>200</v>
      </c>
      <c r="J609" s="492" t="s">
        <v>200</v>
      </c>
      <c r="K609" s="492" t="s">
        <v>200</v>
      </c>
      <c r="L609" s="492" t="s">
        <v>200</v>
      </c>
      <c r="M609" s="493" t="s">
        <v>200</v>
      </c>
      <c r="N609" s="130">
        <v>0</v>
      </c>
      <c r="O609" s="130">
        <v>0</v>
      </c>
    </row>
    <row r="610" spans="3:15" ht="15" customHeight="1">
      <c r="C610" s="498"/>
      <c r="D610" s="487">
        <v>38</v>
      </c>
      <c r="E610" s="206">
        <v>43555</v>
      </c>
      <c r="F610" s="495" t="s">
        <v>200</v>
      </c>
      <c r="G610" s="492" t="s">
        <v>200</v>
      </c>
      <c r="H610" s="492" t="s">
        <v>200</v>
      </c>
      <c r="I610" s="492" t="s">
        <v>200</v>
      </c>
      <c r="J610" s="492" t="s">
        <v>200</v>
      </c>
      <c r="K610" s="492" t="s">
        <v>200</v>
      </c>
      <c r="L610" s="492" t="s">
        <v>200</v>
      </c>
      <c r="M610" s="493" t="s">
        <v>200</v>
      </c>
      <c r="N610" s="130">
        <v>0</v>
      </c>
      <c r="O610" s="130">
        <v>0</v>
      </c>
    </row>
    <row r="611" spans="3:15" ht="15" customHeight="1">
      <c r="C611" s="498"/>
      <c r="D611" s="487">
        <v>39</v>
      </c>
      <c r="E611" s="206">
        <v>43921</v>
      </c>
      <c r="F611" s="495" t="s">
        <v>200</v>
      </c>
      <c r="G611" s="492" t="s">
        <v>200</v>
      </c>
      <c r="H611" s="492" t="s">
        <v>200</v>
      </c>
      <c r="I611" s="492" t="s">
        <v>200</v>
      </c>
      <c r="J611" s="492" t="s">
        <v>200</v>
      </c>
      <c r="K611" s="492" t="s">
        <v>200</v>
      </c>
      <c r="L611" s="492" t="s">
        <v>200</v>
      </c>
      <c r="M611" s="493" t="s">
        <v>200</v>
      </c>
      <c r="N611" s="130">
        <v>0</v>
      </c>
      <c r="O611" s="130">
        <v>0</v>
      </c>
    </row>
    <row r="612" spans="3:15" ht="15" customHeight="1">
      <c r="C612" s="498"/>
      <c r="D612" s="487">
        <v>40</v>
      </c>
      <c r="E612" s="206">
        <v>44286</v>
      </c>
      <c r="F612" s="495" t="s">
        <v>200</v>
      </c>
      <c r="G612" s="492" t="s">
        <v>200</v>
      </c>
      <c r="H612" s="492" t="s">
        <v>200</v>
      </c>
      <c r="I612" s="492" t="s">
        <v>200</v>
      </c>
      <c r="J612" s="492" t="s">
        <v>200</v>
      </c>
      <c r="K612" s="492" t="s">
        <v>200</v>
      </c>
      <c r="L612" s="492" t="s">
        <v>200</v>
      </c>
      <c r="M612" s="493" t="s">
        <v>200</v>
      </c>
      <c r="N612" s="130">
        <v>0</v>
      </c>
      <c r="O612" s="130">
        <v>0</v>
      </c>
    </row>
    <row r="613" spans="3:15" ht="15" customHeight="1">
      <c r="C613" s="498"/>
      <c r="D613" s="487">
        <v>41</v>
      </c>
      <c r="E613" s="206">
        <v>44651</v>
      </c>
      <c r="F613" s="495" t="s">
        <v>200</v>
      </c>
      <c r="G613" s="492" t="s">
        <v>200</v>
      </c>
      <c r="H613" s="492" t="s">
        <v>200</v>
      </c>
      <c r="I613" s="492" t="s">
        <v>200</v>
      </c>
      <c r="J613" s="492" t="s">
        <v>200</v>
      </c>
      <c r="K613" s="492" t="s">
        <v>200</v>
      </c>
      <c r="L613" s="492" t="s">
        <v>200</v>
      </c>
      <c r="M613" s="493" t="s">
        <v>200</v>
      </c>
      <c r="N613" s="130">
        <v>0</v>
      </c>
      <c r="O613" s="130">
        <v>0</v>
      </c>
    </row>
    <row r="614" spans="3:15" ht="15" customHeight="1">
      <c r="C614" s="498"/>
      <c r="D614" s="487">
        <v>42</v>
      </c>
      <c r="E614" s="206">
        <v>45016</v>
      </c>
      <c r="F614" s="495" t="s">
        <v>200</v>
      </c>
      <c r="G614" s="492" t="s">
        <v>200</v>
      </c>
      <c r="H614" s="492" t="s">
        <v>200</v>
      </c>
      <c r="I614" s="492" t="s">
        <v>200</v>
      </c>
      <c r="J614" s="492" t="s">
        <v>200</v>
      </c>
      <c r="K614" s="492" t="s">
        <v>200</v>
      </c>
      <c r="L614" s="492" t="s">
        <v>200</v>
      </c>
      <c r="M614" s="493" t="s">
        <v>200</v>
      </c>
      <c r="N614" s="130">
        <v>0</v>
      </c>
      <c r="O614" s="130">
        <v>0</v>
      </c>
    </row>
    <row r="615" spans="3:15" ht="15" customHeight="1">
      <c r="C615" s="498"/>
      <c r="D615" s="483"/>
      <c r="E615" s="124" t="s">
        <v>506</v>
      </c>
      <c r="F615" s="488"/>
      <c r="G615" s="489"/>
      <c r="H615" s="489"/>
      <c r="I615" s="489"/>
      <c r="J615" s="489"/>
      <c r="K615" s="507"/>
      <c r="L615" s="489"/>
      <c r="M615" s="490"/>
      <c r="N615" s="474"/>
      <c r="O615" s="494"/>
    </row>
    <row r="616" spans="3:15" ht="15" customHeight="1">
      <c r="C616" s="498"/>
      <c r="D616" s="487">
        <v>43</v>
      </c>
      <c r="E616" s="206">
        <v>42460</v>
      </c>
      <c r="F616" s="495">
        <v>0</v>
      </c>
      <c r="G616" s="492">
        <v>0</v>
      </c>
      <c r="H616" s="492">
        <v>0</v>
      </c>
      <c r="I616" s="492">
        <v>0</v>
      </c>
      <c r="J616" s="492">
        <v>0</v>
      </c>
      <c r="K616" s="492">
        <v>0</v>
      </c>
      <c r="L616" s="492">
        <v>0</v>
      </c>
      <c r="M616" s="493">
        <v>0</v>
      </c>
      <c r="N616" s="130">
        <v>0</v>
      </c>
      <c r="O616" s="130"/>
    </row>
    <row r="617" spans="3:15" ht="15" customHeight="1">
      <c r="C617" s="498"/>
      <c r="D617" s="487">
        <v>44</v>
      </c>
      <c r="E617" s="206">
        <v>42825</v>
      </c>
      <c r="F617" s="495" t="s">
        <v>200</v>
      </c>
      <c r="G617" s="492" t="s">
        <v>200</v>
      </c>
      <c r="H617" s="492" t="s">
        <v>200</v>
      </c>
      <c r="I617" s="492" t="s">
        <v>200</v>
      </c>
      <c r="J617" s="492" t="s">
        <v>200</v>
      </c>
      <c r="K617" s="492" t="s">
        <v>200</v>
      </c>
      <c r="L617" s="492" t="s">
        <v>200</v>
      </c>
      <c r="M617" s="493" t="s">
        <v>200</v>
      </c>
      <c r="N617" s="130">
        <v>0</v>
      </c>
      <c r="O617" s="130"/>
    </row>
    <row r="618" spans="3:15" ht="15" customHeight="1">
      <c r="C618" s="498"/>
      <c r="D618" s="487">
        <v>45</v>
      </c>
      <c r="E618" s="206">
        <v>43190</v>
      </c>
      <c r="F618" s="495" t="s">
        <v>200</v>
      </c>
      <c r="G618" s="492" t="s">
        <v>200</v>
      </c>
      <c r="H618" s="492" t="s">
        <v>200</v>
      </c>
      <c r="I618" s="492" t="s">
        <v>200</v>
      </c>
      <c r="J618" s="492" t="s">
        <v>200</v>
      </c>
      <c r="K618" s="492" t="s">
        <v>200</v>
      </c>
      <c r="L618" s="492" t="s">
        <v>200</v>
      </c>
      <c r="M618" s="493" t="s">
        <v>200</v>
      </c>
      <c r="N618" s="130">
        <v>0</v>
      </c>
      <c r="O618" s="130"/>
    </row>
    <row r="619" spans="3:15" ht="15" customHeight="1">
      <c r="C619" s="498"/>
      <c r="D619" s="487">
        <v>46</v>
      </c>
      <c r="E619" s="206">
        <v>43555</v>
      </c>
      <c r="F619" s="495" t="s">
        <v>200</v>
      </c>
      <c r="G619" s="492" t="s">
        <v>200</v>
      </c>
      <c r="H619" s="492" t="s">
        <v>200</v>
      </c>
      <c r="I619" s="492" t="s">
        <v>200</v>
      </c>
      <c r="J619" s="492" t="s">
        <v>200</v>
      </c>
      <c r="K619" s="492" t="s">
        <v>200</v>
      </c>
      <c r="L619" s="492" t="s">
        <v>200</v>
      </c>
      <c r="M619" s="493" t="s">
        <v>200</v>
      </c>
      <c r="N619" s="130">
        <v>0</v>
      </c>
      <c r="O619" s="130"/>
    </row>
    <row r="620" spans="3:15" ht="15" customHeight="1">
      <c r="C620" s="498"/>
      <c r="D620" s="487">
        <v>47</v>
      </c>
      <c r="E620" s="206">
        <v>43921</v>
      </c>
      <c r="F620" s="495" t="s">
        <v>200</v>
      </c>
      <c r="G620" s="492" t="s">
        <v>200</v>
      </c>
      <c r="H620" s="492" t="s">
        <v>200</v>
      </c>
      <c r="I620" s="492" t="s">
        <v>200</v>
      </c>
      <c r="J620" s="492" t="s">
        <v>200</v>
      </c>
      <c r="K620" s="492" t="s">
        <v>200</v>
      </c>
      <c r="L620" s="492" t="s">
        <v>200</v>
      </c>
      <c r="M620" s="493" t="s">
        <v>200</v>
      </c>
      <c r="N620" s="130">
        <v>0</v>
      </c>
      <c r="O620" s="130"/>
    </row>
    <row r="621" spans="3:15" ht="15" customHeight="1">
      <c r="C621" s="498"/>
      <c r="D621" s="487">
        <v>48</v>
      </c>
      <c r="E621" s="206">
        <v>44286</v>
      </c>
      <c r="F621" s="495" t="s">
        <v>200</v>
      </c>
      <c r="G621" s="492" t="s">
        <v>200</v>
      </c>
      <c r="H621" s="492" t="s">
        <v>200</v>
      </c>
      <c r="I621" s="492" t="s">
        <v>200</v>
      </c>
      <c r="J621" s="492" t="s">
        <v>200</v>
      </c>
      <c r="K621" s="492" t="s">
        <v>200</v>
      </c>
      <c r="L621" s="492" t="s">
        <v>200</v>
      </c>
      <c r="M621" s="493" t="s">
        <v>200</v>
      </c>
      <c r="N621" s="130">
        <v>0</v>
      </c>
      <c r="O621" s="130"/>
    </row>
    <row r="622" spans="3:15" ht="15" customHeight="1">
      <c r="C622" s="498"/>
      <c r="D622" s="487">
        <v>49</v>
      </c>
      <c r="E622" s="206">
        <v>44651</v>
      </c>
      <c r="F622" s="495" t="s">
        <v>200</v>
      </c>
      <c r="G622" s="492" t="s">
        <v>200</v>
      </c>
      <c r="H622" s="492" t="s">
        <v>200</v>
      </c>
      <c r="I622" s="492" t="s">
        <v>200</v>
      </c>
      <c r="J622" s="492" t="s">
        <v>200</v>
      </c>
      <c r="K622" s="492" t="s">
        <v>200</v>
      </c>
      <c r="L622" s="492" t="s">
        <v>200</v>
      </c>
      <c r="M622" s="493" t="s">
        <v>200</v>
      </c>
      <c r="N622" s="130">
        <v>0</v>
      </c>
      <c r="O622" s="130"/>
    </row>
    <row r="623" spans="3:15" ht="15" customHeight="1">
      <c r="C623" s="498"/>
      <c r="D623" s="487">
        <v>50</v>
      </c>
      <c r="E623" s="206">
        <v>45016</v>
      </c>
      <c r="F623" s="495" t="s">
        <v>200</v>
      </c>
      <c r="G623" s="492" t="s">
        <v>200</v>
      </c>
      <c r="H623" s="492" t="s">
        <v>200</v>
      </c>
      <c r="I623" s="492" t="s">
        <v>200</v>
      </c>
      <c r="J623" s="492" t="s">
        <v>200</v>
      </c>
      <c r="K623" s="492" t="s">
        <v>200</v>
      </c>
      <c r="L623" s="492" t="s">
        <v>200</v>
      </c>
      <c r="M623" s="493" t="s">
        <v>200</v>
      </c>
      <c r="N623" s="130">
        <v>0</v>
      </c>
      <c r="O623" s="130"/>
    </row>
    <row r="624" spans="3:15" ht="15" customHeight="1">
      <c r="C624" s="498"/>
      <c r="D624" s="483"/>
      <c r="E624" s="124" t="s">
        <v>518</v>
      </c>
      <c r="F624" s="488"/>
      <c r="G624" s="489"/>
      <c r="H624" s="489"/>
      <c r="I624" s="489"/>
      <c r="J624" s="489"/>
      <c r="K624" s="507"/>
      <c r="L624" s="489"/>
      <c r="M624" s="490"/>
      <c r="N624" s="474"/>
      <c r="O624" s="494"/>
    </row>
    <row r="625" spans="3:15" ht="15" customHeight="1">
      <c r="C625" s="498"/>
      <c r="D625" s="487">
        <v>51</v>
      </c>
      <c r="E625" s="122" t="s">
        <v>489</v>
      </c>
      <c r="F625" s="491">
        <v>1474.1148069514143</v>
      </c>
      <c r="G625" s="492">
        <v>1508.1457481844081</v>
      </c>
      <c r="H625" s="492">
        <v>1538.0539483404477</v>
      </c>
      <c r="I625" s="492">
        <v>1563.3489516757058</v>
      </c>
      <c r="J625" s="492">
        <v>1588.9962332427267</v>
      </c>
      <c r="K625" s="492">
        <v>1615.385234165899</v>
      </c>
      <c r="L625" s="492">
        <v>1642.1191832519967</v>
      </c>
      <c r="M625" s="493">
        <v>1668.6223321323819</v>
      </c>
      <c r="N625" s="130">
        <v>12598.78643794498</v>
      </c>
      <c r="O625" s="130">
        <v>1574.8483047431225</v>
      </c>
    </row>
    <row r="626" spans="3:15" ht="15" customHeight="1">
      <c r="C626" s="498"/>
      <c r="D626" s="487">
        <v>52</v>
      </c>
      <c r="E626" s="122" t="s">
        <v>490</v>
      </c>
      <c r="F626" s="509">
        <v>0.65</v>
      </c>
      <c r="G626" s="510">
        <v>0.65</v>
      </c>
      <c r="H626" s="510">
        <v>0.65</v>
      </c>
      <c r="I626" s="510">
        <v>0.65</v>
      </c>
      <c r="J626" s="510">
        <v>0.65</v>
      </c>
      <c r="K626" s="510">
        <v>0.65</v>
      </c>
      <c r="L626" s="510">
        <v>0.65</v>
      </c>
      <c r="M626" s="511">
        <v>0.65</v>
      </c>
      <c r="N626" s="234">
        <v>0.65</v>
      </c>
      <c r="O626" s="234">
        <v>0.65</v>
      </c>
    </row>
    <row r="627" spans="3:15" ht="15" customHeight="1">
      <c r="C627" s="508"/>
      <c r="D627" s="487">
        <v>53</v>
      </c>
      <c r="E627" s="122" t="s">
        <v>465</v>
      </c>
      <c r="F627" s="491">
        <v>515.94018243299502</v>
      </c>
      <c r="G627" s="492">
        <v>527.85101186454278</v>
      </c>
      <c r="H627" s="492">
        <v>538.31888191915664</v>
      </c>
      <c r="I627" s="492">
        <v>547.17213308649696</v>
      </c>
      <c r="J627" s="492">
        <v>556.1486816349543</v>
      </c>
      <c r="K627" s="492">
        <v>565.38483195806464</v>
      </c>
      <c r="L627" s="492">
        <v>574.74171413819874</v>
      </c>
      <c r="M627" s="493">
        <v>584.01781624633361</v>
      </c>
      <c r="N627" s="130">
        <v>4409.5752532807428</v>
      </c>
      <c r="O627" s="130">
        <v>551.19690666009285</v>
      </c>
    </row>
    <row r="628" spans="3:15" ht="15" customHeight="1">
      <c r="C628" s="508"/>
      <c r="D628" s="487">
        <v>54</v>
      </c>
      <c r="E628" s="122" t="s">
        <v>491</v>
      </c>
      <c r="F628" s="495">
        <v>26.062349786901002</v>
      </c>
      <c r="G628" s="492">
        <v>26.664016827900337</v>
      </c>
      <c r="H628" s="492">
        <v>27.192793806659115</v>
      </c>
      <c r="I628" s="492">
        <v>27.640009465626481</v>
      </c>
      <c r="J628" s="492">
        <v>28.093453403731409</v>
      </c>
      <c r="K628" s="492">
        <v>28.560010940053097</v>
      </c>
      <c r="L628" s="492">
        <v>29.032667159895301</v>
      </c>
      <c r="M628" s="493">
        <v>29.501242832100509</v>
      </c>
      <c r="N628" s="130">
        <v>222.74654422286724</v>
      </c>
      <c r="O628" s="130">
        <v>27.843318027858405</v>
      </c>
    </row>
    <row r="629" spans="3:15" ht="15" customHeight="1" thickBot="1">
      <c r="C629" s="508"/>
      <c r="D629" s="496">
        <v>55</v>
      </c>
      <c r="E629" s="520" t="s">
        <v>874</v>
      </c>
      <c r="F629" s="515">
        <v>515.94018243299502</v>
      </c>
      <c r="G629" s="497">
        <v>527.85101186454278</v>
      </c>
      <c r="H629" s="497">
        <v>538.31888191915664</v>
      </c>
      <c r="I629" s="497">
        <v>547.17213308649696</v>
      </c>
      <c r="J629" s="497">
        <v>556.1486816349543</v>
      </c>
      <c r="K629" s="497">
        <v>565.38483195806464</v>
      </c>
      <c r="L629" s="497">
        <v>574.74171413819874</v>
      </c>
      <c r="M629" s="512">
        <v>584.01781624633361</v>
      </c>
      <c r="N629" s="514"/>
      <c r="O629" s="514">
        <v>551.19690666009285</v>
      </c>
    </row>
    <row r="630" spans="3:15" ht="15" customHeight="1">
      <c r="C630" s="498"/>
      <c r="D630" s="256"/>
      <c r="E630" s="195"/>
      <c r="F630" s="157"/>
      <c r="G630" s="157"/>
      <c r="H630" s="157"/>
      <c r="I630" s="157"/>
      <c r="J630" s="157"/>
      <c r="K630" s="157"/>
      <c r="L630" s="157"/>
      <c r="M630" s="523"/>
      <c r="N630" s="157"/>
      <c r="O630" s="157"/>
    </row>
    <row r="631" spans="3:15" ht="15" customHeight="1">
      <c r="C631" s="498"/>
      <c r="D631" s="256"/>
      <c r="E631" s="195"/>
      <c r="F631" s="157"/>
      <c r="G631" s="157"/>
      <c r="H631" s="157"/>
      <c r="I631" s="157"/>
      <c r="J631" s="157"/>
      <c r="K631" s="157"/>
      <c r="L631" s="157"/>
      <c r="M631" s="523"/>
      <c r="N631" s="157"/>
      <c r="O631" s="157"/>
    </row>
    <row r="632" spans="3:15" ht="15" customHeight="1">
      <c r="C632" s="498"/>
      <c r="D632" s="256"/>
      <c r="E632" s="195"/>
      <c r="F632" s="157"/>
      <c r="G632" s="157"/>
      <c r="H632" s="157"/>
      <c r="I632" s="157"/>
      <c r="J632" s="157"/>
      <c r="K632" s="157"/>
      <c r="L632" s="157"/>
      <c r="M632" s="523"/>
      <c r="N632" s="157"/>
      <c r="O632" s="157"/>
    </row>
    <row r="633" spans="3:15" ht="15" customHeight="1">
      <c r="C633" s="498"/>
      <c r="D633" s="256"/>
      <c r="E633" s="195"/>
      <c r="F633" s="157"/>
      <c r="G633" s="157"/>
      <c r="H633" s="157"/>
      <c r="I633" s="157"/>
      <c r="J633" s="157"/>
      <c r="K633" s="157"/>
      <c r="L633" s="157"/>
      <c r="M633" s="523"/>
      <c r="N633" s="157"/>
      <c r="O633" s="157"/>
    </row>
    <row r="634" spans="3:15" ht="15" customHeight="1">
      <c r="C634" s="498"/>
      <c r="D634" s="256"/>
      <c r="E634" s="195"/>
      <c r="F634" s="157"/>
      <c r="G634" s="157"/>
      <c r="H634" s="157"/>
      <c r="I634" s="157"/>
      <c r="J634" s="157"/>
      <c r="K634" s="157"/>
      <c r="L634" s="157"/>
      <c r="M634" s="523"/>
      <c r="N634" s="157"/>
      <c r="O634" s="157"/>
    </row>
    <row r="635" spans="3:15" ht="15" customHeight="1">
      <c r="C635" s="517" t="s">
        <v>1030</v>
      </c>
      <c r="D635" s="517"/>
      <c r="E635" s="517"/>
      <c r="F635" s="517"/>
      <c r="G635" s="517"/>
      <c r="H635" s="517"/>
      <c r="I635" s="517"/>
      <c r="J635" s="517"/>
      <c r="K635" s="517"/>
      <c r="L635" s="517"/>
      <c r="M635" s="517"/>
      <c r="N635" s="517"/>
      <c r="O635" s="517"/>
    </row>
    <row r="636" spans="3:15" ht="15" customHeight="1">
      <c r="C636" s="508"/>
      <c r="D636" s="508"/>
      <c r="E636" s="508"/>
      <c r="F636" s="508"/>
      <c r="G636" s="508"/>
      <c r="H636" s="508"/>
      <c r="I636" s="508"/>
      <c r="J636" s="508"/>
      <c r="K636" s="508"/>
      <c r="L636" s="508"/>
      <c r="M636" s="508"/>
      <c r="N636" s="508"/>
      <c r="O636" s="508"/>
    </row>
    <row r="637" spans="3:15" ht="15" customHeight="1">
      <c r="C637" s="508"/>
      <c r="D637" s="479"/>
      <c r="E637" s="479"/>
      <c r="F637" s="480"/>
      <c r="G637" s="480"/>
      <c r="H637" s="480"/>
      <c r="I637" s="480"/>
      <c r="J637" s="480"/>
      <c r="K637" s="480"/>
      <c r="L637" s="480"/>
      <c r="M637" s="480"/>
      <c r="N637" s="479"/>
      <c r="O637" s="479"/>
    </row>
    <row r="638" spans="3:15" ht="15" customHeight="1">
      <c r="C638" s="508"/>
      <c r="D638" s="479"/>
      <c r="E638" s="518" t="s">
        <v>58</v>
      </c>
      <c r="F638" s="518" t="s">
        <v>239</v>
      </c>
      <c r="G638" s="480"/>
      <c r="H638" s="518" t="s">
        <v>39</v>
      </c>
      <c r="I638" s="480"/>
      <c r="J638" s="480"/>
      <c r="K638" s="480"/>
      <c r="L638" s="480"/>
      <c r="M638" s="480"/>
      <c r="N638" s="479"/>
      <c r="O638" s="479"/>
    </row>
    <row r="639" spans="3:15" ht="15" customHeight="1">
      <c r="C639" s="508"/>
      <c r="D639" s="118"/>
      <c r="E639" s="118" t="s">
        <v>1031</v>
      </c>
      <c r="F639" s="388">
        <v>42460</v>
      </c>
      <c r="G639" s="119"/>
      <c r="H639" s="118" t="s">
        <v>1042</v>
      </c>
      <c r="I639" s="119"/>
      <c r="J639" s="119"/>
      <c r="K639" s="119"/>
      <c r="L639" s="119"/>
      <c r="M639" s="119"/>
      <c r="N639" s="118"/>
      <c r="O639" s="118"/>
    </row>
    <row r="640" spans="3:15" ht="15" customHeight="1" thickBot="1">
      <c r="C640" s="508"/>
      <c r="D640" s="508"/>
      <c r="E640" s="508"/>
      <c r="F640" s="508"/>
      <c r="G640" s="478"/>
      <c r="H640" s="508"/>
      <c r="I640" s="508"/>
      <c r="J640" s="508"/>
      <c r="K640" s="508"/>
      <c r="L640" s="508"/>
      <c r="M640" s="508"/>
      <c r="N640" s="508"/>
      <c r="O640" s="508"/>
    </row>
    <row r="641" spans="3:15" ht="15" customHeight="1">
      <c r="C641" s="508"/>
      <c r="D641" s="481"/>
      <c r="E641" s="506" t="s">
        <v>236</v>
      </c>
      <c r="F641" s="499">
        <v>42460</v>
      </c>
      <c r="G641" s="500">
        <v>42825</v>
      </c>
      <c r="H641" s="500">
        <v>43190</v>
      </c>
      <c r="I641" s="500">
        <v>43555</v>
      </c>
      <c r="J641" s="500">
        <v>43921</v>
      </c>
      <c r="K641" s="500">
        <v>44286</v>
      </c>
      <c r="L641" s="500">
        <v>44651</v>
      </c>
      <c r="M641" s="501">
        <v>45016</v>
      </c>
      <c r="N641" s="513" t="s">
        <v>86</v>
      </c>
      <c r="O641" s="502" t="s">
        <v>87</v>
      </c>
    </row>
    <row r="642" spans="3:15" ht="15" customHeight="1">
      <c r="C642" s="508"/>
      <c r="D642" s="482"/>
      <c r="E642" s="122" t="s">
        <v>240</v>
      </c>
      <c r="F642" s="503" t="s">
        <v>844</v>
      </c>
      <c r="G642" s="504" t="s">
        <v>844</v>
      </c>
      <c r="H642" s="504" t="s">
        <v>844</v>
      </c>
      <c r="I642" s="504" t="s">
        <v>844</v>
      </c>
      <c r="J642" s="504" t="s">
        <v>844</v>
      </c>
      <c r="K642" s="504" t="s">
        <v>844</v>
      </c>
      <c r="L642" s="504" t="s">
        <v>844</v>
      </c>
      <c r="M642" s="505" t="s">
        <v>844</v>
      </c>
      <c r="N642" s="192" t="s">
        <v>844</v>
      </c>
      <c r="O642" s="192" t="s">
        <v>844</v>
      </c>
    </row>
    <row r="643" spans="3:15" ht="15" customHeight="1">
      <c r="C643" s="508"/>
      <c r="D643" s="483"/>
      <c r="E643" s="124" t="s">
        <v>69</v>
      </c>
      <c r="F643" s="484"/>
      <c r="G643" s="485"/>
      <c r="H643" s="485"/>
      <c r="I643" s="485"/>
      <c r="J643" s="485"/>
      <c r="K643" s="485"/>
      <c r="L643" s="485"/>
      <c r="M643" s="486"/>
      <c r="N643" s="128"/>
      <c r="O643" s="128"/>
    </row>
    <row r="644" spans="3:15" ht="15" customHeight="1">
      <c r="C644" s="508"/>
      <c r="D644" s="487">
        <v>1</v>
      </c>
      <c r="E644" s="122" t="s">
        <v>213</v>
      </c>
      <c r="F644" s="491">
        <v>157.2306932997239</v>
      </c>
      <c r="G644" s="492">
        <v>171.88702831647345</v>
      </c>
      <c r="H644" s="492">
        <v>167.63012731337571</v>
      </c>
      <c r="I644" s="492">
        <v>162.14536051015963</v>
      </c>
      <c r="J644" s="492">
        <v>157.21615584475998</v>
      </c>
      <c r="K644" s="492">
        <v>152.36174091460876</v>
      </c>
      <c r="L644" s="492">
        <v>152.79897079574016</v>
      </c>
      <c r="M644" s="493">
        <v>148.8695577731709</v>
      </c>
      <c r="N644" s="130">
        <v>1270.1396347680125</v>
      </c>
      <c r="O644" s="130">
        <v>158.76745434600156</v>
      </c>
    </row>
    <row r="645" spans="3:15" ht="15" customHeight="1">
      <c r="C645" s="508"/>
      <c r="D645" s="487">
        <v>2</v>
      </c>
      <c r="E645" s="122" t="s">
        <v>879</v>
      </c>
      <c r="F645" s="491">
        <v>73.990914493987702</v>
      </c>
      <c r="G645" s="492">
        <v>80.888013325399243</v>
      </c>
      <c r="H645" s="492">
        <v>78.884765794529727</v>
      </c>
      <c r="I645" s="492">
        <v>76.303699063604512</v>
      </c>
      <c r="J645" s="492">
        <v>73.984073338710544</v>
      </c>
      <c r="K645" s="492">
        <v>71.699642783345297</v>
      </c>
      <c r="L645" s="492">
        <v>71.905398021524775</v>
      </c>
      <c r="M645" s="493">
        <v>70.056262481492155</v>
      </c>
      <c r="N645" s="130">
        <v>597.71276930259398</v>
      </c>
      <c r="O645" s="130">
        <v>74.714096162824248</v>
      </c>
    </row>
    <row r="646" spans="3:15" ht="15" customHeight="1">
      <c r="C646" s="508"/>
      <c r="D646" s="487">
        <v>3</v>
      </c>
      <c r="E646" s="122" t="s">
        <v>214</v>
      </c>
      <c r="F646" s="491">
        <v>231.2216077937116</v>
      </c>
      <c r="G646" s="492">
        <v>252.77504164187269</v>
      </c>
      <c r="H646" s="492">
        <v>246.51489310790544</v>
      </c>
      <c r="I646" s="492">
        <v>238.44905957376415</v>
      </c>
      <c r="J646" s="492">
        <v>231.20022918347053</v>
      </c>
      <c r="K646" s="492">
        <v>224.06138369795406</v>
      </c>
      <c r="L646" s="492">
        <v>224.70436881726494</v>
      </c>
      <c r="M646" s="493">
        <v>218.92582025466305</v>
      </c>
      <c r="N646" s="130">
        <v>1867.8524040706061</v>
      </c>
      <c r="O646" s="130">
        <v>233.48155050882576</v>
      </c>
    </row>
    <row r="647" spans="3:15" ht="15" customHeight="1">
      <c r="C647" s="508"/>
      <c r="D647" s="483"/>
      <c r="E647" s="124" t="s">
        <v>16</v>
      </c>
      <c r="F647" s="484"/>
      <c r="G647" s="485"/>
      <c r="H647" s="485"/>
      <c r="I647" s="485"/>
      <c r="J647" s="485"/>
      <c r="K647" s="485"/>
      <c r="L647" s="485"/>
      <c r="M647" s="486"/>
      <c r="N647" s="128"/>
      <c r="O647" s="128"/>
    </row>
    <row r="648" spans="3:15" ht="15" customHeight="1">
      <c r="C648" s="508"/>
      <c r="D648" s="487">
        <v>4</v>
      </c>
      <c r="E648" s="122" t="s">
        <v>492</v>
      </c>
      <c r="F648" s="491">
        <v>1491.8427088208007</v>
      </c>
      <c r="G648" s="492">
        <v>1524.8275770285732</v>
      </c>
      <c r="H648" s="492">
        <v>1568.1270216022474</v>
      </c>
      <c r="I648" s="492">
        <v>1603.764503068656</v>
      </c>
      <c r="J648" s="492">
        <v>1630.4292591463091</v>
      </c>
      <c r="K648" s="492">
        <v>1658.0061193574948</v>
      </c>
      <c r="L648" s="492">
        <v>1679.3086483328495</v>
      </c>
      <c r="M648" s="493">
        <v>1700.8869475648303</v>
      </c>
      <c r="N648" s="130"/>
      <c r="O648" s="130">
        <v>1607.1490981152201</v>
      </c>
    </row>
    <row r="649" spans="3:15" ht="15" customHeight="1">
      <c r="C649" s="508"/>
      <c r="D649" s="487">
        <v>5</v>
      </c>
      <c r="E649" s="122" t="s">
        <v>122</v>
      </c>
      <c r="F649" s="491">
        <v>0</v>
      </c>
      <c r="G649" s="492">
        <v>0</v>
      </c>
      <c r="H649" s="492">
        <v>0</v>
      </c>
      <c r="I649" s="492">
        <v>0</v>
      </c>
      <c r="J649" s="492">
        <v>0</v>
      </c>
      <c r="K649" s="492">
        <v>0</v>
      </c>
      <c r="L649" s="492">
        <v>0</v>
      </c>
      <c r="M649" s="493">
        <v>0</v>
      </c>
      <c r="N649" s="130">
        <v>0</v>
      </c>
      <c r="O649" s="130">
        <v>0</v>
      </c>
    </row>
    <row r="650" spans="3:15" ht="15" customHeight="1">
      <c r="C650" s="508"/>
      <c r="D650" s="487">
        <v>6</v>
      </c>
      <c r="E650" s="122" t="s">
        <v>493</v>
      </c>
      <c r="F650" s="491">
        <v>1491.8427088208007</v>
      </c>
      <c r="G650" s="492">
        <v>1524.8275770285732</v>
      </c>
      <c r="H650" s="492">
        <v>1568.1270216022474</v>
      </c>
      <c r="I650" s="492">
        <v>1603.764503068656</v>
      </c>
      <c r="J650" s="492">
        <v>1630.4292591463091</v>
      </c>
      <c r="K650" s="492">
        <v>1658.0061193574948</v>
      </c>
      <c r="L650" s="492">
        <v>1679.3086483328495</v>
      </c>
      <c r="M650" s="493">
        <v>1700.8869475648303</v>
      </c>
      <c r="N650" s="130"/>
      <c r="O650" s="130">
        <v>1607.1490981152201</v>
      </c>
    </row>
    <row r="651" spans="3:15" ht="15" customHeight="1">
      <c r="C651" s="508"/>
      <c r="D651" s="487">
        <v>7</v>
      </c>
      <c r="E651" s="122" t="s">
        <v>215</v>
      </c>
      <c r="F651" s="491">
        <v>157.2306932997239</v>
      </c>
      <c r="G651" s="492">
        <v>171.88702831647345</v>
      </c>
      <c r="H651" s="492">
        <v>167.63012731337571</v>
      </c>
      <c r="I651" s="492">
        <v>162.14536051015963</v>
      </c>
      <c r="J651" s="492">
        <v>157.21615584475998</v>
      </c>
      <c r="K651" s="492">
        <v>152.36174091460876</v>
      </c>
      <c r="L651" s="492">
        <v>152.79897079574016</v>
      </c>
      <c r="M651" s="493">
        <v>148.8695577731709</v>
      </c>
      <c r="N651" s="130">
        <v>1270.1396347680125</v>
      </c>
      <c r="O651" s="130">
        <v>158.76745434600156</v>
      </c>
    </row>
    <row r="652" spans="3:15" ht="15" customHeight="1">
      <c r="C652" s="508"/>
      <c r="D652" s="487">
        <v>8</v>
      </c>
      <c r="E652" s="122" t="s">
        <v>0</v>
      </c>
      <c r="F652" s="491">
        <v>-124.24582509195155</v>
      </c>
      <c r="G652" s="492">
        <v>-128.58758374279918</v>
      </c>
      <c r="H652" s="492">
        <v>-131.99264584696695</v>
      </c>
      <c r="I652" s="492">
        <v>-135.48060443250662</v>
      </c>
      <c r="J652" s="492">
        <v>-129.63929563357419</v>
      </c>
      <c r="K652" s="492">
        <v>-131.05921193925411</v>
      </c>
      <c r="L652" s="492">
        <v>-131.22067156375945</v>
      </c>
      <c r="M652" s="493">
        <v>-129.68023231829352</v>
      </c>
      <c r="N652" s="130">
        <v>-1041.9060705691056</v>
      </c>
      <c r="O652" s="130">
        <v>-130.2382588211382</v>
      </c>
    </row>
    <row r="653" spans="3:15" ht="15" customHeight="1">
      <c r="C653" s="508"/>
      <c r="D653" s="487">
        <v>9</v>
      </c>
      <c r="E653" s="122" t="s">
        <v>17</v>
      </c>
      <c r="F653" s="491">
        <v>1524.8275770285732</v>
      </c>
      <c r="G653" s="492">
        <v>1568.1270216022474</v>
      </c>
      <c r="H653" s="492">
        <v>1603.764503068656</v>
      </c>
      <c r="I653" s="492">
        <v>1630.4292591463091</v>
      </c>
      <c r="J653" s="492">
        <v>1658.0061193574948</v>
      </c>
      <c r="K653" s="492">
        <v>1679.3086483328495</v>
      </c>
      <c r="L653" s="492">
        <v>1700.8869475648303</v>
      </c>
      <c r="M653" s="493">
        <v>1720.0762730197077</v>
      </c>
      <c r="N653" s="130"/>
      <c r="O653" s="130">
        <v>1635.6782936400834</v>
      </c>
    </row>
    <row r="654" spans="3:15" ht="15" customHeight="1">
      <c r="C654" s="508"/>
      <c r="D654" s="483"/>
      <c r="E654" s="124" t="s">
        <v>301</v>
      </c>
      <c r="F654" s="488"/>
      <c r="G654" s="489"/>
      <c r="H654" s="489"/>
      <c r="I654" s="489"/>
      <c r="J654" s="489"/>
      <c r="K654" s="489"/>
      <c r="L654" s="489"/>
      <c r="M654" s="490"/>
      <c r="N654" s="134"/>
      <c r="O654" s="134"/>
    </row>
    <row r="655" spans="3:15" ht="15" customHeight="1">
      <c r="C655" s="508"/>
      <c r="D655" s="487">
        <v>10</v>
      </c>
      <c r="E655" s="122" t="s">
        <v>100</v>
      </c>
      <c r="F655" s="491">
        <v>73.990914493987702</v>
      </c>
      <c r="G655" s="492">
        <v>80.888013325399243</v>
      </c>
      <c r="H655" s="492">
        <v>78.884765794529727</v>
      </c>
      <c r="I655" s="492">
        <v>76.303699063604512</v>
      </c>
      <c r="J655" s="492">
        <v>73.984073338710544</v>
      </c>
      <c r="K655" s="492">
        <v>71.699642783345297</v>
      </c>
      <c r="L655" s="492">
        <v>71.905398021524775</v>
      </c>
      <c r="M655" s="493">
        <v>70.056262481492155</v>
      </c>
      <c r="N655" s="130">
        <v>597.71276930259398</v>
      </c>
      <c r="O655" s="130">
        <v>74.714096162824248</v>
      </c>
    </row>
    <row r="656" spans="3:15" ht="15" customHeight="1">
      <c r="C656" s="508"/>
      <c r="D656" s="487">
        <v>11</v>
      </c>
      <c r="E656" s="122" t="s">
        <v>740</v>
      </c>
      <c r="F656" s="491">
        <v>33.603943550905051</v>
      </c>
      <c r="G656" s="492">
        <v>34.133943550905052</v>
      </c>
      <c r="H656" s="492">
        <v>35.827276884238387</v>
      </c>
      <c r="I656" s="492">
        <v>36.160610217571715</v>
      </c>
      <c r="J656" s="492">
        <v>36.03394355090505</v>
      </c>
      <c r="K656" s="492">
        <v>37.000610217571719</v>
      </c>
      <c r="L656" s="492">
        <v>35.538164106782752</v>
      </c>
      <c r="M656" s="493">
        <v>35.748164106782752</v>
      </c>
      <c r="N656" s="130">
        <v>284.04665618566241</v>
      </c>
      <c r="O656" s="130">
        <v>35.505832023207802</v>
      </c>
    </row>
    <row r="657" spans="3:15" ht="15" customHeight="1">
      <c r="C657" s="508"/>
      <c r="D657" s="487">
        <v>12</v>
      </c>
      <c r="E657" s="122" t="s">
        <v>67</v>
      </c>
      <c r="F657" s="491">
        <v>124.24582509195155</v>
      </c>
      <c r="G657" s="492">
        <v>128.58758374279918</v>
      </c>
      <c r="H657" s="492">
        <v>131.99264584696695</v>
      </c>
      <c r="I657" s="492">
        <v>135.48060443250662</v>
      </c>
      <c r="J657" s="492">
        <v>129.63929563357419</v>
      </c>
      <c r="K657" s="492">
        <v>131.05921193925411</v>
      </c>
      <c r="L657" s="492">
        <v>131.22067156375945</v>
      </c>
      <c r="M657" s="493">
        <v>129.68023231829352</v>
      </c>
      <c r="N657" s="130">
        <v>1041.9060705691056</v>
      </c>
      <c r="O657" s="130">
        <v>130.2382588211382</v>
      </c>
    </row>
    <row r="658" spans="3:15" ht="15" customHeight="1">
      <c r="C658" s="508"/>
      <c r="D658" s="487">
        <v>13</v>
      </c>
      <c r="E658" s="122" t="s">
        <v>19</v>
      </c>
      <c r="F658" s="491">
        <v>57.244202154393761</v>
      </c>
      <c r="G658" s="492">
        <v>58.688355925656531</v>
      </c>
      <c r="H658" s="492">
        <v>60.189329485440837</v>
      </c>
      <c r="I658" s="492">
        <v>61.37505044630241</v>
      </c>
      <c r="J658" s="492">
        <v>62.404222082516519</v>
      </c>
      <c r="K658" s="492">
        <v>63.334207103676164</v>
      </c>
      <c r="L658" s="492">
        <v>64.147981342078268</v>
      </c>
      <c r="M658" s="493">
        <v>64.922606795195932</v>
      </c>
      <c r="N658" s="130">
        <v>492.30595533526036</v>
      </c>
      <c r="O658" s="130">
        <v>61.538244416907546</v>
      </c>
    </row>
    <row r="659" spans="3:15" ht="15" customHeight="1">
      <c r="C659" s="508"/>
      <c r="D659" s="487">
        <v>14</v>
      </c>
      <c r="E659" s="122" t="s">
        <v>105</v>
      </c>
      <c r="F659" s="491">
        <v>0</v>
      </c>
      <c r="G659" s="492">
        <v>0</v>
      </c>
      <c r="H659" s="492">
        <v>0</v>
      </c>
      <c r="I659" s="492">
        <v>0</v>
      </c>
      <c r="J659" s="492">
        <v>0</v>
      </c>
      <c r="K659" s="492">
        <v>0</v>
      </c>
      <c r="L659" s="492">
        <v>0</v>
      </c>
      <c r="M659" s="493">
        <v>0</v>
      </c>
      <c r="N659" s="130">
        <v>0</v>
      </c>
      <c r="O659" s="130">
        <v>0</v>
      </c>
    </row>
    <row r="660" spans="3:15" ht="15" customHeight="1">
      <c r="C660" s="508"/>
      <c r="D660" s="487">
        <v>15</v>
      </c>
      <c r="E660" s="122" t="s">
        <v>23</v>
      </c>
      <c r="F660" s="491">
        <v>0</v>
      </c>
      <c r="G660" s="492">
        <v>0</v>
      </c>
      <c r="H660" s="492">
        <v>0</v>
      </c>
      <c r="I660" s="492">
        <v>0</v>
      </c>
      <c r="J660" s="492">
        <v>0</v>
      </c>
      <c r="K660" s="492">
        <v>0</v>
      </c>
      <c r="L660" s="492">
        <v>0</v>
      </c>
      <c r="M660" s="493">
        <v>0</v>
      </c>
      <c r="N660" s="130">
        <v>0</v>
      </c>
      <c r="O660" s="130">
        <v>0</v>
      </c>
    </row>
    <row r="661" spans="3:15" ht="15" customHeight="1">
      <c r="C661" s="508"/>
      <c r="D661" s="487">
        <v>16</v>
      </c>
      <c r="E661" s="122" t="s">
        <v>220</v>
      </c>
      <c r="F661" s="491">
        <v>19.368148304193433</v>
      </c>
      <c r="G661" s="492">
        <v>14.592654196632846</v>
      </c>
      <c r="H661" s="492">
        <v>18.56992898761159</v>
      </c>
      <c r="I661" s="492">
        <v>24.405023279697769</v>
      </c>
      <c r="J661" s="492">
        <v>39.613423928034422</v>
      </c>
      <c r="K661" s="492">
        <v>46.69229918053248</v>
      </c>
      <c r="L661" s="492">
        <v>54.753511361654773</v>
      </c>
      <c r="M661" s="493">
        <v>65.344387923066535</v>
      </c>
      <c r="N661" s="130">
        <v>283.33937716142384</v>
      </c>
      <c r="O661" s="130">
        <v>35.41742214517798</v>
      </c>
    </row>
    <row r="662" spans="3:15" ht="15" customHeight="1">
      <c r="C662" s="508"/>
      <c r="D662" s="487">
        <v>17</v>
      </c>
      <c r="E662" s="122" t="s">
        <v>7</v>
      </c>
      <c r="F662" s="491">
        <v>15.277879298174241</v>
      </c>
      <c r="G662" s="492">
        <v>15.517263489778957</v>
      </c>
      <c r="H662" s="492">
        <v>15.851107595271136</v>
      </c>
      <c r="I662" s="492">
        <v>16.735002379861289</v>
      </c>
      <c r="J662" s="492">
        <v>18.137125935255749</v>
      </c>
      <c r="K662" s="492">
        <v>19.683899091638025</v>
      </c>
      <c r="L662" s="492">
        <v>21.826389190564619</v>
      </c>
      <c r="M662" s="493">
        <v>23.83148150101951</v>
      </c>
      <c r="N662" s="130">
        <v>146.86014848156353</v>
      </c>
      <c r="O662" s="130">
        <v>18.357518560195441</v>
      </c>
    </row>
    <row r="663" spans="3:15" ht="15" customHeight="1">
      <c r="C663" s="508"/>
      <c r="D663" s="483"/>
      <c r="E663" s="124" t="s">
        <v>167</v>
      </c>
      <c r="F663" s="488"/>
      <c r="G663" s="489"/>
      <c r="H663" s="489"/>
      <c r="I663" s="489"/>
      <c r="J663" s="489"/>
      <c r="K663" s="489"/>
      <c r="L663" s="489"/>
      <c r="M663" s="490"/>
      <c r="N663" s="134"/>
      <c r="O663" s="134"/>
    </row>
    <row r="664" spans="3:15" ht="15" customHeight="1">
      <c r="C664" s="508"/>
      <c r="D664" s="487">
        <v>18</v>
      </c>
      <c r="E664" s="122" t="s">
        <v>100</v>
      </c>
      <c r="F664" s="491">
        <v>73.990914493987702</v>
      </c>
      <c r="G664" s="492">
        <v>80.888013325399243</v>
      </c>
      <c r="H664" s="492">
        <v>78.884765794529727</v>
      </c>
      <c r="I664" s="492">
        <v>76.303699063604512</v>
      </c>
      <c r="J664" s="492">
        <v>73.984073338710544</v>
      </c>
      <c r="K664" s="492">
        <v>71.699642783345297</v>
      </c>
      <c r="L664" s="492">
        <v>71.905398021524775</v>
      </c>
      <c r="M664" s="493">
        <v>70.056262481492155</v>
      </c>
      <c r="N664" s="130">
        <v>597.71276930259398</v>
      </c>
      <c r="O664" s="130">
        <v>74.714096162824248</v>
      </c>
    </row>
    <row r="665" spans="3:15" ht="15" customHeight="1">
      <c r="C665" s="508"/>
      <c r="D665" s="487">
        <v>19</v>
      </c>
      <c r="E665" s="122" t="s">
        <v>740</v>
      </c>
      <c r="F665" s="491">
        <v>33.603943550905051</v>
      </c>
      <c r="G665" s="492">
        <v>34.133943550905052</v>
      </c>
      <c r="H665" s="492">
        <v>35.827276884238387</v>
      </c>
      <c r="I665" s="492">
        <v>36.160610217571715</v>
      </c>
      <c r="J665" s="492">
        <v>36.03394355090505</v>
      </c>
      <c r="K665" s="492">
        <v>37.000610217571719</v>
      </c>
      <c r="L665" s="492">
        <v>35.538164106782752</v>
      </c>
      <c r="M665" s="493">
        <v>35.748164106782752</v>
      </c>
      <c r="N665" s="130">
        <v>284.04665618566241</v>
      </c>
      <c r="O665" s="130">
        <v>35.505832023207802</v>
      </c>
    </row>
    <row r="666" spans="3:15" ht="15" customHeight="1">
      <c r="C666" s="508"/>
      <c r="D666" s="487">
        <v>20</v>
      </c>
      <c r="E666" s="122" t="s">
        <v>67</v>
      </c>
      <c r="F666" s="491">
        <v>124.24582509195155</v>
      </c>
      <c r="G666" s="492">
        <v>128.58758374279918</v>
      </c>
      <c r="H666" s="492">
        <v>131.99264584696695</v>
      </c>
      <c r="I666" s="492">
        <v>135.48060443250662</v>
      </c>
      <c r="J666" s="492">
        <v>129.63929563357419</v>
      </c>
      <c r="K666" s="492">
        <v>131.05921193925411</v>
      </c>
      <c r="L666" s="492">
        <v>131.22067156375945</v>
      </c>
      <c r="M666" s="493">
        <v>129.68023231829352</v>
      </c>
      <c r="N666" s="130">
        <v>1041.9060705691056</v>
      </c>
      <c r="O666" s="130">
        <v>130.2382588211382</v>
      </c>
    </row>
    <row r="667" spans="3:15" ht="15" customHeight="1">
      <c r="C667" s="508"/>
      <c r="D667" s="487">
        <v>21</v>
      </c>
      <c r="E667" s="122" t="s">
        <v>19</v>
      </c>
      <c r="F667" s="491">
        <v>57.244202154393761</v>
      </c>
      <c r="G667" s="492">
        <v>58.688355925656531</v>
      </c>
      <c r="H667" s="492">
        <v>60.189329485440837</v>
      </c>
      <c r="I667" s="492">
        <v>61.37505044630241</v>
      </c>
      <c r="J667" s="492">
        <v>62.404222082516519</v>
      </c>
      <c r="K667" s="492">
        <v>63.334207103676164</v>
      </c>
      <c r="L667" s="492">
        <v>64.147981342078268</v>
      </c>
      <c r="M667" s="493">
        <v>64.922606795195932</v>
      </c>
      <c r="N667" s="130">
        <v>492.30595533526036</v>
      </c>
      <c r="O667" s="130">
        <v>61.538244416907546</v>
      </c>
    </row>
    <row r="668" spans="3:15" ht="15" customHeight="1">
      <c r="C668" s="508"/>
      <c r="D668" s="487">
        <v>22</v>
      </c>
      <c r="E668" s="122" t="s">
        <v>105</v>
      </c>
      <c r="F668" s="491">
        <v>0</v>
      </c>
      <c r="G668" s="492">
        <v>0</v>
      </c>
      <c r="H668" s="492">
        <v>0</v>
      </c>
      <c r="I668" s="492">
        <v>0</v>
      </c>
      <c r="J668" s="492">
        <v>0</v>
      </c>
      <c r="K668" s="492">
        <v>0</v>
      </c>
      <c r="L668" s="492">
        <v>0</v>
      </c>
      <c r="M668" s="493">
        <v>0</v>
      </c>
      <c r="N668" s="130">
        <v>0</v>
      </c>
      <c r="O668" s="130">
        <v>0</v>
      </c>
    </row>
    <row r="669" spans="3:15" ht="15" customHeight="1">
      <c r="C669" s="508"/>
      <c r="D669" s="487">
        <v>23</v>
      </c>
      <c r="E669" s="122" t="s">
        <v>23</v>
      </c>
      <c r="F669" s="491">
        <v>0</v>
      </c>
      <c r="G669" s="492">
        <v>0</v>
      </c>
      <c r="H669" s="492">
        <v>0</v>
      </c>
      <c r="I669" s="492">
        <v>0</v>
      </c>
      <c r="J669" s="492">
        <v>0</v>
      </c>
      <c r="K669" s="492">
        <v>0</v>
      </c>
      <c r="L669" s="492">
        <v>0</v>
      </c>
      <c r="M669" s="493">
        <v>0</v>
      </c>
      <c r="N669" s="130">
        <v>0</v>
      </c>
      <c r="O669" s="130">
        <v>0</v>
      </c>
    </row>
    <row r="670" spans="3:15" ht="15" customHeight="1">
      <c r="C670" s="508"/>
      <c r="D670" s="487">
        <v>24</v>
      </c>
      <c r="E670" s="122" t="s">
        <v>220</v>
      </c>
      <c r="F670" s="491">
        <v>19.368148304193433</v>
      </c>
      <c r="G670" s="492">
        <v>14.592654196632846</v>
      </c>
      <c r="H670" s="492">
        <v>18.56992898761159</v>
      </c>
      <c r="I670" s="492">
        <v>24.405023279697769</v>
      </c>
      <c r="J670" s="492">
        <v>39.613423928034422</v>
      </c>
      <c r="K670" s="492">
        <v>46.69229918053248</v>
      </c>
      <c r="L670" s="492">
        <v>54.753511361654773</v>
      </c>
      <c r="M670" s="493">
        <v>65.344387923066535</v>
      </c>
      <c r="N670" s="130">
        <v>283.33937716142384</v>
      </c>
      <c r="O670" s="130">
        <v>35.41742214517798</v>
      </c>
    </row>
    <row r="671" spans="3:15" ht="15" customHeight="1">
      <c r="C671" s="508"/>
      <c r="D671" s="487">
        <v>25</v>
      </c>
      <c r="E671" s="122" t="s">
        <v>7</v>
      </c>
      <c r="F671" s="491">
        <v>15.277879298174241</v>
      </c>
      <c r="G671" s="492">
        <v>15.517263489778957</v>
      </c>
      <c r="H671" s="492">
        <v>15.851107595271136</v>
      </c>
      <c r="I671" s="492">
        <v>16.735002379861289</v>
      </c>
      <c r="J671" s="492">
        <v>18.137125935255749</v>
      </c>
      <c r="K671" s="492">
        <v>19.683899091638025</v>
      </c>
      <c r="L671" s="492">
        <v>21.826389190564619</v>
      </c>
      <c r="M671" s="493">
        <v>23.83148150101951</v>
      </c>
      <c r="N671" s="130">
        <v>146.86014848156353</v>
      </c>
      <c r="O671" s="130">
        <v>18.357518560195441</v>
      </c>
    </row>
    <row r="672" spans="3:15" ht="15" customHeight="1">
      <c r="C672" s="508"/>
      <c r="D672" s="483"/>
      <c r="E672" s="124" t="s">
        <v>20</v>
      </c>
      <c r="F672" s="488"/>
      <c r="G672" s="489"/>
      <c r="H672" s="489"/>
      <c r="I672" s="489"/>
      <c r="J672" s="489"/>
      <c r="K672" s="489"/>
      <c r="L672" s="489"/>
      <c r="M672" s="490"/>
      <c r="N672" s="474"/>
      <c r="O672" s="494"/>
    </row>
    <row r="673" spans="3:15" ht="15" customHeight="1">
      <c r="C673" s="508"/>
      <c r="D673" s="487">
        <v>26</v>
      </c>
      <c r="E673" s="122" t="s">
        <v>505</v>
      </c>
      <c r="F673" s="491">
        <v>323.7309128936057</v>
      </c>
      <c r="G673" s="492">
        <v>332.40781423117181</v>
      </c>
      <c r="H673" s="492">
        <v>341.31505459405861</v>
      </c>
      <c r="I673" s="492">
        <v>350.45998981954432</v>
      </c>
      <c r="J673" s="492">
        <v>359.81208446899649</v>
      </c>
      <c r="K673" s="492">
        <v>369.46987031601776</v>
      </c>
      <c r="L673" s="492">
        <v>379.39211558636464</v>
      </c>
      <c r="M673" s="493">
        <v>389.58313512585039</v>
      </c>
      <c r="N673" s="130">
        <v>2846.1709770356097</v>
      </c>
      <c r="O673" s="130">
        <v>355.77137212945121</v>
      </c>
    </row>
    <row r="674" spans="3:15" ht="15" customHeight="1">
      <c r="C674" s="508"/>
      <c r="D674" s="487">
        <v>27</v>
      </c>
      <c r="E674" s="122" t="s">
        <v>60</v>
      </c>
      <c r="F674" s="491">
        <v>0</v>
      </c>
      <c r="G674" s="492">
        <v>0</v>
      </c>
      <c r="H674" s="492">
        <v>0</v>
      </c>
      <c r="I674" s="492">
        <v>0</v>
      </c>
      <c r="J674" s="492">
        <v>0</v>
      </c>
      <c r="K674" s="492">
        <v>0</v>
      </c>
      <c r="L674" s="492">
        <v>0</v>
      </c>
      <c r="M674" s="493">
        <v>0</v>
      </c>
      <c r="N674" s="130">
        <v>0</v>
      </c>
      <c r="O674" s="130">
        <v>0</v>
      </c>
    </row>
    <row r="675" spans="3:15" ht="15" customHeight="1">
      <c r="C675" s="508"/>
      <c r="D675" s="487">
        <v>28</v>
      </c>
      <c r="E675" s="122" t="s">
        <v>45</v>
      </c>
      <c r="F675" s="495">
        <v>323.7309128936057</v>
      </c>
      <c r="G675" s="492">
        <v>332.40781423117181</v>
      </c>
      <c r="H675" s="492">
        <v>341.31505459405861</v>
      </c>
      <c r="I675" s="492">
        <v>350.45998981954432</v>
      </c>
      <c r="J675" s="492">
        <v>359.81208446899649</v>
      </c>
      <c r="K675" s="492">
        <v>369.46987031601776</v>
      </c>
      <c r="L675" s="492">
        <v>379.39211558636464</v>
      </c>
      <c r="M675" s="493">
        <v>389.58313512585039</v>
      </c>
      <c r="N675" s="130">
        <v>2846.1709770356097</v>
      </c>
      <c r="O675" s="130">
        <v>355.77137212945121</v>
      </c>
    </row>
    <row r="676" spans="3:15" ht="15" customHeight="1">
      <c r="C676" s="508"/>
      <c r="D676" s="487">
        <v>29</v>
      </c>
      <c r="E676" s="122" t="s">
        <v>521</v>
      </c>
      <c r="F676" s="495"/>
      <c r="G676" s="492"/>
      <c r="H676" s="492"/>
      <c r="I676" s="492"/>
      <c r="J676" s="492"/>
      <c r="K676" s="492"/>
      <c r="L676" s="492"/>
      <c r="M676" s="493"/>
      <c r="N676" s="130"/>
      <c r="O676" s="130"/>
    </row>
    <row r="677" spans="3:15" ht="15" customHeight="1">
      <c r="C677" s="508"/>
      <c r="D677" s="487">
        <v>30</v>
      </c>
      <c r="E677" s="122" t="s">
        <v>521</v>
      </c>
      <c r="F677" s="495"/>
      <c r="G677" s="492"/>
      <c r="H677" s="492"/>
      <c r="I677" s="492"/>
      <c r="J677" s="492"/>
      <c r="K677" s="492"/>
      <c r="L677" s="492"/>
      <c r="M677" s="493"/>
      <c r="N677" s="130"/>
      <c r="O677" s="130"/>
    </row>
    <row r="678" spans="3:15" ht="15" customHeight="1">
      <c r="C678" s="508"/>
      <c r="D678" s="487">
        <v>31</v>
      </c>
      <c r="E678" s="122" t="s">
        <v>729</v>
      </c>
      <c r="F678" s="495">
        <v>0</v>
      </c>
      <c r="G678" s="492">
        <v>0</v>
      </c>
      <c r="H678" s="492">
        <v>0</v>
      </c>
      <c r="I678" s="492">
        <v>0</v>
      </c>
      <c r="J678" s="492">
        <v>0</v>
      </c>
      <c r="K678" s="492">
        <v>0</v>
      </c>
      <c r="L678" s="492">
        <v>0</v>
      </c>
      <c r="M678" s="493">
        <v>0</v>
      </c>
      <c r="N678" s="130">
        <v>0</v>
      </c>
      <c r="O678" s="130">
        <v>0</v>
      </c>
    </row>
    <row r="679" spans="3:15" ht="15" customHeight="1">
      <c r="C679" s="508"/>
      <c r="D679" s="487">
        <v>32</v>
      </c>
      <c r="E679" s="122" t="s">
        <v>10</v>
      </c>
      <c r="F679" s="495">
        <v>323.7309128936057</v>
      </c>
      <c r="G679" s="492">
        <v>332.40781423117181</v>
      </c>
      <c r="H679" s="492">
        <v>341.31505459405861</v>
      </c>
      <c r="I679" s="492">
        <v>350.45998981954432</v>
      </c>
      <c r="J679" s="492">
        <v>359.81208446899649</v>
      </c>
      <c r="K679" s="492">
        <v>369.46987031601776</v>
      </c>
      <c r="L679" s="492">
        <v>379.39211558636464</v>
      </c>
      <c r="M679" s="519">
        <v>389.58313512585039</v>
      </c>
      <c r="N679" s="130">
        <v>2846.1709770356097</v>
      </c>
      <c r="O679" s="130">
        <v>355.77137212945121</v>
      </c>
    </row>
    <row r="680" spans="3:15" ht="15" customHeight="1">
      <c r="C680" s="508"/>
      <c r="D680" s="483"/>
      <c r="E680" s="124" t="s">
        <v>176</v>
      </c>
      <c r="F680" s="488"/>
      <c r="G680" s="489"/>
      <c r="H680" s="489"/>
      <c r="I680" s="489"/>
      <c r="J680" s="489"/>
      <c r="K680" s="507"/>
      <c r="L680" s="489"/>
      <c r="M680" s="490"/>
      <c r="N680" s="474"/>
      <c r="O680" s="494"/>
    </row>
    <row r="681" spans="3:15" ht="15" customHeight="1">
      <c r="C681" s="508"/>
      <c r="D681" s="487">
        <v>33</v>
      </c>
      <c r="E681" s="122" t="s">
        <v>176</v>
      </c>
      <c r="F681" s="491">
        <v>323.7309128936057</v>
      </c>
      <c r="G681" s="492">
        <v>332.40781423117181</v>
      </c>
      <c r="H681" s="492">
        <v>341.31505459405861</v>
      </c>
      <c r="I681" s="492">
        <v>350.45998981954432</v>
      </c>
      <c r="J681" s="492">
        <v>359.81208446899649</v>
      </c>
      <c r="K681" s="492">
        <v>369.46987031601776</v>
      </c>
      <c r="L681" s="492">
        <v>379.39211558636464</v>
      </c>
      <c r="M681" s="493">
        <v>389.58313512585039</v>
      </c>
      <c r="N681" s="130">
        <v>2846.1709770356097</v>
      </c>
      <c r="O681" s="130">
        <v>355.77137212945121</v>
      </c>
    </row>
    <row r="682" spans="3:15" ht="15" customHeight="1">
      <c r="C682" s="508"/>
      <c r="D682" s="487">
        <v>34</v>
      </c>
      <c r="E682" s="122" t="s">
        <v>191</v>
      </c>
      <c r="F682" s="491">
        <v>0</v>
      </c>
      <c r="G682" s="492">
        <v>0</v>
      </c>
      <c r="H682" s="492">
        <v>0</v>
      </c>
      <c r="I682" s="492">
        <v>0</v>
      </c>
      <c r="J682" s="492">
        <v>0</v>
      </c>
      <c r="K682" s="492">
        <v>0</v>
      </c>
      <c r="L682" s="492">
        <v>0</v>
      </c>
      <c r="M682" s="493">
        <v>0</v>
      </c>
      <c r="N682" s="130">
        <v>0</v>
      </c>
      <c r="O682" s="130">
        <v>0</v>
      </c>
    </row>
    <row r="683" spans="3:15" ht="15" customHeight="1">
      <c r="C683" s="498"/>
      <c r="D683" s="483"/>
      <c r="E683" s="124" t="s">
        <v>302</v>
      </c>
      <c r="F683" s="488"/>
      <c r="G683" s="489"/>
      <c r="H683" s="489"/>
      <c r="I683" s="489"/>
      <c r="J683" s="489"/>
      <c r="K683" s="507"/>
      <c r="L683" s="489"/>
      <c r="M683" s="490"/>
      <c r="N683" s="474"/>
      <c r="O683" s="494"/>
    </row>
    <row r="684" spans="3:15" ht="15" customHeight="1">
      <c r="C684" s="498"/>
      <c r="D684" s="487">
        <v>35</v>
      </c>
      <c r="E684" s="206">
        <v>42460</v>
      </c>
      <c r="F684" s="495">
        <v>323.7309128936057</v>
      </c>
      <c r="G684" s="492">
        <v>332.40781423117181</v>
      </c>
      <c r="H684" s="492">
        <v>341.31505459405861</v>
      </c>
      <c r="I684" s="492">
        <v>350.45998981954432</v>
      </c>
      <c r="J684" s="492">
        <v>359.81208446899649</v>
      </c>
      <c r="K684" s="492">
        <v>369.46987031601776</v>
      </c>
      <c r="L684" s="492">
        <v>379.39211558636464</v>
      </c>
      <c r="M684" s="493">
        <v>389.58313512585039</v>
      </c>
      <c r="N684" s="130">
        <v>2846.1709770356097</v>
      </c>
      <c r="O684" s="130">
        <v>355.77137212945121</v>
      </c>
    </row>
    <row r="685" spans="3:15" ht="15" customHeight="1">
      <c r="C685" s="498"/>
      <c r="D685" s="487">
        <v>36</v>
      </c>
      <c r="E685" s="206">
        <v>42825</v>
      </c>
      <c r="F685" s="495" t="s">
        <v>200</v>
      </c>
      <c r="G685" s="492" t="s">
        <v>200</v>
      </c>
      <c r="H685" s="492" t="s">
        <v>200</v>
      </c>
      <c r="I685" s="492" t="s">
        <v>200</v>
      </c>
      <c r="J685" s="492" t="s">
        <v>200</v>
      </c>
      <c r="K685" s="492" t="s">
        <v>200</v>
      </c>
      <c r="L685" s="492" t="s">
        <v>200</v>
      </c>
      <c r="M685" s="493" t="s">
        <v>200</v>
      </c>
      <c r="N685" s="130">
        <v>0</v>
      </c>
      <c r="O685" s="130">
        <v>0</v>
      </c>
    </row>
    <row r="686" spans="3:15" ht="15" customHeight="1">
      <c r="C686" s="498"/>
      <c r="D686" s="487">
        <v>37</v>
      </c>
      <c r="E686" s="206">
        <v>43190</v>
      </c>
      <c r="F686" s="495" t="s">
        <v>200</v>
      </c>
      <c r="G686" s="492" t="s">
        <v>200</v>
      </c>
      <c r="H686" s="492" t="s">
        <v>200</v>
      </c>
      <c r="I686" s="492" t="s">
        <v>200</v>
      </c>
      <c r="J686" s="492" t="s">
        <v>200</v>
      </c>
      <c r="K686" s="492" t="s">
        <v>200</v>
      </c>
      <c r="L686" s="492" t="s">
        <v>200</v>
      </c>
      <c r="M686" s="493" t="s">
        <v>200</v>
      </c>
      <c r="N686" s="130">
        <v>0</v>
      </c>
      <c r="O686" s="130">
        <v>0</v>
      </c>
    </row>
    <row r="687" spans="3:15" ht="15" customHeight="1">
      <c r="C687" s="498"/>
      <c r="D687" s="487">
        <v>38</v>
      </c>
      <c r="E687" s="206">
        <v>43555</v>
      </c>
      <c r="F687" s="495" t="s">
        <v>200</v>
      </c>
      <c r="G687" s="492" t="s">
        <v>200</v>
      </c>
      <c r="H687" s="492" t="s">
        <v>200</v>
      </c>
      <c r="I687" s="492" t="s">
        <v>200</v>
      </c>
      <c r="J687" s="492" t="s">
        <v>200</v>
      </c>
      <c r="K687" s="492" t="s">
        <v>200</v>
      </c>
      <c r="L687" s="492" t="s">
        <v>200</v>
      </c>
      <c r="M687" s="493" t="s">
        <v>200</v>
      </c>
      <c r="N687" s="130">
        <v>0</v>
      </c>
      <c r="O687" s="130">
        <v>0</v>
      </c>
    </row>
    <row r="688" spans="3:15" ht="15" customHeight="1">
      <c r="C688" s="498"/>
      <c r="D688" s="487">
        <v>39</v>
      </c>
      <c r="E688" s="206">
        <v>43921</v>
      </c>
      <c r="F688" s="495" t="s">
        <v>200</v>
      </c>
      <c r="G688" s="492" t="s">
        <v>200</v>
      </c>
      <c r="H688" s="492" t="s">
        <v>200</v>
      </c>
      <c r="I688" s="492" t="s">
        <v>200</v>
      </c>
      <c r="J688" s="492" t="s">
        <v>200</v>
      </c>
      <c r="K688" s="492" t="s">
        <v>200</v>
      </c>
      <c r="L688" s="492" t="s">
        <v>200</v>
      </c>
      <c r="M688" s="493" t="s">
        <v>200</v>
      </c>
      <c r="N688" s="130">
        <v>0</v>
      </c>
      <c r="O688" s="130">
        <v>0</v>
      </c>
    </row>
    <row r="689" spans="3:15" ht="15" customHeight="1">
      <c r="C689" s="498"/>
      <c r="D689" s="487">
        <v>40</v>
      </c>
      <c r="E689" s="206">
        <v>44286</v>
      </c>
      <c r="F689" s="495" t="s">
        <v>200</v>
      </c>
      <c r="G689" s="492" t="s">
        <v>200</v>
      </c>
      <c r="H689" s="492" t="s">
        <v>200</v>
      </c>
      <c r="I689" s="492" t="s">
        <v>200</v>
      </c>
      <c r="J689" s="492" t="s">
        <v>200</v>
      </c>
      <c r="K689" s="492" t="s">
        <v>200</v>
      </c>
      <c r="L689" s="492" t="s">
        <v>200</v>
      </c>
      <c r="M689" s="493" t="s">
        <v>200</v>
      </c>
      <c r="N689" s="130">
        <v>0</v>
      </c>
      <c r="O689" s="130">
        <v>0</v>
      </c>
    </row>
    <row r="690" spans="3:15" ht="15" customHeight="1">
      <c r="C690" s="498"/>
      <c r="D690" s="487">
        <v>41</v>
      </c>
      <c r="E690" s="206">
        <v>44651</v>
      </c>
      <c r="F690" s="495" t="s">
        <v>200</v>
      </c>
      <c r="G690" s="492" t="s">
        <v>200</v>
      </c>
      <c r="H690" s="492" t="s">
        <v>200</v>
      </c>
      <c r="I690" s="492" t="s">
        <v>200</v>
      </c>
      <c r="J690" s="492" t="s">
        <v>200</v>
      </c>
      <c r="K690" s="492" t="s">
        <v>200</v>
      </c>
      <c r="L690" s="492" t="s">
        <v>200</v>
      </c>
      <c r="M690" s="493" t="s">
        <v>200</v>
      </c>
      <c r="N690" s="130">
        <v>0</v>
      </c>
      <c r="O690" s="130">
        <v>0</v>
      </c>
    </row>
    <row r="691" spans="3:15" ht="15" customHeight="1">
      <c r="C691" s="498"/>
      <c r="D691" s="487">
        <v>42</v>
      </c>
      <c r="E691" s="206">
        <v>45016</v>
      </c>
      <c r="F691" s="495" t="s">
        <v>200</v>
      </c>
      <c r="G691" s="492" t="s">
        <v>200</v>
      </c>
      <c r="H691" s="492" t="s">
        <v>200</v>
      </c>
      <c r="I691" s="492" t="s">
        <v>200</v>
      </c>
      <c r="J691" s="492" t="s">
        <v>200</v>
      </c>
      <c r="K691" s="492" t="s">
        <v>200</v>
      </c>
      <c r="L691" s="492" t="s">
        <v>200</v>
      </c>
      <c r="M691" s="493" t="s">
        <v>200</v>
      </c>
      <c r="N691" s="130">
        <v>0</v>
      </c>
      <c r="O691" s="130">
        <v>0</v>
      </c>
    </row>
    <row r="692" spans="3:15" ht="15" customHeight="1">
      <c r="C692" s="498"/>
      <c r="D692" s="483"/>
      <c r="E692" s="124" t="s">
        <v>506</v>
      </c>
      <c r="F692" s="488"/>
      <c r="G692" s="489"/>
      <c r="H692" s="489"/>
      <c r="I692" s="489"/>
      <c r="J692" s="489"/>
      <c r="K692" s="507"/>
      <c r="L692" s="489"/>
      <c r="M692" s="490"/>
      <c r="N692" s="474"/>
      <c r="O692" s="494"/>
    </row>
    <row r="693" spans="3:15" ht="15" customHeight="1">
      <c r="C693" s="498"/>
      <c r="D693" s="487">
        <v>43</v>
      </c>
      <c r="E693" s="206">
        <v>42460</v>
      </c>
      <c r="F693" s="495">
        <v>0</v>
      </c>
      <c r="G693" s="492">
        <v>0</v>
      </c>
      <c r="H693" s="492">
        <v>0</v>
      </c>
      <c r="I693" s="492">
        <v>0</v>
      </c>
      <c r="J693" s="492">
        <v>0</v>
      </c>
      <c r="K693" s="492">
        <v>0</v>
      </c>
      <c r="L693" s="492">
        <v>0</v>
      </c>
      <c r="M693" s="493">
        <v>0</v>
      </c>
      <c r="N693" s="130">
        <v>0</v>
      </c>
      <c r="O693" s="130"/>
    </row>
    <row r="694" spans="3:15" ht="15" customHeight="1">
      <c r="C694" s="498"/>
      <c r="D694" s="487">
        <v>44</v>
      </c>
      <c r="E694" s="206">
        <v>42825</v>
      </c>
      <c r="F694" s="495" t="s">
        <v>200</v>
      </c>
      <c r="G694" s="492" t="s">
        <v>200</v>
      </c>
      <c r="H694" s="492" t="s">
        <v>200</v>
      </c>
      <c r="I694" s="492" t="s">
        <v>200</v>
      </c>
      <c r="J694" s="492" t="s">
        <v>200</v>
      </c>
      <c r="K694" s="492" t="s">
        <v>200</v>
      </c>
      <c r="L694" s="492" t="s">
        <v>200</v>
      </c>
      <c r="M694" s="493" t="s">
        <v>200</v>
      </c>
      <c r="N694" s="130">
        <v>0</v>
      </c>
      <c r="O694" s="130"/>
    </row>
    <row r="695" spans="3:15" ht="15" customHeight="1">
      <c r="C695" s="498"/>
      <c r="D695" s="487">
        <v>45</v>
      </c>
      <c r="E695" s="206">
        <v>43190</v>
      </c>
      <c r="F695" s="495" t="s">
        <v>200</v>
      </c>
      <c r="G695" s="492" t="s">
        <v>200</v>
      </c>
      <c r="H695" s="492" t="s">
        <v>200</v>
      </c>
      <c r="I695" s="492" t="s">
        <v>200</v>
      </c>
      <c r="J695" s="492" t="s">
        <v>200</v>
      </c>
      <c r="K695" s="492" t="s">
        <v>200</v>
      </c>
      <c r="L695" s="492" t="s">
        <v>200</v>
      </c>
      <c r="M695" s="493" t="s">
        <v>200</v>
      </c>
      <c r="N695" s="130">
        <v>0</v>
      </c>
      <c r="O695" s="130"/>
    </row>
    <row r="696" spans="3:15" ht="15" customHeight="1">
      <c r="C696" s="498"/>
      <c r="D696" s="487">
        <v>46</v>
      </c>
      <c r="E696" s="206">
        <v>43555</v>
      </c>
      <c r="F696" s="495" t="s">
        <v>200</v>
      </c>
      <c r="G696" s="492" t="s">
        <v>200</v>
      </c>
      <c r="H696" s="492" t="s">
        <v>200</v>
      </c>
      <c r="I696" s="492" t="s">
        <v>200</v>
      </c>
      <c r="J696" s="492" t="s">
        <v>200</v>
      </c>
      <c r="K696" s="492" t="s">
        <v>200</v>
      </c>
      <c r="L696" s="492" t="s">
        <v>200</v>
      </c>
      <c r="M696" s="493" t="s">
        <v>200</v>
      </c>
      <c r="N696" s="130">
        <v>0</v>
      </c>
      <c r="O696" s="130"/>
    </row>
    <row r="697" spans="3:15" ht="15" customHeight="1">
      <c r="C697" s="498"/>
      <c r="D697" s="487">
        <v>47</v>
      </c>
      <c r="E697" s="206">
        <v>43921</v>
      </c>
      <c r="F697" s="495" t="s">
        <v>200</v>
      </c>
      <c r="G697" s="492" t="s">
        <v>200</v>
      </c>
      <c r="H697" s="492" t="s">
        <v>200</v>
      </c>
      <c r="I697" s="492" t="s">
        <v>200</v>
      </c>
      <c r="J697" s="492" t="s">
        <v>200</v>
      </c>
      <c r="K697" s="492" t="s">
        <v>200</v>
      </c>
      <c r="L697" s="492" t="s">
        <v>200</v>
      </c>
      <c r="M697" s="493" t="s">
        <v>200</v>
      </c>
      <c r="N697" s="130">
        <v>0</v>
      </c>
      <c r="O697" s="130"/>
    </row>
    <row r="698" spans="3:15" ht="15" customHeight="1">
      <c r="C698" s="498"/>
      <c r="D698" s="487">
        <v>48</v>
      </c>
      <c r="E698" s="206">
        <v>44286</v>
      </c>
      <c r="F698" s="495" t="s">
        <v>200</v>
      </c>
      <c r="G698" s="492" t="s">
        <v>200</v>
      </c>
      <c r="H698" s="492" t="s">
        <v>200</v>
      </c>
      <c r="I698" s="492" t="s">
        <v>200</v>
      </c>
      <c r="J698" s="492" t="s">
        <v>200</v>
      </c>
      <c r="K698" s="492" t="s">
        <v>200</v>
      </c>
      <c r="L698" s="492" t="s">
        <v>200</v>
      </c>
      <c r="M698" s="493" t="s">
        <v>200</v>
      </c>
      <c r="N698" s="130">
        <v>0</v>
      </c>
      <c r="O698" s="130"/>
    </row>
    <row r="699" spans="3:15" ht="15" customHeight="1">
      <c r="C699" s="498"/>
      <c r="D699" s="487">
        <v>49</v>
      </c>
      <c r="E699" s="206">
        <v>44651</v>
      </c>
      <c r="F699" s="495" t="s">
        <v>200</v>
      </c>
      <c r="G699" s="492" t="s">
        <v>200</v>
      </c>
      <c r="H699" s="492" t="s">
        <v>200</v>
      </c>
      <c r="I699" s="492" t="s">
        <v>200</v>
      </c>
      <c r="J699" s="492" t="s">
        <v>200</v>
      </c>
      <c r="K699" s="492" t="s">
        <v>200</v>
      </c>
      <c r="L699" s="492" t="s">
        <v>200</v>
      </c>
      <c r="M699" s="493" t="s">
        <v>200</v>
      </c>
      <c r="N699" s="130">
        <v>0</v>
      </c>
      <c r="O699" s="130"/>
    </row>
    <row r="700" spans="3:15" ht="15" customHeight="1">
      <c r="C700" s="498"/>
      <c r="D700" s="487">
        <v>50</v>
      </c>
      <c r="E700" s="206">
        <v>45016</v>
      </c>
      <c r="F700" s="495" t="s">
        <v>200</v>
      </c>
      <c r="G700" s="492" t="s">
        <v>200</v>
      </c>
      <c r="H700" s="492" t="s">
        <v>200</v>
      </c>
      <c r="I700" s="492" t="s">
        <v>200</v>
      </c>
      <c r="J700" s="492" t="s">
        <v>200</v>
      </c>
      <c r="K700" s="492" t="s">
        <v>200</v>
      </c>
      <c r="L700" s="492" t="s">
        <v>200</v>
      </c>
      <c r="M700" s="493" t="s">
        <v>200</v>
      </c>
      <c r="N700" s="130">
        <v>0</v>
      </c>
      <c r="O700" s="130"/>
    </row>
    <row r="701" spans="3:15" ht="15" customHeight="1">
      <c r="C701" s="498"/>
      <c r="D701" s="483"/>
      <c r="E701" s="124" t="s">
        <v>518</v>
      </c>
      <c r="F701" s="488"/>
      <c r="G701" s="489"/>
      <c r="H701" s="489"/>
      <c r="I701" s="489"/>
      <c r="J701" s="489"/>
      <c r="K701" s="507"/>
      <c r="L701" s="489"/>
      <c r="M701" s="490"/>
      <c r="N701" s="474"/>
      <c r="O701" s="494"/>
    </row>
    <row r="702" spans="3:15" ht="15" customHeight="1">
      <c r="C702" s="498"/>
      <c r="D702" s="487">
        <v>51</v>
      </c>
      <c r="E702" s="122" t="s">
        <v>489</v>
      </c>
      <c r="F702" s="491">
        <v>1479.9431787588874</v>
      </c>
      <c r="G702" s="492">
        <v>1517.2791087294863</v>
      </c>
      <c r="H702" s="492">
        <v>1556.0840094477983</v>
      </c>
      <c r="I702" s="492">
        <v>1586.7386361505278</v>
      </c>
      <c r="J702" s="492">
        <v>1613.3459690412751</v>
      </c>
      <c r="K702" s="492">
        <v>1637.3890150898699</v>
      </c>
      <c r="L702" s="492">
        <v>1658.427645865519</v>
      </c>
      <c r="M702" s="493">
        <v>1678.4541570629767</v>
      </c>
      <c r="N702" s="130">
        <v>12727.66172014634</v>
      </c>
      <c r="O702" s="130">
        <v>1590.9577150182924</v>
      </c>
    </row>
    <row r="703" spans="3:15" ht="15" customHeight="1">
      <c r="C703" s="498"/>
      <c r="D703" s="487">
        <v>52</v>
      </c>
      <c r="E703" s="122" t="s">
        <v>490</v>
      </c>
      <c r="F703" s="509">
        <v>0.65</v>
      </c>
      <c r="G703" s="510">
        <v>0.65</v>
      </c>
      <c r="H703" s="510">
        <v>0.65</v>
      </c>
      <c r="I703" s="510">
        <v>0.65</v>
      </c>
      <c r="J703" s="510">
        <v>0.65</v>
      </c>
      <c r="K703" s="510">
        <v>0.65</v>
      </c>
      <c r="L703" s="510">
        <v>0.65</v>
      </c>
      <c r="M703" s="511">
        <v>0.65</v>
      </c>
      <c r="N703" s="234">
        <v>0.64999999999999991</v>
      </c>
      <c r="O703" s="234">
        <v>0.65</v>
      </c>
    </row>
    <row r="704" spans="3:15" ht="15" customHeight="1">
      <c r="C704" s="508"/>
      <c r="D704" s="487">
        <v>53</v>
      </c>
      <c r="E704" s="122" t="s">
        <v>465</v>
      </c>
      <c r="F704" s="491">
        <v>517.98011256561051</v>
      </c>
      <c r="G704" s="492">
        <v>531.04768805532024</v>
      </c>
      <c r="H704" s="492">
        <v>544.62940330672939</v>
      </c>
      <c r="I704" s="492">
        <v>555.35852265268466</v>
      </c>
      <c r="J704" s="492">
        <v>564.67108916444624</v>
      </c>
      <c r="K704" s="492">
        <v>573.08615528145447</v>
      </c>
      <c r="L704" s="492">
        <v>580.44967605293164</v>
      </c>
      <c r="M704" s="493">
        <v>587.45895497204185</v>
      </c>
      <c r="N704" s="130">
        <v>4454.6816020512197</v>
      </c>
      <c r="O704" s="130">
        <v>556.83520025640246</v>
      </c>
    </row>
    <row r="705" spans="3:15" ht="15" customHeight="1">
      <c r="C705" s="508"/>
      <c r="D705" s="487">
        <v>54</v>
      </c>
      <c r="E705" s="122" t="s">
        <v>491</v>
      </c>
      <c r="F705" s="495">
        <v>26.165395400457129</v>
      </c>
      <c r="G705" s="492">
        <v>26.825494642337315</v>
      </c>
      <c r="H705" s="492">
        <v>27.511565287037072</v>
      </c>
      <c r="I705" s="492">
        <v>28.053539087141328</v>
      </c>
      <c r="J705" s="492">
        <v>28.52395673264974</v>
      </c>
      <c r="K705" s="492">
        <v>28.949037786788896</v>
      </c>
      <c r="L705" s="492">
        <v>29.321000778902377</v>
      </c>
      <c r="M705" s="493">
        <v>29.67506949687343</v>
      </c>
      <c r="N705" s="130">
        <v>225.02505921218727</v>
      </c>
      <c r="O705" s="130">
        <v>28.128132401523409</v>
      </c>
    </row>
    <row r="706" spans="3:15" ht="15" customHeight="1" thickBot="1">
      <c r="C706" s="508"/>
      <c r="D706" s="496">
        <v>55</v>
      </c>
      <c r="E706" s="520" t="s">
        <v>874</v>
      </c>
      <c r="F706" s="515">
        <v>517.98011256561051</v>
      </c>
      <c r="G706" s="497">
        <v>531.04768805532024</v>
      </c>
      <c r="H706" s="497">
        <v>544.62940330672939</v>
      </c>
      <c r="I706" s="497">
        <v>555.35852265268466</v>
      </c>
      <c r="J706" s="497">
        <v>564.67108916444624</v>
      </c>
      <c r="K706" s="497">
        <v>573.08615528145447</v>
      </c>
      <c r="L706" s="497">
        <v>580.44967605293164</v>
      </c>
      <c r="M706" s="512">
        <v>587.45895497204185</v>
      </c>
      <c r="N706" s="514"/>
      <c r="O706" s="514">
        <v>556.83520025640246</v>
      </c>
    </row>
    <row r="707" spans="3:15" ht="15" customHeight="1">
      <c r="C707" s="498"/>
      <c r="D707" s="256"/>
      <c r="E707" s="195"/>
      <c r="F707" s="157"/>
      <c r="G707" s="157"/>
      <c r="H707" s="157"/>
      <c r="I707" s="157"/>
      <c r="J707" s="157"/>
      <c r="K707" s="157"/>
      <c r="L707" s="157"/>
      <c r="M707" s="523"/>
      <c r="N707" s="157"/>
      <c r="O707" s="157"/>
    </row>
    <row r="708" spans="3:15" ht="15" customHeight="1">
      <c r="C708" s="498"/>
      <c r="D708" s="256"/>
      <c r="E708" s="195"/>
      <c r="F708" s="157"/>
      <c r="G708" s="157"/>
      <c r="H708" s="157"/>
      <c r="I708" s="157"/>
      <c r="J708" s="157"/>
      <c r="K708" s="157"/>
      <c r="L708" s="157"/>
      <c r="M708" s="523"/>
      <c r="N708" s="157"/>
      <c r="O708" s="157"/>
    </row>
    <row r="709" spans="3:15" ht="15" customHeight="1">
      <c r="C709" s="498"/>
      <c r="D709" s="256"/>
      <c r="E709" s="195"/>
      <c r="F709" s="157"/>
      <c r="G709" s="157"/>
      <c r="H709" s="157"/>
      <c r="I709" s="157"/>
      <c r="J709" s="157"/>
      <c r="K709" s="157"/>
      <c r="L709" s="157"/>
      <c r="M709" s="523"/>
      <c r="N709" s="157"/>
      <c r="O709" s="157"/>
    </row>
    <row r="710" spans="3:15" ht="15" customHeight="1">
      <c r="C710" s="498"/>
      <c r="D710" s="256"/>
      <c r="E710" s="195"/>
      <c r="F710" s="157"/>
      <c r="G710" s="157"/>
      <c r="H710" s="157"/>
      <c r="I710" s="157"/>
      <c r="J710" s="157"/>
      <c r="K710" s="157"/>
      <c r="L710" s="157"/>
      <c r="M710" s="523"/>
      <c r="N710" s="157"/>
      <c r="O710" s="157"/>
    </row>
    <row r="711" spans="3:15" ht="15" customHeight="1">
      <c r="C711" s="498"/>
      <c r="D711" s="256"/>
      <c r="E711" s="195"/>
      <c r="F711" s="157"/>
      <c r="G711" s="157"/>
      <c r="H711" s="157"/>
      <c r="I711" s="157"/>
      <c r="J711" s="157"/>
      <c r="K711" s="157"/>
      <c r="L711" s="157"/>
      <c r="M711" s="523"/>
      <c r="N711" s="157"/>
      <c r="O711" s="157"/>
    </row>
    <row r="712" spans="3:15" ht="15" customHeight="1">
      <c r="C712" s="517" t="s">
        <v>1032</v>
      </c>
      <c r="D712" s="517"/>
      <c r="E712" s="517"/>
      <c r="F712" s="517"/>
      <c r="G712" s="517"/>
      <c r="H712" s="517"/>
      <c r="I712" s="517"/>
      <c r="J712" s="517"/>
      <c r="K712" s="517"/>
      <c r="L712" s="517"/>
      <c r="M712" s="517"/>
      <c r="N712" s="517"/>
      <c r="O712" s="517"/>
    </row>
    <row r="713" spans="3:15" ht="15" customHeight="1">
      <c r="C713" s="508"/>
      <c r="D713" s="508"/>
      <c r="E713" s="508"/>
      <c r="F713" s="508"/>
      <c r="G713" s="508"/>
      <c r="H713" s="508"/>
      <c r="I713" s="508"/>
      <c r="J713" s="508"/>
      <c r="K713" s="508"/>
      <c r="L713" s="508"/>
      <c r="M713" s="508"/>
      <c r="N713" s="508"/>
      <c r="O713" s="508"/>
    </row>
    <row r="714" spans="3:15" ht="15" customHeight="1">
      <c r="C714" s="508"/>
      <c r="D714" s="479"/>
      <c r="E714" s="479"/>
      <c r="F714" s="480"/>
      <c r="G714" s="480"/>
      <c r="H714" s="480"/>
      <c r="I714" s="480"/>
      <c r="J714" s="480"/>
      <c r="K714" s="480"/>
      <c r="L714" s="480"/>
      <c r="M714" s="480"/>
      <c r="N714" s="479"/>
      <c r="O714" s="479"/>
    </row>
    <row r="715" spans="3:15" ht="15" customHeight="1">
      <c r="C715" s="508"/>
      <c r="D715" s="479"/>
      <c r="E715" s="518" t="s">
        <v>58</v>
      </c>
      <c r="F715" s="518" t="s">
        <v>239</v>
      </c>
      <c r="G715" s="480"/>
      <c r="H715" s="518" t="s">
        <v>39</v>
      </c>
      <c r="I715" s="480"/>
      <c r="J715" s="480"/>
      <c r="K715" s="480"/>
      <c r="L715" s="480"/>
      <c r="M715" s="480"/>
      <c r="N715" s="479"/>
      <c r="O715" s="479"/>
    </row>
    <row r="716" spans="3:15" ht="15" customHeight="1">
      <c r="C716" s="508"/>
      <c r="D716" s="118"/>
      <c r="E716" s="118" t="s">
        <v>1033</v>
      </c>
      <c r="F716" s="388">
        <v>42460</v>
      </c>
      <c r="G716" s="119"/>
      <c r="H716" s="118" t="s">
        <v>1042</v>
      </c>
      <c r="I716" s="119"/>
      <c r="J716" s="119"/>
      <c r="K716" s="119"/>
      <c r="L716" s="119"/>
      <c r="M716" s="119"/>
      <c r="N716" s="118"/>
      <c r="O716" s="118"/>
    </row>
    <row r="717" spans="3:15" ht="15" customHeight="1" thickBot="1">
      <c r="C717" s="508"/>
      <c r="D717" s="508"/>
      <c r="E717" s="508"/>
      <c r="F717" s="508"/>
      <c r="G717" s="478"/>
      <c r="H717" s="508"/>
      <c r="I717" s="508"/>
      <c r="J717" s="508"/>
      <c r="K717" s="508"/>
      <c r="L717" s="508"/>
      <c r="M717" s="508"/>
      <c r="N717" s="508"/>
      <c r="O717" s="508"/>
    </row>
    <row r="718" spans="3:15" ht="15" customHeight="1">
      <c r="C718" s="508"/>
      <c r="D718" s="481"/>
      <c r="E718" s="506" t="s">
        <v>236</v>
      </c>
      <c r="F718" s="499">
        <v>42460</v>
      </c>
      <c r="G718" s="500">
        <v>42825</v>
      </c>
      <c r="H718" s="500">
        <v>43190</v>
      </c>
      <c r="I718" s="500">
        <v>43555</v>
      </c>
      <c r="J718" s="500">
        <v>43921</v>
      </c>
      <c r="K718" s="500">
        <v>44286</v>
      </c>
      <c r="L718" s="500">
        <v>44651</v>
      </c>
      <c r="M718" s="501">
        <v>45016</v>
      </c>
      <c r="N718" s="513" t="s">
        <v>86</v>
      </c>
      <c r="O718" s="502" t="s">
        <v>87</v>
      </c>
    </row>
    <row r="719" spans="3:15" ht="15" customHeight="1">
      <c r="C719" s="508"/>
      <c r="D719" s="482"/>
      <c r="E719" s="122" t="s">
        <v>240</v>
      </c>
      <c r="F719" s="503" t="s">
        <v>844</v>
      </c>
      <c r="G719" s="504" t="s">
        <v>844</v>
      </c>
      <c r="H719" s="504" t="s">
        <v>844</v>
      </c>
      <c r="I719" s="504" t="s">
        <v>844</v>
      </c>
      <c r="J719" s="504" t="s">
        <v>844</v>
      </c>
      <c r="K719" s="504" t="s">
        <v>844</v>
      </c>
      <c r="L719" s="504" t="s">
        <v>844</v>
      </c>
      <c r="M719" s="505" t="s">
        <v>844</v>
      </c>
      <c r="N719" s="192" t="s">
        <v>844</v>
      </c>
      <c r="O719" s="192" t="s">
        <v>844</v>
      </c>
    </row>
    <row r="720" spans="3:15" ht="15" customHeight="1">
      <c r="C720" s="508"/>
      <c r="D720" s="483"/>
      <c r="E720" s="124" t="s">
        <v>69</v>
      </c>
      <c r="F720" s="484"/>
      <c r="G720" s="485"/>
      <c r="H720" s="485"/>
      <c r="I720" s="485"/>
      <c r="J720" s="485"/>
      <c r="K720" s="485"/>
      <c r="L720" s="485"/>
      <c r="M720" s="486"/>
      <c r="N720" s="128"/>
      <c r="O720" s="128"/>
    </row>
    <row r="721" spans="3:15" ht="15" customHeight="1">
      <c r="C721" s="508"/>
      <c r="D721" s="487">
        <v>1</v>
      </c>
      <c r="E721" s="122" t="s">
        <v>213</v>
      </c>
      <c r="F721" s="491">
        <v>242.07287166801595</v>
      </c>
      <c r="G721" s="492">
        <v>247.66157234428874</v>
      </c>
      <c r="H721" s="492">
        <v>238.37130086921178</v>
      </c>
      <c r="I721" s="492">
        <v>238.50962808874436</v>
      </c>
      <c r="J721" s="492">
        <v>239.33840881677534</v>
      </c>
      <c r="K721" s="492">
        <v>231.1768404897764</v>
      </c>
      <c r="L721" s="492">
        <v>230.60330593768265</v>
      </c>
      <c r="M721" s="493">
        <v>222.2969124046368</v>
      </c>
      <c r="N721" s="130">
        <v>1890.0308406191321</v>
      </c>
      <c r="O721" s="130">
        <v>236.25385507739151</v>
      </c>
    </row>
    <row r="722" spans="3:15" ht="15" customHeight="1">
      <c r="C722" s="508"/>
      <c r="D722" s="487">
        <v>2</v>
      </c>
      <c r="E722" s="122" t="s">
        <v>879</v>
      </c>
      <c r="F722" s="491">
        <v>113.91664549083103</v>
      </c>
      <c r="G722" s="492">
        <v>116.54662227966526</v>
      </c>
      <c r="H722" s="492">
        <v>112.17472982080551</v>
      </c>
      <c r="I722" s="492">
        <v>112.2398249829385</v>
      </c>
      <c r="J722" s="492">
        <v>112.62983944318839</v>
      </c>
      <c r="K722" s="492">
        <v>108.78910140695359</v>
      </c>
      <c r="L722" s="492">
        <v>108.51920279420358</v>
      </c>
      <c r="M722" s="493">
        <v>104.61031171982907</v>
      </c>
      <c r="N722" s="130">
        <v>889.42627793841484</v>
      </c>
      <c r="O722" s="130">
        <v>111.17828474230186</v>
      </c>
    </row>
    <row r="723" spans="3:15" ht="15" customHeight="1">
      <c r="C723" s="508"/>
      <c r="D723" s="487">
        <v>3</v>
      </c>
      <c r="E723" s="122" t="s">
        <v>214</v>
      </c>
      <c r="F723" s="491">
        <v>355.98951715884698</v>
      </c>
      <c r="G723" s="492">
        <v>364.208194623954</v>
      </c>
      <c r="H723" s="492">
        <v>350.54603069001729</v>
      </c>
      <c r="I723" s="492">
        <v>350.74945307168286</v>
      </c>
      <c r="J723" s="492">
        <v>351.96824825996373</v>
      </c>
      <c r="K723" s="492">
        <v>339.96594189672999</v>
      </c>
      <c r="L723" s="492">
        <v>339.12250873188623</v>
      </c>
      <c r="M723" s="493">
        <v>326.90722412446587</v>
      </c>
      <c r="N723" s="130">
        <v>2779.4571185575469</v>
      </c>
      <c r="O723" s="130">
        <v>347.43213981969336</v>
      </c>
    </row>
    <row r="724" spans="3:15" ht="15" customHeight="1">
      <c r="C724" s="508"/>
      <c r="D724" s="483"/>
      <c r="E724" s="124" t="s">
        <v>16</v>
      </c>
      <c r="F724" s="484"/>
      <c r="G724" s="485"/>
      <c r="H724" s="485"/>
      <c r="I724" s="485"/>
      <c r="J724" s="485"/>
      <c r="K724" s="485"/>
      <c r="L724" s="485"/>
      <c r="M724" s="486"/>
      <c r="N724" s="128"/>
      <c r="O724" s="128"/>
    </row>
    <row r="725" spans="3:15" ht="15" customHeight="1">
      <c r="C725" s="508"/>
      <c r="D725" s="487">
        <v>4</v>
      </c>
      <c r="E725" s="122" t="s">
        <v>492</v>
      </c>
      <c r="F725" s="491">
        <v>2319.640101696933</v>
      </c>
      <c r="G725" s="492">
        <v>2352.7194793771437</v>
      </c>
      <c r="H725" s="492">
        <v>2387.3211240196852</v>
      </c>
      <c r="I725" s="492">
        <v>2409.9383055956782</v>
      </c>
      <c r="J725" s="492">
        <v>2433.3610008396263</v>
      </c>
      <c r="K725" s="492">
        <v>2463.1678904275618</v>
      </c>
      <c r="L725" s="492">
        <v>2499.1255353635015</v>
      </c>
      <c r="M725" s="493">
        <v>2535.770499650183</v>
      </c>
      <c r="N725" s="130"/>
      <c r="O725" s="130">
        <v>2425.1304921212891</v>
      </c>
    </row>
    <row r="726" spans="3:15" ht="15" customHeight="1">
      <c r="C726" s="508"/>
      <c r="D726" s="487">
        <v>5</v>
      </c>
      <c r="E726" s="122" t="s">
        <v>122</v>
      </c>
      <c r="F726" s="491">
        <v>0</v>
      </c>
      <c r="G726" s="492">
        <v>0</v>
      </c>
      <c r="H726" s="492">
        <v>0</v>
      </c>
      <c r="I726" s="492">
        <v>0</v>
      </c>
      <c r="J726" s="492">
        <v>0</v>
      </c>
      <c r="K726" s="492">
        <v>0</v>
      </c>
      <c r="L726" s="492">
        <v>0</v>
      </c>
      <c r="M726" s="493">
        <v>0</v>
      </c>
      <c r="N726" s="130">
        <v>0</v>
      </c>
      <c r="O726" s="130">
        <v>0</v>
      </c>
    </row>
    <row r="727" spans="3:15" ht="15" customHeight="1">
      <c r="C727" s="508"/>
      <c r="D727" s="487">
        <v>6</v>
      </c>
      <c r="E727" s="122" t="s">
        <v>493</v>
      </c>
      <c r="F727" s="491">
        <v>2319.640101696933</v>
      </c>
      <c r="G727" s="492">
        <v>2352.7194793771437</v>
      </c>
      <c r="H727" s="492">
        <v>2387.3211240196852</v>
      </c>
      <c r="I727" s="492">
        <v>2409.9383055956782</v>
      </c>
      <c r="J727" s="492">
        <v>2433.3610008396263</v>
      </c>
      <c r="K727" s="492">
        <v>2463.1678904275618</v>
      </c>
      <c r="L727" s="492">
        <v>2499.1255353635015</v>
      </c>
      <c r="M727" s="493">
        <v>2535.770499650183</v>
      </c>
      <c r="N727" s="130"/>
      <c r="O727" s="130">
        <v>2425.1304921212891</v>
      </c>
    </row>
    <row r="728" spans="3:15" ht="15" customHeight="1">
      <c r="C728" s="508"/>
      <c r="D728" s="487">
        <v>7</v>
      </c>
      <c r="E728" s="122" t="s">
        <v>215</v>
      </c>
      <c r="F728" s="491">
        <v>242.07287166801595</v>
      </c>
      <c r="G728" s="492">
        <v>247.66157234428874</v>
      </c>
      <c r="H728" s="492">
        <v>238.37130086921178</v>
      </c>
      <c r="I728" s="492">
        <v>238.50962808874436</v>
      </c>
      <c r="J728" s="492">
        <v>239.33840881677534</v>
      </c>
      <c r="K728" s="492">
        <v>231.1768404897764</v>
      </c>
      <c r="L728" s="492">
        <v>230.60330593768265</v>
      </c>
      <c r="M728" s="493">
        <v>222.2969124046368</v>
      </c>
      <c r="N728" s="130">
        <v>1890.0308406191321</v>
      </c>
      <c r="O728" s="130">
        <v>236.25385507739151</v>
      </c>
    </row>
    <row r="729" spans="3:15" ht="15" customHeight="1">
      <c r="C729" s="508"/>
      <c r="D729" s="487">
        <v>8</v>
      </c>
      <c r="E729" s="122" t="s">
        <v>0</v>
      </c>
      <c r="F729" s="491">
        <v>-208.99349398780549</v>
      </c>
      <c r="G729" s="492">
        <v>-213.05992770174728</v>
      </c>
      <c r="H729" s="492">
        <v>-215.75411929321874</v>
      </c>
      <c r="I729" s="492">
        <v>-215.08693284479617</v>
      </c>
      <c r="J729" s="492">
        <v>-209.53151922884001</v>
      </c>
      <c r="K729" s="492">
        <v>-195.21919555383639</v>
      </c>
      <c r="L729" s="492">
        <v>-193.95834165100132</v>
      </c>
      <c r="M729" s="493">
        <v>-192.86556951986947</v>
      </c>
      <c r="N729" s="130">
        <v>-1644.4690997811149</v>
      </c>
      <c r="O729" s="130">
        <v>-205.55863747263936</v>
      </c>
    </row>
    <row r="730" spans="3:15" ht="15" customHeight="1">
      <c r="C730" s="508"/>
      <c r="D730" s="487">
        <v>9</v>
      </c>
      <c r="E730" s="122" t="s">
        <v>17</v>
      </c>
      <c r="F730" s="491">
        <v>2352.7194793771437</v>
      </c>
      <c r="G730" s="492">
        <v>2387.3211240196852</v>
      </c>
      <c r="H730" s="492">
        <v>2409.9383055956782</v>
      </c>
      <c r="I730" s="492">
        <v>2433.3610008396263</v>
      </c>
      <c r="J730" s="492">
        <v>2463.1678904275618</v>
      </c>
      <c r="K730" s="492">
        <v>2499.1255353635015</v>
      </c>
      <c r="L730" s="492">
        <v>2535.770499650183</v>
      </c>
      <c r="M730" s="493">
        <v>2565.2018425349502</v>
      </c>
      <c r="N730" s="130"/>
      <c r="O730" s="130">
        <v>2455.8257097260407</v>
      </c>
    </row>
    <row r="731" spans="3:15" ht="15" customHeight="1">
      <c r="C731" s="508"/>
      <c r="D731" s="483"/>
      <c r="E731" s="124" t="s">
        <v>301</v>
      </c>
      <c r="F731" s="488"/>
      <c r="G731" s="489"/>
      <c r="H731" s="489"/>
      <c r="I731" s="489"/>
      <c r="J731" s="489"/>
      <c r="K731" s="489"/>
      <c r="L731" s="489"/>
      <c r="M731" s="490"/>
      <c r="N731" s="134"/>
      <c r="O731" s="134"/>
    </row>
    <row r="732" spans="3:15" ht="15" customHeight="1">
      <c r="C732" s="508"/>
      <c r="D732" s="487">
        <v>10</v>
      </c>
      <c r="E732" s="122" t="s">
        <v>100</v>
      </c>
      <c r="F732" s="491">
        <v>113.91664549083103</v>
      </c>
      <c r="G732" s="492">
        <v>116.54662227966526</v>
      </c>
      <c r="H732" s="492">
        <v>112.17472982080551</v>
      </c>
      <c r="I732" s="492">
        <v>112.2398249829385</v>
      </c>
      <c r="J732" s="492">
        <v>112.62983944318839</v>
      </c>
      <c r="K732" s="492">
        <v>108.78910140695359</v>
      </c>
      <c r="L732" s="492">
        <v>108.51920279420358</v>
      </c>
      <c r="M732" s="493">
        <v>104.61031171982907</v>
      </c>
      <c r="N732" s="130">
        <v>889.42627793841484</v>
      </c>
      <c r="O732" s="130">
        <v>111.17828474230186</v>
      </c>
    </row>
    <row r="733" spans="3:15" ht="15" customHeight="1">
      <c r="C733" s="508"/>
      <c r="D733" s="487">
        <v>11</v>
      </c>
      <c r="E733" s="122" t="s">
        <v>740</v>
      </c>
      <c r="F733" s="491">
        <v>72.47259522043457</v>
      </c>
      <c r="G733" s="492">
        <v>74.692595220434583</v>
      </c>
      <c r="H733" s="492">
        <v>76.235928553767906</v>
      </c>
      <c r="I733" s="492">
        <v>79.069261887101248</v>
      </c>
      <c r="J733" s="492">
        <v>81.562595220434588</v>
      </c>
      <c r="K733" s="492">
        <v>88.029261887101242</v>
      </c>
      <c r="L733" s="492">
        <v>84.379697405183919</v>
      </c>
      <c r="M733" s="493">
        <v>85.889697405183924</v>
      </c>
      <c r="N733" s="130">
        <v>642.33163279964197</v>
      </c>
      <c r="O733" s="130">
        <v>80.291454099955246</v>
      </c>
    </row>
    <row r="734" spans="3:15" ht="15" customHeight="1">
      <c r="C734" s="508"/>
      <c r="D734" s="487">
        <v>12</v>
      </c>
      <c r="E734" s="122" t="s">
        <v>67</v>
      </c>
      <c r="F734" s="491">
        <v>208.99349398780549</v>
      </c>
      <c r="G734" s="492">
        <v>213.05992770174728</v>
      </c>
      <c r="H734" s="492">
        <v>215.75411929321874</v>
      </c>
      <c r="I734" s="492">
        <v>215.08693284479617</v>
      </c>
      <c r="J734" s="492">
        <v>209.53151922884001</v>
      </c>
      <c r="K734" s="492">
        <v>195.21919555383639</v>
      </c>
      <c r="L734" s="492">
        <v>193.95834165100132</v>
      </c>
      <c r="M734" s="493">
        <v>192.86556951986947</v>
      </c>
      <c r="N734" s="130">
        <v>1644.4690997811149</v>
      </c>
      <c r="O734" s="130">
        <v>205.55863747263936</v>
      </c>
    </row>
    <row r="735" spans="3:15" ht="15" customHeight="1">
      <c r="C735" s="508"/>
      <c r="D735" s="487">
        <v>13</v>
      </c>
      <c r="E735" s="122" t="s">
        <v>19</v>
      </c>
      <c r="F735" s="491">
        <v>88.668974325506582</v>
      </c>
      <c r="G735" s="492">
        <v>89.953004730904311</v>
      </c>
      <c r="H735" s="492">
        <v>91.043327633912156</v>
      </c>
      <c r="I735" s="492">
        <v>91.916869513855772</v>
      </c>
      <c r="J735" s="492">
        <v>92.924862364769425</v>
      </c>
      <c r="K735" s="492">
        <v>94.170851286626061</v>
      </c>
      <c r="L735" s="492">
        <v>95.548593556585928</v>
      </c>
      <c r="M735" s="493">
        <v>96.805312491295098</v>
      </c>
      <c r="N735" s="130">
        <v>741.03179590345542</v>
      </c>
      <c r="O735" s="130">
        <v>92.628974487931927</v>
      </c>
    </row>
    <row r="736" spans="3:15" ht="15" customHeight="1">
      <c r="C736" s="508"/>
      <c r="D736" s="487">
        <v>14</v>
      </c>
      <c r="E736" s="122" t="s">
        <v>105</v>
      </c>
      <c r="F736" s="491">
        <v>0</v>
      </c>
      <c r="G736" s="492">
        <v>0</v>
      </c>
      <c r="H736" s="492">
        <v>0</v>
      </c>
      <c r="I736" s="492">
        <v>0</v>
      </c>
      <c r="J736" s="492">
        <v>0</v>
      </c>
      <c r="K736" s="492">
        <v>0</v>
      </c>
      <c r="L736" s="492">
        <v>0</v>
      </c>
      <c r="M736" s="493">
        <v>0</v>
      </c>
      <c r="N736" s="130">
        <v>0</v>
      </c>
      <c r="O736" s="130">
        <v>0</v>
      </c>
    </row>
    <row r="737" spans="3:15" ht="15" customHeight="1">
      <c r="C737" s="508"/>
      <c r="D737" s="487">
        <v>15</v>
      </c>
      <c r="E737" s="122" t="s">
        <v>23</v>
      </c>
      <c r="F737" s="491">
        <v>0</v>
      </c>
      <c r="G737" s="492">
        <v>0</v>
      </c>
      <c r="H737" s="492">
        <v>0</v>
      </c>
      <c r="I737" s="492">
        <v>0</v>
      </c>
      <c r="J737" s="492">
        <v>0</v>
      </c>
      <c r="K737" s="492">
        <v>0</v>
      </c>
      <c r="L737" s="492">
        <v>0</v>
      </c>
      <c r="M737" s="493">
        <v>0</v>
      </c>
      <c r="N737" s="130">
        <v>0</v>
      </c>
      <c r="O737" s="130">
        <v>0</v>
      </c>
    </row>
    <row r="738" spans="3:15" ht="15" customHeight="1">
      <c r="C738" s="508"/>
      <c r="D738" s="487">
        <v>16</v>
      </c>
      <c r="E738" s="122" t="s">
        <v>220</v>
      </c>
      <c r="F738" s="491">
        <v>-12.073019867162751</v>
      </c>
      <c r="G738" s="492">
        <v>-11.672158531499649</v>
      </c>
      <c r="H738" s="492">
        <v>-2.5602589508604781</v>
      </c>
      <c r="I738" s="492">
        <v>4.6158703701536226</v>
      </c>
      <c r="J738" s="492">
        <v>16.431736932185032</v>
      </c>
      <c r="K738" s="492">
        <v>37.553522745004983</v>
      </c>
      <c r="L738" s="492">
        <v>50.009447482487879</v>
      </c>
      <c r="M738" s="493">
        <v>61.853642798497404</v>
      </c>
      <c r="N738" s="130">
        <v>144.15878297880602</v>
      </c>
      <c r="O738" s="130">
        <v>18.019847872350752</v>
      </c>
    </row>
    <row r="739" spans="3:15" ht="15" customHeight="1">
      <c r="C739" s="508"/>
      <c r="D739" s="487">
        <v>17</v>
      </c>
      <c r="E739" s="122" t="s">
        <v>7</v>
      </c>
      <c r="F739" s="491">
        <v>29.86138153011369</v>
      </c>
      <c r="G739" s="492">
        <v>29.516759013709933</v>
      </c>
      <c r="H739" s="492">
        <v>29.838010286050103</v>
      </c>
      <c r="I739" s="492">
        <v>30.181145302467577</v>
      </c>
      <c r="J739" s="492">
        <v>30.831073573983211</v>
      </c>
      <c r="K739" s="492">
        <v>31.216048687440104</v>
      </c>
      <c r="L739" s="492">
        <v>33.876690047829825</v>
      </c>
      <c r="M739" s="493">
        <v>35.826684804571656</v>
      </c>
      <c r="N739" s="130">
        <v>251.14779324616609</v>
      </c>
      <c r="O739" s="130">
        <v>31.393474155770761</v>
      </c>
    </row>
    <row r="740" spans="3:15" ht="15" customHeight="1">
      <c r="C740" s="508"/>
      <c r="D740" s="483"/>
      <c r="E740" s="124" t="s">
        <v>167</v>
      </c>
      <c r="F740" s="488"/>
      <c r="G740" s="489"/>
      <c r="H740" s="489"/>
      <c r="I740" s="489"/>
      <c r="J740" s="489"/>
      <c r="K740" s="489"/>
      <c r="L740" s="489"/>
      <c r="M740" s="490"/>
      <c r="N740" s="134"/>
      <c r="O740" s="134"/>
    </row>
    <row r="741" spans="3:15" ht="15" customHeight="1">
      <c r="C741" s="508"/>
      <c r="D741" s="487">
        <v>18</v>
      </c>
      <c r="E741" s="122" t="s">
        <v>100</v>
      </c>
      <c r="F741" s="491">
        <v>113.91664549083103</v>
      </c>
      <c r="G741" s="492">
        <v>116.54662227966526</v>
      </c>
      <c r="H741" s="492">
        <v>112.17472982080551</v>
      </c>
      <c r="I741" s="492">
        <v>112.2398249829385</v>
      </c>
      <c r="J741" s="492">
        <v>112.62983944318839</v>
      </c>
      <c r="K741" s="492">
        <v>108.78910140695359</v>
      </c>
      <c r="L741" s="492">
        <v>108.51920279420358</v>
      </c>
      <c r="M741" s="493">
        <v>104.61031171982907</v>
      </c>
      <c r="N741" s="130">
        <v>889.42627793841484</v>
      </c>
      <c r="O741" s="130">
        <v>111.17828474230186</v>
      </c>
    </row>
    <row r="742" spans="3:15" ht="15" customHeight="1">
      <c r="C742" s="508"/>
      <c r="D742" s="487">
        <v>19</v>
      </c>
      <c r="E742" s="122" t="s">
        <v>740</v>
      </c>
      <c r="F742" s="491">
        <v>72.47259522043457</v>
      </c>
      <c r="G742" s="492">
        <v>74.692595220434583</v>
      </c>
      <c r="H742" s="492">
        <v>76.235928553767906</v>
      </c>
      <c r="I742" s="492">
        <v>79.069261887101248</v>
      </c>
      <c r="J742" s="492">
        <v>81.562595220434588</v>
      </c>
      <c r="K742" s="492">
        <v>88.029261887101242</v>
      </c>
      <c r="L742" s="492">
        <v>84.379697405183919</v>
      </c>
      <c r="M742" s="493">
        <v>85.889697405183924</v>
      </c>
      <c r="N742" s="130">
        <v>642.33163279964197</v>
      </c>
      <c r="O742" s="130">
        <v>80.291454099955246</v>
      </c>
    </row>
    <row r="743" spans="3:15" ht="15" customHeight="1">
      <c r="C743" s="508"/>
      <c r="D743" s="487">
        <v>20</v>
      </c>
      <c r="E743" s="122" t="s">
        <v>67</v>
      </c>
      <c r="F743" s="491">
        <v>208.99349398780549</v>
      </c>
      <c r="G743" s="492">
        <v>213.05992770174728</v>
      </c>
      <c r="H743" s="492">
        <v>215.75411929321874</v>
      </c>
      <c r="I743" s="492">
        <v>215.08693284479617</v>
      </c>
      <c r="J743" s="492">
        <v>209.53151922884001</v>
      </c>
      <c r="K743" s="492">
        <v>195.21919555383639</v>
      </c>
      <c r="L743" s="492">
        <v>193.95834165100132</v>
      </c>
      <c r="M743" s="493">
        <v>192.86556951986947</v>
      </c>
      <c r="N743" s="130">
        <v>1644.4690997811149</v>
      </c>
      <c r="O743" s="130">
        <v>205.55863747263936</v>
      </c>
    </row>
    <row r="744" spans="3:15" ht="15" customHeight="1">
      <c r="C744" s="508"/>
      <c r="D744" s="487">
        <v>21</v>
      </c>
      <c r="E744" s="122" t="s">
        <v>19</v>
      </c>
      <c r="F744" s="491">
        <v>88.668974325506582</v>
      </c>
      <c r="G744" s="492">
        <v>89.953004730904311</v>
      </c>
      <c r="H744" s="492">
        <v>91.043327633912156</v>
      </c>
      <c r="I744" s="492">
        <v>91.916869513855772</v>
      </c>
      <c r="J744" s="492">
        <v>92.924862364769425</v>
      </c>
      <c r="K744" s="492">
        <v>94.170851286626061</v>
      </c>
      <c r="L744" s="492">
        <v>95.548593556585928</v>
      </c>
      <c r="M744" s="493">
        <v>96.805312491295098</v>
      </c>
      <c r="N744" s="130">
        <v>741.03179590345542</v>
      </c>
      <c r="O744" s="130">
        <v>92.628974487931927</v>
      </c>
    </row>
    <row r="745" spans="3:15" ht="15" customHeight="1">
      <c r="C745" s="508"/>
      <c r="D745" s="487">
        <v>22</v>
      </c>
      <c r="E745" s="122" t="s">
        <v>105</v>
      </c>
      <c r="F745" s="491">
        <v>0</v>
      </c>
      <c r="G745" s="492">
        <v>0</v>
      </c>
      <c r="H745" s="492">
        <v>0</v>
      </c>
      <c r="I745" s="492">
        <v>0</v>
      </c>
      <c r="J745" s="492">
        <v>0</v>
      </c>
      <c r="K745" s="492">
        <v>0</v>
      </c>
      <c r="L745" s="492">
        <v>0</v>
      </c>
      <c r="M745" s="493">
        <v>0</v>
      </c>
      <c r="N745" s="130">
        <v>0</v>
      </c>
      <c r="O745" s="130">
        <v>0</v>
      </c>
    </row>
    <row r="746" spans="3:15" ht="15" customHeight="1">
      <c r="C746" s="508"/>
      <c r="D746" s="487">
        <v>23</v>
      </c>
      <c r="E746" s="122" t="s">
        <v>23</v>
      </c>
      <c r="F746" s="491">
        <v>0</v>
      </c>
      <c r="G746" s="492">
        <v>0</v>
      </c>
      <c r="H746" s="492">
        <v>0</v>
      </c>
      <c r="I746" s="492">
        <v>0</v>
      </c>
      <c r="J746" s="492">
        <v>0</v>
      </c>
      <c r="K746" s="492">
        <v>0</v>
      </c>
      <c r="L746" s="492">
        <v>0</v>
      </c>
      <c r="M746" s="493">
        <v>0</v>
      </c>
      <c r="N746" s="130">
        <v>0</v>
      </c>
      <c r="O746" s="130">
        <v>0</v>
      </c>
    </row>
    <row r="747" spans="3:15" ht="15" customHeight="1">
      <c r="C747" s="508"/>
      <c r="D747" s="487">
        <v>24</v>
      </c>
      <c r="E747" s="122" t="s">
        <v>220</v>
      </c>
      <c r="F747" s="491">
        <v>-12.073019867162751</v>
      </c>
      <c r="G747" s="492">
        <v>-11.672158531499649</v>
      </c>
      <c r="H747" s="492">
        <v>-2.5602589508604781</v>
      </c>
      <c r="I747" s="492">
        <v>4.6158703701536226</v>
      </c>
      <c r="J747" s="492">
        <v>16.431736932185032</v>
      </c>
      <c r="K747" s="492">
        <v>37.553522745004983</v>
      </c>
      <c r="L747" s="492">
        <v>50.009447482487879</v>
      </c>
      <c r="M747" s="493">
        <v>61.853642798497404</v>
      </c>
      <c r="N747" s="130">
        <v>144.15878297880602</v>
      </c>
      <c r="O747" s="130">
        <v>18.019847872350752</v>
      </c>
    </row>
    <row r="748" spans="3:15" ht="15" customHeight="1">
      <c r="C748" s="508"/>
      <c r="D748" s="487">
        <v>25</v>
      </c>
      <c r="E748" s="122" t="s">
        <v>7</v>
      </c>
      <c r="F748" s="491">
        <v>29.86138153011369</v>
      </c>
      <c r="G748" s="492">
        <v>29.516759013709933</v>
      </c>
      <c r="H748" s="492">
        <v>29.838010286050103</v>
      </c>
      <c r="I748" s="492">
        <v>30.181145302467577</v>
      </c>
      <c r="J748" s="492">
        <v>30.831073573983211</v>
      </c>
      <c r="K748" s="492">
        <v>31.216048687440104</v>
      </c>
      <c r="L748" s="492">
        <v>33.876690047829825</v>
      </c>
      <c r="M748" s="493">
        <v>35.826684804571656</v>
      </c>
      <c r="N748" s="130">
        <v>251.14779324616609</v>
      </c>
      <c r="O748" s="130">
        <v>31.393474155770761</v>
      </c>
    </row>
    <row r="749" spans="3:15" ht="15" customHeight="1">
      <c r="C749" s="508"/>
      <c r="D749" s="483"/>
      <c r="E749" s="124" t="s">
        <v>20</v>
      </c>
      <c r="F749" s="488"/>
      <c r="G749" s="489"/>
      <c r="H749" s="489"/>
      <c r="I749" s="489"/>
      <c r="J749" s="489"/>
      <c r="K749" s="489"/>
      <c r="L749" s="489"/>
      <c r="M749" s="490"/>
      <c r="N749" s="474"/>
      <c r="O749" s="494"/>
    </row>
    <row r="750" spans="3:15" ht="15" customHeight="1">
      <c r="C750" s="508"/>
      <c r="D750" s="487">
        <v>26</v>
      </c>
      <c r="E750" s="122" t="s">
        <v>505</v>
      </c>
      <c r="F750" s="491">
        <v>501.84007068752862</v>
      </c>
      <c r="G750" s="492">
        <v>512.09675041496178</v>
      </c>
      <c r="H750" s="492">
        <v>522.48585663689391</v>
      </c>
      <c r="I750" s="492">
        <v>533.10990490131292</v>
      </c>
      <c r="J750" s="492">
        <v>543.91162676340059</v>
      </c>
      <c r="K750" s="492">
        <v>554.9779815669624</v>
      </c>
      <c r="L750" s="492">
        <v>566.29197293729248</v>
      </c>
      <c r="M750" s="493">
        <v>577.85121873924663</v>
      </c>
      <c r="N750" s="130">
        <v>4312.5653826475991</v>
      </c>
      <c r="O750" s="130">
        <v>539.07067283094989</v>
      </c>
    </row>
    <row r="751" spans="3:15" ht="15" customHeight="1">
      <c r="C751" s="508"/>
      <c r="D751" s="487">
        <v>27</v>
      </c>
      <c r="E751" s="122" t="s">
        <v>60</v>
      </c>
      <c r="F751" s="491">
        <v>0</v>
      </c>
      <c r="G751" s="492">
        <v>0</v>
      </c>
      <c r="H751" s="492">
        <v>0</v>
      </c>
      <c r="I751" s="492">
        <v>0</v>
      </c>
      <c r="J751" s="492">
        <v>0</v>
      </c>
      <c r="K751" s="492">
        <v>0</v>
      </c>
      <c r="L751" s="492">
        <v>0</v>
      </c>
      <c r="M751" s="493">
        <v>0</v>
      </c>
      <c r="N751" s="130">
        <v>0</v>
      </c>
      <c r="O751" s="130">
        <v>0</v>
      </c>
    </row>
    <row r="752" spans="3:15" ht="15" customHeight="1">
      <c r="C752" s="508"/>
      <c r="D752" s="487">
        <v>28</v>
      </c>
      <c r="E752" s="122" t="s">
        <v>45</v>
      </c>
      <c r="F752" s="495">
        <v>501.84007068752862</v>
      </c>
      <c r="G752" s="492">
        <v>512.09675041496178</v>
      </c>
      <c r="H752" s="492">
        <v>522.48585663689391</v>
      </c>
      <c r="I752" s="492">
        <v>533.10990490131292</v>
      </c>
      <c r="J752" s="492">
        <v>543.91162676340059</v>
      </c>
      <c r="K752" s="492">
        <v>554.9779815669624</v>
      </c>
      <c r="L752" s="492">
        <v>566.29197293729248</v>
      </c>
      <c r="M752" s="493">
        <v>577.85121873924663</v>
      </c>
      <c r="N752" s="130">
        <v>4312.5653826475991</v>
      </c>
      <c r="O752" s="130">
        <v>539.07067283094989</v>
      </c>
    </row>
    <row r="753" spans="3:15" ht="15" customHeight="1">
      <c r="C753" s="508"/>
      <c r="D753" s="487">
        <v>29</v>
      </c>
      <c r="E753" s="122" t="s">
        <v>521</v>
      </c>
      <c r="F753" s="495"/>
      <c r="G753" s="492"/>
      <c r="H753" s="492"/>
      <c r="I753" s="492"/>
      <c r="J753" s="492"/>
      <c r="K753" s="492"/>
      <c r="L753" s="492"/>
      <c r="M753" s="493"/>
      <c r="N753" s="130"/>
      <c r="O753" s="130"/>
    </row>
    <row r="754" spans="3:15" ht="15" customHeight="1">
      <c r="C754" s="508"/>
      <c r="D754" s="487">
        <v>30</v>
      </c>
      <c r="E754" s="122" t="s">
        <v>521</v>
      </c>
      <c r="F754" s="495"/>
      <c r="G754" s="492"/>
      <c r="H754" s="492"/>
      <c r="I754" s="492"/>
      <c r="J754" s="492"/>
      <c r="K754" s="492"/>
      <c r="L754" s="492"/>
      <c r="M754" s="493"/>
      <c r="N754" s="130"/>
      <c r="O754" s="130"/>
    </row>
    <row r="755" spans="3:15" ht="15" customHeight="1">
      <c r="C755" s="508"/>
      <c r="D755" s="487">
        <v>31</v>
      </c>
      <c r="E755" s="122" t="s">
        <v>729</v>
      </c>
      <c r="F755" s="495">
        <v>0.1</v>
      </c>
      <c r="G755" s="492">
        <v>0.1</v>
      </c>
      <c r="H755" s="492">
        <v>0.1</v>
      </c>
      <c r="I755" s="492">
        <v>0.1</v>
      </c>
      <c r="J755" s="492">
        <v>0.1</v>
      </c>
      <c r="K755" s="492">
        <v>0.1</v>
      </c>
      <c r="L755" s="492">
        <v>0.1</v>
      </c>
      <c r="M755" s="493">
        <v>0.1</v>
      </c>
      <c r="N755" s="130">
        <v>0.79999999999999993</v>
      </c>
      <c r="O755" s="130">
        <v>9.9999999999999992E-2</v>
      </c>
    </row>
    <row r="756" spans="3:15" ht="15" customHeight="1">
      <c r="C756" s="508"/>
      <c r="D756" s="487">
        <v>32</v>
      </c>
      <c r="E756" s="122" t="s">
        <v>10</v>
      </c>
      <c r="F756" s="495">
        <v>501.94007068752865</v>
      </c>
      <c r="G756" s="492">
        <v>512.1967504149618</v>
      </c>
      <c r="H756" s="492">
        <v>522.58585663689394</v>
      </c>
      <c r="I756" s="492">
        <v>533.20990490131294</v>
      </c>
      <c r="J756" s="492">
        <v>544.01162676340061</v>
      </c>
      <c r="K756" s="492">
        <v>555.07798156696242</v>
      </c>
      <c r="L756" s="492">
        <v>566.39197293729251</v>
      </c>
      <c r="M756" s="519">
        <v>577.95121873924666</v>
      </c>
      <c r="N756" s="130">
        <v>4313.3653826476002</v>
      </c>
      <c r="O756" s="130">
        <v>539.17067283095002</v>
      </c>
    </row>
    <row r="757" spans="3:15" ht="15" customHeight="1">
      <c r="C757" s="508"/>
      <c r="D757" s="483"/>
      <c r="E757" s="124" t="s">
        <v>176</v>
      </c>
      <c r="F757" s="488"/>
      <c r="G757" s="489"/>
      <c r="H757" s="489"/>
      <c r="I757" s="489"/>
      <c r="J757" s="489"/>
      <c r="K757" s="507"/>
      <c r="L757" s="489"/>
      <c r="M757" s="490"/>
      <c r="N757" s="474"/>
      <c r="O757" s="494"/>
    </row>
    <row r="758" spans="3:15" ht="15" customHeight="1">
      <c r="C758" s="508"/>
      <c r="D758" s="487">
        <v>33</v>
      </c>
      <c r="E758" s="122" t="s">
        <v>176</v>
      </c>
      <c r="F758" s="491">
        <v>501.84007068752862</v>
      </c>
      <c r="G758" s="492">
        <v>512.09675041496178</v>
      </c>
      <c r="H758" s="492">
        <v>522.48585663689391</v>
      </c>
      <c r="I758" s="492">
        <v>533.10990490131292</v>
      </c>
      <c r="J758" s="492">
        <v>543.91162676340059</v>
      </c>
      <c r="K758" s="492">
        <v>554.9779815669624</v>
      </c>
      <c r="L758" s="492">
        <v>566.29197293729248</v>
      </c>
      <c r="M758" s="493">
        <v>577.85121873924663</v>
      </c>
      <c r="N758" s="130">
        <v>4312.5653826475991</v>
      </c>
      <c r="O758" s="130">
        <v>539.07067283094989</v>
      </c>
    </row>
    <row r="759" spans="3:15" ht="15" customHeight="1">
      <c r="C759" s="508"/>
      <c r="D759" s="487">
        <v>34</v>
      </c>
      <c r="E759" s="122" t="s">
        <v>191</v>
      </c>
      <c r="F759" s="491">
        <v>0</v>
      </c>
      <c r="G759" s="492">
        <v>0</v>
      </c>
      <c r="H759" s="492">
        <v>0</v>
      </c>
      <c r="I759" s="492">
        <v>0</v>
      </c>
      <c r="J759" s="492">
        <v>0</v>
      </c>
      <c r="K759" s="492">
        <v>0</v>
      </c>
      <c r="L759" s="492">
        <v>0</v>
      </c>
      <c r="M759" s="493">
        <v>0</v>
      </c>
      <c r="N759" s="130">
        <v>0</v>
      </c>
      <c r="O759" s="130">
        <v>0</v>
      </c>
    </row>
    <row r="760" spans="3:15" ht="15" customHeight="1">
      <c r="C760" s="498"/>
      <c r="D760" s="483"/>
      <c r="E760" s="124" t="s">
        <v>302</v>
      </c>
      <c r="F760" s="488"/>
      <c r="G760" s="489"/>
      <c r="H760" s="489"/>
      <c r="I760" s="489"/>
      <c r="J760" s="489"/>
      <c r="K760" s="507"/>
      <c r="L760" s="489"/>
      <c r="M760" s="490"/>
      <c r="N760" s="474"/>
      <c r="O760" s="494"/>
    </row>
    <row r="761" spans="3:15" ht="15" customHeight="1">
      <c r="C761" s="498"/>
      <c r="D761" s="487">
        <v>35</v>
      </c>
      <c r="E761" s="206">
        <v>42460</v>
      </c>
      <c r="F761" s="495">
        <v>501.84007068752862</v>
      </c>
      <c r="G761" s="492">
        <v>512.09675041496178</v>
      </c>
      <c r="H761" s="492">
        <v>522.48585663689391</v>
      </c>
      <c r="I761" s="492">
        <v>533.10990490131292</v>
      </c>
      <c r="J761" s="492">
        <v>543.91162676340059</v>
      </c>
      <c r="K761" s="492">
        <v>554.9779815669624</v>
      </c>
      <c r="L761" s="492">
        <v>566.29197293729248</v>
      </c>
      <c r="M761" s="493">
        <v>577.85121873924663</v>
      </c>
      <c r="N761" s="130">
        <v>4312.5653826475991</v>
      </c>
      <c r="O761" s="130">
        <v>539.07067283094989</v>
      </c>
    </row>
    <row r="762" spans="3:15" ht="15" customHeight="1">
      <c r="C762" s="498"/>
      <c r="D762" s="487">
        <v>36</v>
      </c>
      <c r="E762" s="206">
        <v>42825</v>
      </c>
      <c r="F762" s="495" t="s">
        <v>200</v>
      </c>
      <c r="G762" s="492" t="s">
        <v>200</v>
      </c>
      <c r="H762" s="492" t="s">
        <v>200</v>
      </c>
      <c r="I762" s="492" t="s">
        <v>200</v>
      </c>
      <c r="J762" s="492" t="s">
        <v>200</v>
      </c>
      <c r="K762" s="492" t="s">
        <v>200</v>
      </c>
      <c r="L762" s="492" t="s">
        <v>200</v>
      </c>
      <c r="M762" s="493" t="s">
        <v>200</v>
      </c>
      <c r="N762" s="130">
        <v>0</v>
      </c>
      <c r="O762" s="130">
        <v>0</v>
      </c>
    </row>
    <row r="763" spans="3:15" ht="15" customHeight="1">
      <c r="C763" s="498"/>
      <c r="D763" s="487">
        <v>37</v>
      </c>
      <c r="E763" s="206">
        <v>43190</v>
      </c>
      <c r="F763" s="495" t="s">
        <v>200</v>
      </c>
      <c r="G763" s="492" t="s">
        <v>200</v>
      </c>
      <c r="H763" s="492" t="s">
        <v>200</v>
      </c>
      <c r="I763" s="492" t="s">
        <v>200</v>
      </c>
      <c r="J763" s="492" t="s">
        <v>200</v>
      </c>
      <c r="K763" s="492" t="s">
        <v>200</v>
      </c>
      <c r="L763" s="492" t="s">
        <v>200</v>
      </c>
      <c r="M763" s="493" t="s">
        <v>200</v>
      </c>
      <c r="N763" s="130">
        <v>0</v>
      </c>
      <c r="O763" s="130">
        <v>0</v>
      </c>
    </row>
    <row r="764" spans="3:15" ht="15" customHeight="1">
      <c r="C764" s="498"/>
      <c r="D764" s="487">
        <v>38</v>
      </c>
      <c r="E764" s="206">
        <v>43555</v>
      </c>
      <c r="F764" s="495" t="s">
        <v>200</v>
      </c>
      <c r="G764" s="492" t="s">
        <v>200</v>
      </c>
      <c r="H764" s="492" t="s">
        <v>200</v>
      </c>
      <c r="I764" s="492" t="s">
        <v>200</v>
      </c>
      <c r="J764" s="492" t="s">
        <v>200</v>
      </c>
      <c r="K764" s="492" t="s">
        <v>200</v>
      </c>
      <c r="L764" s="492" t="s">
        <v>200</v>
      </c>
      <c r="M764" s="493" t="s">
        <v>200</v>
      </c>
      <c r="N764" s="130">
        <v>0</v>
      </c>
      <c r="O764" s="130">
        <v>0</v>
      </c>
    </row>
    <row r="765" spans="3:15" ht="15" customHeight="1">
      <c r="C765" s="498"/>
      <c r="D765" s="487">
        <v>39</v>
      </c>
      <c r="E765" s="206">
        <v>43921</v>
      </c>
      <c r="F765" s="495" t="s">
        <v>200</v>
      </c>
      <c r="G765" s="492" t="s">
        <v>200</v>
      </c>
      <c r="H765" s="492" t="s">
        <v>200</v>
      </c>
      <c r="I765" s="492" t="s">
        <v>200</v>
      </c>
      <c r="J765" s="492" t="s">
        <v>200</v>
      </c>
      <c r="K765" s="492" t="s">
        <v>200</v>
      </c>
      <c r="L765" s="492" t="s">
        <v>200</v>
      </c>
      <c r="M765" s="493" t="s">
        <v>200</v>
      </c>
      <c r="N765" s="130">
        <v>0</v>
      </c>
      <c r="O765" s="130">
        <v>0</v>
      </c>
    </row>
    <row r="766" spans="3:15" ht="15" customHeight="1">
      <c r="C766" s="498"/>
      <c r="D766" s="487">
        <v>40</v>
      </c>
      <c r="E766" s="206">
        <v>44286</v>
      </c>
      <c r="F766" s="495" t="s">
        <v>200</v>
      </c>
      <c r="G766" s="492" t="s">
        <v>200</v>
      </c>
      <c r="H766" s="492" t="s">
        <v>200</v>
      </c>
      <c r="I766" s="492" t="s">
        <v>200</v>
      </c>
      <c r="J766" s="492" t="s">
        <v>200</v>
      </c>
      <c r="K766" s="492" t="s">
        <v>200</v>
      </c>
      <c r="L766" s="492" t="s">
        <v>200</v>
      </c>
      <c r="M766" s="493" t="s">
        <v>200</v>
      </c>
      <c r="N766" s="130">
        <v>0</v>
      </c>
      <c r="O766" s="130">
        <v>0</v>
      </c>
    </row>
    <row r="767" spans="3:15" ht="15" customHeight="1">
      <c r="C767" s="498"/>
      <c r="D767" s="487">
        <v>41</v>
      </c>
      <c r="E767" s="206">
        <v>44651</v>
      </c>
      <c r="F767" s="495" t="s">
        <v>200</v>
      </c>
      <c r="G767" s="492" t="s">
        <v>200</v>
      </c>
      <c r="H767" s="492" t="s">
        <v>200</v>
      </c>
      <c r="I767" s="492" t="s">
        <v>200</v>
      </c>
      <c r="J767" s="492" t="s">
        <v>200</v>
      </c>
      <c r="K767" s="492" t="s">
        <v>200</v>
      </c>
      <c r="L767" s="492" t="s">
        <v>200</v>
      </c>
      <c r="M767" s="493" t="s">
        <v>200</v>
      </c>
      <c r="N767" s="130">
        <v>0</v>
      </c>
      <c r="O767" s="130">
        <v>0</v>
      </c>
    </row>
    <row r="768" spans="3:15" ht="15" customHeight="1">
      <c r="C768" s="498"/>
      <c r="D768" s="487">
        <v>42</v>
      </c>
      <c r="E768" s="206">
        <v>45016</v>
      </c>
      <c r="F768" s="495" t="s">
        <v>200</v>
      </c>
      <c r="G768" s="492" t="s">
        <v>200</v>
      </c>
      <c r="H768" s="492" t="s">
        <v>200</v>
      </c>
      <c r="I768" s="492" t="s">
        <v>200</v>
      </c>
      <c r="J768" s="492" t="s">
        <v>200</v>
      </c>
      <c r="K768" s="492" t="s">
        <v>200</v>
      </c>
      <c r="L768" s="492" t="s">
        <v>200</v>
      </c>
      <c r="M768" s="493" t="s">
        <v>200</v>
      </c>
      <c r="N768" s="130">
        <v>0</v>
      </c>
      <c r="O768" s="130">
        <v>0</v>
      </c>
    </row>
    <row r="769" spans="3:15" ht="15" customHeight="1">
      <c r="C769" s="498"/>
      <c r="D769" s="483"/>
      <c r="E769" s="124" t="s">
        <v>506</v>
      </c>
      <c r="F769" s="488"/>
      <c r="G769" s="489"/>
      <c r="H769" s="489"/>
      <c r="I769" s="489"/>
      <c r="J769" s="489"/>
      <c r="K769" s="507"/>
      <c r="L769" s="489"/>
      <c r="M769" s="490"/>
      <c r="N769" s="474"/>
      <c r="O769" s="494"/>
    </row>
    <row r="770" spans="3:15" ht="15" customHeight="1">
      <c r="C770" s="498"/>
      <c r="D770" s="487">
        <v>43</v>
      </c>
      <c r="E770" s="206">
        <v>42460</v>
      </c>
      <c r="F770" s="495">
        <v>0</v>
      </c>
      <c r="G770" s="492">
        <v>0</v>
      </c>
      <c r="H770" s="492">
        <v>0</v>
      </c>
      <c r="I770" s="492">
        <v>0</v>
      </c>
      <c r="J770" s="492">
        <v>0</v>
      </c>
      <c r="K770" s="492">
        <v>0</v>
      </c>
      <c r="L770" s="492">
        <v>0</v>
      </c>
      <c r="M770" s="493">
        <v>0</v>
      </c>
      <c r="N770" s="130">
        <v>0</v>
      </c>
      <c r="O770" s="130"/>
    </row>
    <row r="771" spans="3:15" ht="15" customHeight="1">
      <c r="C771" s="498"/>
      <c r="D771" s="487">
        <v>44</v>
      </c>
      <c r="E771" s="206">
        <v>42825</v>
      </c>
      <c r="F771" s="495" t="s">
        <v>200</v>
      </c>
      <c r="G771" s="492" t="s">
        <v>200</v>
      </c>
      <c r="H771" s="492" t="s">
        <v>200</v>
      </c>
      <c r="I771" s="492" t="s">
        <v>200</v>
      </c>
      <c r="J771" s="492" t="s">
        <v>200</v>
      </c>
      <c r="K771" s="492" t="s">
        <v>200</v>
      </c>
      <c r="L771" s="492" t="s">
        <v>200</v>
      </c>
      <c r="M771" s="493" t="s">
        <v>200</v>
      </c>
      <c r="N771" s="130">
        <v>0</v>
      </c>
      <c r="O771" s="130"/>
    </row>
    <row r="772" spans="3:15" ht="15" customHeight="1">
      <c r="C772" s="498"/>
      <c r="D772" s="487">
        <v>45</v>
      </c>
      <c r="E772" s="206">
        <v>43190</v>
      </c>
      <c r="F772" s="495" t="s">
        <v>200</v>
      </c>
      <c r="G772" s="492" t="s">
        <v>200</v>
      </c>
      <c r="H772" s="492" t="s">
        <v>200</v>
      </c>
      <c r="I772" s="492" t="s">
        <v>200</v>
      </c>
      <c r="J772" s="492" t="s">
        <v>200</v>
      </c>
      <c r="K772" s="492" t="s">
        <v>200</v>
      </c>
      <c r="L772" s="492" t="s">
        <v>200</v>
      </c>
      <c r="M772" s="493" t="s">
        <v>200</v>
      </c>
      <c r="N772" s="130">
        <v>0</v>
      </c>
      <c r="O772" s="130"/>
    </row>
    <row r="773" spans="3:15" ht="15" customHeight="1">
      <c r="C773" s="498"/>
      <c r="D773" s="487">
        <v>46</v>
      </c>
      <c r="E773" s="206">
        <v>43555</v>
      </c>
      <c r="F773" s="495" t="s">
        <v>200</v>
      </c>
      <c r="G773" s="492" t="s">
        <v>200</v>
      </c>
      <c r="H773" s="492" t="s">
        <v>200</v>
      </c>
      <c r="I773" s="492" t="s">
        <v>200</v>
      </c>
      <c r="J773" s="492" t="s">
        <v>200</v>
      </c>
      <c r="K773" s="492" t="s">
        <v>200</v>
      </c>
      <c r="L773" s="492" t="s">
        <v>200</v>
      </c>
      <c r="M773" s="493" t="s">
        <v>200</v>
      </c>
      <c r="N773" s="130">
        <v>0</v>
      </c>
      <c r="O773" s="130"/>
    </row>
    <row r="774" spans="3:15" ht="15" customHeight="1">
      <c r="C774" s="498"/>
      <c r="D774" s="487">
        <v>47</v>
      </c>
      <c r="E774" s="206">
        <v>43921</v>
      </c>
      <c r="F774" s="495" t="s">
        <v>200</v>
      </c>
      <c r="G774" s="492" t="s">
        <v>200</v>
      </c>
      <c r="H774" s="492" t="s">
        <v>200</v>
      </c>
      <c r="I774" s="492" t="s">
        <v>200</v>
      </c>
      <c r="J774" s="492" t="s">
        <v>200</v>
      </c>
      <c r="K774" s="492" t="s">
        <v>200</v>
      </c>
      <c r="L774" s="492" t="s">
        <v>200</v>
      </c>
      <c r="M774" s="493" t="s">
        <v>200</v>
      </c>
      <c r="N774" s="130">
        <v>0</v>
      </c>
      <c r="O774" s="130"/>
    </row>
    <row r="775" spans="3:15" ht="15" customHeight="1">
      <c r="C775" s="498"/>
      <c r="D775" s="487">
        <v>48</v>
      </c>
      <c r="E775" s="206">
        <v>44286</v>
      </c>
      <c r="F775" s="495" t="s">
        <v>200</v>
      </c>
      <c r="G775" s="492" t="s">
        <v>200</v>
      </c>
      <c r="H775" s="492" t="s">
        <v>200</v>
      </c>
      <c r="I775" s="492" t="s">
        <v>200</v>
      </c>
      <c r="J775" s="492" t="s">
        <v>200</v>
      </c>
      <c r="K775" s="492" t="s">
        <v>200</v>
      </c>
      <c r="L775" s="492" t="s">
        <v>200</v>
      </c>
      <c r="M775" s="493" t="s">
        <v>200</v>
      </c>
      <c r="N775" s="130">
        <v>0</v>
      </c>
      <c r="O775" s="130"/>
    </row>
    <row r="776" spans="3:15" ht="15" customHeight="1">
      <c r="C776" s="498"/>
      <c r="D776" s="487">
        <v>49</v>
      </c>
      <c r="E776" s="206">
        <v>44651</v>
      </c>
      <c r="F776" s="495" t="s">
        <v>200</v>
      </c>
      <c r="G776" s="492" t="s">
        <v>200</v>
      </c>
      <c r="H776" s="492" t="s">
        <v>200</v>
      </c>
      <c r="I776" s="492" t="s">
        <v>200</v>
      </c>
      <c r="J776" s="492" t="s">
        <v>200</v>
      </c>
      <c r="K776" s="492" t="s">
        <v>200</v>
      </c>
      <c r="L776" s="492" t="s">
        <v>200</v>
      </c>
      <c r="M776" s="493" t="s">
        <v>200</v>
      </c>
      <c r="N776" s="130">
        <v>0</v>
      </c>
      <c r="O776" s="130"/>
    </row>
    <row r="777" spans="3:15" ht="15" customHeight="1">
      <c r="C777" s="498"/>
      <c r="D777" s="487">
        <v>50</v>
      </c>
      <c r="E777" s="206">
        <v>45016</v>
      </c>
      <c r="F777" s="495" t="s">
        <v>200</v>
      </c>
      <c r="G777" s="492" t="s">
        <v>200</v>
      </c>
      <c r="H777" s="492" t="s">
        <v>200</v>
      </c>
      <c r="I777" s="492" t="s">
        <v>200</v>
      </c>
      <c r="J777" s="492" t="s">
        <v>200</v>
      </c>
      <c r="K777" s="492" t="s">
        <v>200</v>
      </c>
      <c r="L777" s="492" t="s">
        <v>200</v>
      </c>
      <c r="M777" s="493" t="s">
        <v>200</v>
      </c>
      <c r="N777" s="130">
        <v>0</v>
      </c>
      <c r="O777" s="130"/>
    </row>
    <row r="778" spans="3:15" ht="15" customHeight="1">
      <c r="C778" s="498"/>
      <c r="D778" s="483"/>
      <c r="E778" s="124" t="s">
        <v>518</v>
      </c>
      <c r="F778" s="488"/>
      <c r="G778" s="489"/>
      <c r="H778" s="489"/>
      <c r="I778" s="489"/>
      <c r="J778" s="489"/>
      <c r="K778" s="507"/>
      <c r="L778" s="489"/>
      <c r="M778" s="490"/>
      <c r="N778" s="474"/>
      <c r="O778" s="494"/>
    </row>
    <row r="779" spans="3:15" ht="15" customHeight="1">
      <c r="C779" s="498"/>
      <c r="D779" s="487">
        <v>51</v>
      </c>
      <c r="E779" s="122" t="s">
        <v>489</v>
      </c>
      <c r="F779" s="491">
        <v>2292.3726557783502</v>
      </c>
      <c r="G779" s="492">
        <v>2325.5688916986637</v>
      </c>
      <c r="H779" s="492">
        <v>2353.7571777123103</v>
      </c>
      <c r="I779" s="492">
        <v>2376.3409905340168</v>
      </c>
      <c r="J779" s="492">
        <v>2402.4007850250628</v>
      </c>
      <c r="K779" s="492">
        <v>2434.6135286097742</v>
      </c>
      <c r="L779" s="492">
        <v>2470.2325118041863</v>
      </c>
      <c r="M779" s="493">
        <v>2502.7226600645063</v>
      </c>
      <c r="N779" s="130">
        <v>19158.009201226872</v>
      </c>
      <c r="O779" s="130">
        <v>2394.751150153359</v>
      </c>
    </row>
    <row r="780" spans="3:15" ht="15" customHeight="1">
      <c r="C780" s="498"/>
      <c r="D780" s="487">
        <v>52</v>
      </c>
      <c r="E780" s="122" t="s">
        <v>490</v>
      </c>
      <c r="F780" s="509">
        <v>0.65</v>
      </c>
      <c r="G780" s="510">
        <v>0.65</v>
      </c>
      <c r="H780" s="510">
        <v>0.65</v>
      </c>
      <c r="I780" s="510">
        <v>0.65</v>
      </c>
      <c r="J780" s="510">
        <v>0.65</v>
      </c>
      <c r="K780" s="510">
        <v>0.65</v>
      </c>
      <c r="L780" s="510">
        <v>0.65</v>
      </c>
      <c r="M780" s="511">
        <v>0.65</v>
      </c>
      <c r="N780" s="234">
        <v>0.65000000000000013</v>
      </c>
      <c r="O780" s="234">
        <v>0.65</v>
      </c>
    </row>
    <row r="781" spans="3:15" ht="15" customHeight="1">
      <c r="C781" s="508"/>
      <c r="D781" s="487">
        <v>53</v>
      </c>
      <c r="E781" s="122" t="s">
        <v>465</v>
      </c>
      <c r="F781" s="491">
        <v>802.33042952242249</v>
      </c>
      <c r="G781" s="492">
        <v>813.94911209453221</v>
      </c>
      <c r="H781" s="492">
        <v>823.81501219930851</v>
      </c>
      <c r="I781" s="492">
        <v>831.71934668690585</v>
      </c>
      <c r="J781" s="492">
        <v>840.8402747587719</v>
      </c>
      <c r="K781" s="492">
        <v>852.11473501342095</v>
      </c>
      <c r="L781" s="492">
        <v>864.58137913146516</v>
      </c>
      <c r="M781" s="493">
        <v>875.9529310225771</v>
      </c>
      <c r="N781" s="130">
        <v>6705.3032204294032</v>
      </c>
      <c r="O781" s="130">
        <v>838.16290255367539</v>
      </c>
    </row>
    <row r="782" spans="3:15" ht="15" customHeight="1">
      <c r="C782" s="508"/>
      <c r="D782" s="487">
        <v>54</v>
      </c>
      <c r="E782" s="122" t="s">
        <v>491</v>
      </c>
      <c r="F782" s="495">
        <v>40.529148554161232</v>
      </c>
      <c r="G782" s="492">
        <v>41.116058005232375</v>
      </c>
      <c r="H782" s="492">
        <v>41.614426901953649</v>
      </c>
      <c r="I782" s="492">
        <v>42.013708712641417</v>
      </c>
      <c r="J782" s="492">
        <v>42.474445879243106</v>
      </c>
      <c r="K782" s="492">
        <v>43.043967185820811</v>
      </c>
      <c r="L782" s="492">
        <v>43.673710808698011</v>
      </c>
      <c r="M782" s="493">
        <v>44.248136629940468</v>
      </c>
      <c r="N782" s="130">
        <v>338.71360267769103</v>
      </c>
      <c r="O782" s="130">
        <v>42.339200334711379</v>
      </c>
    </row>
    <row r="783" spans="3:15" ht="15" customHeight="1" thickBot="1">
      <c r="C783" s="508"/>
      <c r="D783" s="496">
        <v>55</v>
      </c>
      <c r="E783" s="520" t="s">
        <v>874</v>
      </c>
      <c r="F783" s="515">
        <v>802.33042952242249</v>
      </c>
      <c r="G783" s="497">
        <v>813.94911209453221</v>
      </c>
      <c r="H783" s="497">
        <v>823.81501219930851</v>
      </c>
      <c r="I783" s="497">
        <v>831.71934668690585</v>
      </c>
      <c r="J783" s="497">
        <v>840.8402747587719</v>
      </c>
      <c r="K783" s="497">
        <v>852.11473501342095</v>
      </c>
      <c r="L783" s="497">
        <v>864.58137913146516</v>
      </c>
      <c r="M783" s="512">
        <v>875.9529310225771</v>
      </c>
      <c r="N783" s="514"/>
      <c r="O783" s="514">
        <v>838.16290255367539</v>
      </c>
    </row>
    <row r="784" spans="3:15" ht="15" customHeight="1">
      <c r="C784" s="498"/>
      <c r="D784" s="256"/>
      <c r="E784" s="195"/>
      <c r="F784" s="157"/>
      <c r="G784" s="157"/>
      <c r="H784" s="157"/>
      <c r="I784" s="157"/>
      <c r="J784" s="157"/>
      <c r="K784" s="157"/>
      <c r="L784" s="157"/>
      <c r="M784" s="523"/>
      <c r="N784" s="157"/>
      <c r="O784" s="157"/>
    </row>
    <row r="785" spans="3:15" ht="15" customHeight="1">
      <c r="C785" s="498"/>
      <c r="D785" s="256"/>
      <c r="E785" s="195"/>
      <c r="F785" s="157"/>
      <c r="G785" s="157"/>
      <c r="H785" s="157"/>
      <c r="I785" s="157"/>
      <c r="J785" s="157"/>
      <c r="K785" s="157"/>
      <c r="L785" s="157"/>
      <c r="M785" s="523"/>
      <c r="N785" s="157"/>
      <c r="O785" s="157"/>
    </row>
    <row r="786" spans="3:15" ht="15" customHeight="1">
      <c r="C786" s="498"/>
      <c r="D786" s="256"/>
      <c r="E786" s="195"/>
      <c r="F786" s="157"/>
      <c r="G786" s="157"/>
      <c r="H786" s="157"/>
      <c r="I786" s="157"/>
      <c r="J786" s="157"/>
      <c r="K786" s="157"/>
      <c r="L786" s="157"/>
      <c r="M786" s="523"/>
      <c r="N786" s="157"/>
      <c r="O786" s="157"/>
    </row>
    <row r="787" spans="3:15" ht="15" customHeight="1">
      <c r="C787" s="498"/>
      <c r="D787" s="256"/>
      <c r="E787" s="195"/>
      <c r="F787" s="157"/>
      <c r="G787" s="157"/>
      <c r="H787" s="157"/>
      <c r="I787" s="157"/>
      <c r="J787" s="157"/>
      <c r="K787" s="157"/>
      <c r="L787" s="157"/>
      <c r="M787" s="523"/>
      <c r="N787" s="157"/>
      <c r="O787" s="157"/>
    </row>
    <row r="788" spans="3:15" ht="15" customHeight="1">
      <c r="C788" s="498"/>
      <c r="D788" s="256"/>
      <c r="E788" s="195"/>
      <c r="F788" s="157"/>
      <c r="G788" s="157"/>
      <c r="H788" s="157"/>
      <c r="I788" s="157"/>
      <c r="J788" s="157"/>
      <c r="K788" s="157"/>
      <c r="L788" s="157"/>
      <c r="M788" s="523"/>
      <c r="N788" s="157"/>
      <c r="O788" s="157"/>
    </row>
    <row r="789" spans="3:15" ht="15" customHeight="1">
      <c r="C789" s="517" t="s">
        <v>1034</v>
      </c>
      <c r="D789" s="517"/>
      <c r="E789" s="517"/>
      <c r="F789" s="517"/>
      <c r="G789" s="517"/>
      <c r="H789" s="517"/>
      <c r="I789" s="517"/>
      <c r="J789" s="517"/>
      <c r="K789" s="517"/>
      <c r="L789" s="517"/>
      <c r="M789" s="517"/>
      <c r="N789" s="517"/>
      <c r="O789" s="517"/>
    </row>
    <row r="790" spans="3:15" ht="15" customHeight="1">
      <c r="C790" s="508"/>
      <c r="D790" s="508"/>
      <c r="E790" s="508"/>
      <c r="F790" s="508"/>
      <c r="G790" s="508"/>
      <c r="H790" s="508"/>
      <c r="I790" s="508"/>
      <c r="J790" s="508"/>
      <c r="K790" s="508"/>
      <c r="L790" s="508"/>
      <c r="M790" s="508"/>
      <c r="N790" s="508"/>
      <c r="O790" s="508"/>
    </row>
    <row r="791" spans="3:15" ht="15" customHeight="1">
      <c r="C791" s="508"/>
      <c r="D791" s="479"/>
      <c r="E791" s="479"/>
      <c r="F791" s="480"/>
      <c r="G791" s="480"/>
      <c r="H791" s="480"/>
      <c r="I791" s="480"/>
      <c r="J791" s="480"/>
      <c r="K791" s="480"/>
      <c r="L791" s="480"/>
      <c r="M791" s="480"/>
      <c r="N791" s="479"/>
      <c r="O791" s="479"/>
    </row>
    <row r="792" spans="3:15" ht="15" customHeight="1">
      <c r="C792" s="508"/>
      <c r="D792" s="479"/>
      <c r="E792" s="518" t="s">
        <v>58</v>
      </c>
      <c r="F792" s="518" t="s">
        <v>239</v>
      </c>
      <c r="G792" s="480"/>
      <c r="H792" s="518" t="s">
        <v>39</v>
      </c>
      <c r="I792" s="480"/>
      <c r="J792" s="480"/>
      <c r="K792" s="480"/>
      <c r="L792" s="480"/>
      <c r="M792" s="480"/>
      <c r="N792" s="479"/>
      <c r="O792" s="479"/>
    </row>
    <row r="793" spans="3:15" ht="15" customHeight="1">
      <c r="C793" s="508"/>
      <c r="D793" s="118"/>
      <c r="E793" s="118" t="s">
        <v>1035</v>
      </c>
      <c r="F793" s="388">
        <v>42460</v>
      </c>
      <c r="G793" s="119"/>
      <c r="H793" s="118" t="s">
        <v>1042</v>
      </c>
      <c r="I793" s="119"/>
      <c r="J793" s="119"/>
      <c r="K793" s="119"/>
      <c r="L793" s="119"/>
      <c r="M793" s="119"/>
      <c r="N793" s="118"/>
      <c r="O793" s="118"/>
    </row>
    <row r="794" spans="3:15" ht="15" customHeight="1" thickBot="1">
      <c r="C794" s="508"/>
      <c r="D794" s="508"/>
      <c r="E794" s="508"/>
      <c r="F794" s="508"/>
      <c r="G794" s="478"/>
      <c r="H794" s="508"/>
      <c r="I794" s="508"/>
      <c r="J794" s="508"/>
      <c r="K794" s="508"/>
      <c r="L794" s="508"/>
      <c r="M794" s="508"/>
      <c r="N794" s="508"/>
      <c r="O794" s="508"/>
    </row>
    <row r="795" spans="3:15" ht="15" customHeight="1">
      <c r="C795" s="508"/>
      <c r="D795" s="481"/>
      <c r="E795" s="506" t="s">
        <v>236</v>
      </c>
      <c r="F795" s="499">
        <v>42460</v>
      </c>
      <c r="G795" s="500">
        <v>42825</v>
      </c>
      <c r="H795" s="500">
        <v>43190</v>
      </c>
      <c r="I795" s="500">
        <v>43555</v>
      </c>
      <c r="J795" s="500">
        <v>43921</v>
      </c>
      <c r="K795" s="500">
        <v>44286</v>
      </c>
      <c r="L795" s="500">
        <v>44651</v>
      </c>
      <c r="M795" s="501">
        <v>45016</v>
      </c>
      <c r="N795" s="513" t="s">
        <v>86</v>
      </c>
      <c r="O795" s="502" t="s">
        <v>87</v>
      </c>
    </row>
    <row r="796" spans="3:15" ht="15" customHeight="1">
      <c r="C796" s="508"/>
      <c r="D796" s="482"/>
      <c r="E796" s="122" t="s">
        <v>240</v>
      </c>
      <c r="F796" s="503" t="s">
        <v>844</v>
      </c>
      <c r="G796" s="504" t="s">
        <v>844</v>
      </c>
      <c r="H796" s="504" t="s">
        <v>844</v>
      </c>
      <c r="I796" s="504" t="s">
        <v>844</v>
      </c>
      <c r="J796" s="504" t="s">
        <v>844</v>
      </c>
      <c r="K796" s="504" t="s">
        <v>844</v>
      </c>
      <c r="L796" s="504" t="s">
        <v>844</v>
      </c>
      <c r="M796" s="505" t="s">
        <v>844</v>
      </c>
      <c r="N796" s="192" t="s">
        <v>844</v>
      </c>
      <c r="O796" s="192" t="s">
        <v>844</v>
      </c>
    </row>
    <row r="797" spans="3:15" ht="15" customHeight="1">
      <c r="C797" s="508"/>
      <c r="D797" s="483"/>
      <c r="E797" s="124" t="s">
        <v>69</v>
      </c>
      <c r="F797" s="484"/>
      <c r="G797" s="485"/>
      <c r="H797" s="485"/>
      <c r="I797" s="485"/>
      <c r="J797" s="485"/>
      <c r="K797" s="485"/>
      <c r="L797" s="485"/>
      <c r="M797" s="486"/>
      <c r="N797" s="128"/>
      <c r="O797" s="128"/>
    </row>
    <row r="798" spans="3:15" ht="15" customHeight="1">
      <c r="C798" s="508"/>
      <c r="D798" s="487">
        <v>1</v>
      </c>
      <c r="E798" s="122" t="s">
        <v>213</v>
      </c>
      <c r="F798" s="491"/>
      <c r="G798" s="492"/>
      <c r="H798" s="492"/>
      <c r="I798" s="492"/>
      <c r="J798" s="492"/>
      <c r="K798" s="492"/>
      <c r="L798" s="492"/>
      <c r="M798" s="493"/>
      <c r="N798" s="130"/>
      <c r="O798" s="130"/>
    </row>
    <row r="799" spans="3:15" ht="15" customHeight="1">
      <c r="C799" s="508"/>
      <c r="D799" s="487">
        <v>2</v>
      </c>
      <c r="E799" s="122" t="s">
        <v>879</v>
      </c>
      <c r="F799" s="491"/>
      <c r="G799" s="492"/>
      <c r="H799" s="492"/>
      <c r="I799" s="492"/>
      <c r="J799" s="492"/>
      <c r="K799" s="492"/>
      <c r="L799" s="492"/>
      <c r="M799" s="493"/>
      <c r="N799" s="130"/>
      <c r="O799" s="130"/>
    </row>
    <row r="800" spans="3:15" ht="15" customHeight="1">
      <c r="C800" s="508"/>
      <c r="D800" s="487">
        <v>3</v>
      </c>
      <c r="E800" s="122" t="s">
        <v>214</v>
      </c>
      <c r="F800" s="491"/>
      <c r="G800" s="492"/>
      <c r="H800" s="492"/>
      <c r="I800" s="492"/>
      <c r="J800" s="492"/>
      <c r="K800" s="492"/>
      <c r="L800" s="492"/>
      <c r="M800" s="493"/>
      <c r="N800" s="130"/>
      <c r="O800" s="130"/>
    </row>
    <row r="801" spans="3:15" ht="15" customHeight="1">
      <c r="C801" s="508"/>
      <c r="D801" s="483"/>
      <c r="E801" s="124" t="s">
        <v>16</v>
      </c>
      <c r="F801" s="484"/>
      <c r="G801" s="485"/>
      <c r="H801" s="485"/>
      <c r="I801" s="485"/>
      <c r="J801" s="485"/>
      <c r="K801" s="485"/>
      <c r="L801" s="485"/>
      <c r="M801" s="486"/>
      <c r="N801" s="128"/>
      <c r="O801" s="128"/>
    </row>
    <row r="802" spans="3:15" ht="15" customHeight="1">
      <c r="C802" s="508"/>
      <c r="D802" s="487">
        <v>4</v>
      </c>
      <c r="E802" s="122" t="s">
        <v>492</v>
      </c>
      <c r="F802" s="491"/>
      <c r="G802" s="492"/>
      <c r="H802" s="492"/>
      <c r="I802" s="492"/>
      <c r="J802" s="492"/>
      <c r="K802" s="492"/>
      <c r="L802" s="492"/>
      <c r="M802" s="493"/>
      <c r="N802" s="130"/>
      <c r="O802" s="130"/>
    </row>
    <row r="803" spans="3:15" ht="15" customHeight="1">
      <c r="C803" s="508"/>
      <c r="D803" s="487">
        <v>5</v>
      </c>
      <c r="E803" s="122" t="s">
        <v>122</v>
      </c>
      <c r="F803" s="491"/>
      <c r="G803" s="492"/>
      <c r="H803" s="492"/>
      <c r="I803" s="492"/>
      <c r="J803" s="492"/>
      <c r="K803" s="492"/>
      <c r="L803" s="492"/>
      <c r="M803" s="493"/>
      <c r="N803" s="130"/>
      <c r="O803" s="130"/>
    </row>
    <row r="804" spans="3:15" ht="15" customHeight="1">
      <c r="C804" s="508"/>
      <c r="D804" s="487">
        <v>6</v>
      </c>
      <c r="E804" s="122" t="s">
        <v>493</v>
      </c>
      <c r="F804" s="491"/>
      <c r="G804" s="492"/>
      <c r="H804" s="492"/>
      <c r="I804" s="492"/>
      <c r="J804" s="492"/>
      <c r="K804" s="492"/>
      <c r="L804" s="492"/>
      <c r="M804" s="493"/>
      <c r="N804" s="130"/>
      <c r="O804" s="130"/>
    </row>
    <row r="805" spans="3:15" ht="15" customHeight="1">
      <c r="C805" s="508"/>
      <c r="D805" s="487">
        <v>7</v>
      </c>
      <c r="E805" s="122" t="s">
        <v>215</v>
      </c>
      <c r="F805" s="491"/>
      <c r="G805" s="492"/>
      <c r="H805" s="492"/>
      <c r="I805" s="492"/>
      <c r="J805" s="492"/>
      <c r="K805" s="492"/>
      <c r="L805" s="492"/>
      <c r="M805" s="493"/>
      <c r="N805" s="130"/>
      <c r="O805" s="130"/>
    </row>
    <row r="806" spans="3:15" ht="15" customHeight="1">
      <c r="C806" s="508"/>
      <c r="D806" s="487">
        <v>8</v>
      </c>
      <c r="E806" s="122" t="s">
        <v>0</v>
      </c>
      <c r="F806" s="491"/>
      <c r="G806" s="492"/>
      <c r="H806" s="492"/>
      <c r="I806" s="492"/>
      <c r="J806" s="492"/>
      <c r="K806" s="492"/>
      <c r="L806" s="492"/>
      <c r="M806" s="493"/>
      <c r="N806" s="130"/>
      <c r="O806" s="130"/>
    </row>
    <row r="807" spans="3:15" ht="15" customHeight="1">
      <c r="C807" s="508"/>
      <c r="D807" s="487">
        <v>9</v>
      </c>
      <c r="E807" s="122" t="s">
        <v>17</v>
      </c>
      <c r="F807" s="491"/>
      <c r="G807" s="492"/>
      <c r="H807" s="492"/>
      <c r="I807" s="492"/>
      <c r="J807" s="492"/>
      <c r="K807" s="492"/>
      <c r="L807" s="492"/>
      <c r="M807" s="493"/>
      <c r="N807" s="130"/>
      <c r="O807" s="130"/>
    </row>
    <row r="808" spans="3:15" ht="15" customHeight="1">
      <c r="C808" s="508"/>
      <c r="D808" s="483"/>
      <c r="E808" s="124" t="s">
        <v>301</v>
      </c>
      <c r="F808" s="488"/>
      <c r="G808" s="489"/>
      <c r="H808" s="489"/>
      <c r="I808" s="489"/>
      <c r="J808" s="489"/>
      <c r="K808" s="489"/>
      <c r="L808" s="489"/>
      <c r="M808" s="490"/>
      <c r="N808" s="134"/>
      <c r="O808" s="134"/>
    </row>
    <row r="809" spans="3:15" ht="15" customHeight="1">
      <c r="C809" s="508"/>
      <c r="D809" s="487">
        <v>10</v>
      </c>
      <c r="E809" s="122" t="s">
        <v>100</v>
      </c>
      <c r="F809" s="491"/>
      <c r="G809" s="492"/>
      <c r="H809" s="492"/>
      <c r="I809" s="492"/>
      <c r="J809" s="492"/>
      <c r="K809" s="492"/>
      <c r="L809" s="492"/>
      <c r="M809" s="493"/>
      <c r="N809" s="130"/>
      <c r="O809" s="130"/>
    </row>
    <row r="810" spans="3:15" ht="15" customHeight="1">
      <c r="C810" s="508"/>
      <c r="D810" s="487">
        <v>11</v>
      </c>
      <c r="E810" s="122" t="s">
        <v>740</v>
      </c>
      <c r="F810" s="491"/>
      <c r="G810" s="492"/>
      <c r="H810" s="492"/>
      <c r="I810" s="492"/>
      <c r="J810" s="492"/>
      <c r="K810" s="492"/>
      <c r="L810" s="492"/>
      <c r="M810" s="493"/>
      <c r="N810" s="130"/>
      <c r="O810" s="130"/>
    </row>
    <row r="811" spans="3:15" ht="15" customHeight="1">
      <c r="C811" s="508"/>
      <c r="D811" s="487">
        <v>12</v>
      </c>
      <c r="E811" s="122" t="s">
        <v>67</v>
      </c>
      <c r="F811" s="491"/>
      <c r="G811" s="492"/>
      <c r="H811" s="492"/>
      <c r="I811" s="492"/>
      <c r="J811" s="492"/>
      <c r="K811" s="492"/>
      <c r="L811" s="492"/>
      <c r="M811" s="493"/>
      <c r="N811" s="130"/>
      <c r="O811" s="130"/>
    </row>
    <row r="812" spans="3:15" ht="15" customHeight="1">
      <c r="C812" s="508"/>
      <c r="D812" s="487">
        <v>13</v>
      </c>
      <c r="E812" s="122" t="s">
        <v>19</v>
      </c>
      <c r="F812" s="491"/>
      <c r="G812" s="492"/>
      <c r="H812" s="492"/>
      <c r="I812" s="492"/>
      <c r="J812" s="492"/>
      <c r="K812" s="492"/>
      <c r="L812" s="492"/>
      <c r="M812" s="493"/>
      <c r="N812" s="130"/>
      <c r="O812" s="130"/>
    </row>
    <row r="813" spans="3:15" ht="15" customHeight="1">
      <c r="C813" s="508"/>
      <c r="D813" s="487">
        <v>14</v>
      </c>
      <c r="E813" s="122" t="s">
        <v>105</v>
      </c>
      <c r="F813" s="491"/>
      <c r="G813" s="492"/>
      <c r="H813" s="492"/>
      <c r="I813" s="492"/>
      <c r="J813" s="492"/>
      <c r="K813" s="492"/>
      <c r="L813" s="492"/>
      <c r="M813" s="493"/>
      <c r="N813" s="130"/>
      <c r="O813" s="130"/>
    </row>
    <row r="814" spans="3:15" ht="15" customHeight="1">
      <c r="C814" s="508"/>
      <c r="D814" s="487">
        <v>15</v>
      </c>
      <c r="E814" s="122" t="s">
        <v>23</v>
      </c>
      <c r="F814" s="491"/>
      <c r="G814" s="492"/>
      <c r="H814" s="492"/>
      <c r="I814" s="492"/>
      <c r="J814" s="492"/>
      <c r="K814" s="492"/>
      <c r="L814" s="492"/>
      <c r="M814" s="493"/>
      <c r="N814" s="130"/>
      <c r="O814" s="130"/>
    </row>
    <row r="815" spans="3:15" ht="15" customHeight="1">
      <c r="C815" s="508"/>
      <c r="D815" s="487">
        <v>16</v>
      </c>
      <c r="E815" s="122" t="s">
        <v>220</v>
      </c>
      <c r="F815" s="491"/>
      <c r="G815" s="492"/>
      <c r="H815" s="492"/>
      <c r="I815" s="492"/>
      <c r="J815" s="492"/>
      <c r="K815" s="492"/>
      <c r="L815" s="492"/>
      <c r="M815" s="493"/>
      <c r="N815" s="130"/>
      <c r="O815" s="130"/>
    </row>
    <row r="816" spans="3:15" ht="15" customHeight="1">
      <c r="C816" s="508"/>
      <c r="D816" s="487">
        <v>17</v>
      </c>
      <c r="E816" s="122" t="s">
        <v>7</v>
      </c>
      <c r="F816" s="491"/>
      <c r="G816" s="492"/>
      <c r="H816" s="492"/>
      <c r="I816" s="492"/>
      <c r="J816" s="492"/>
      <c r="K816" s="492"/>
      <c r="L816" s="492"/>
      <c r="M816" s="493"/>
      <c r="N816" s="130"/>
      <c r="O816" s="130"/>
    </row>
    <row r="817" spans="3:15" ht="15" customHeight="1">
      <c r="C817" s="508"/>
      <c r="D817" s="483"/>
      <c r="E817" s="124" t="s">
        <v>167</v>
      </c>
      <c r="F817" s="488"/>
      <c r="G817" s="489"/>
      <c r="H817" s="489"/>
      <c r="I817" s="489"/>
      <c r="J817" s="489"/>
      <c r="K817" s="489"/>
      <c r="L817" s="489"/>
      <c r="M817" s="490"/>
      <c r="N817" s="134"/>
      <c r="O817" s="134"/>
    </row>
    <row r="818" spans="3:15" ht="15" customHeight="1">
      <c r="C818" s="508"/>
      <c r="D818" s="487">
        <v>18</v>
      </c>
      <c r="E818" s="122" t="s">
        <v>100</v>
      </c>
      <c r="F818" s="491"/>
      <c r="G818" s="492"/>
      <c r="H818" s="492"/>
      <c r="I818" s="492"/>
      <c r="J818" s="492"/>
      <c r="K818" s="492"/>
      <c r="L818" s="492"/>
      <c r="M818" s="493"/>
      <c r="N818" s="130"/>
      <c r="O818" s="130"/>
    </row>
    <row r="819" spans="3:15" ht="15" customHeight="1">
      <c r="C819" s="508"/>
      <c r="D819" s="487">
        <v>19</v>
      </c>
      <c r="E819" s="122" t="s">
        <v>740</v>
      </c>
      <c r="F819" s="491"/>
      <c r="G819" s="492"/>
      <c r="H819" s="492"/>
      <c r="I819" s="492"/>
      <c r="J819" s="492"/>
      <c r="K819" s="492"/>
      <c r="L819" s="492"/>
      <c r="M819" s="493"/>
      <c r="N819" s="130"/>
      <c r="O819" s="130"/>
    </row>
    <row r="820" spans="3:15" ht="15" customHeight="1">
      <c r="C820" s="508"/>
      <c r="D820" s="487">
        <v>20</v>
      </c>
      <c r="E820" s="122" t="s">
        <v>67</v>
      </c>
      <c r="F820" s="491"/>
      <c r="G820" s="492"/>
      <c r="H820" s="492"/>
      <c r="I820" s="492"/>
      <c r="J820" s="492"/>
      <c r="K820" s="492"/>
      <c r="L820" s="492"/>
      <c r="M820" s="493"/>
      <c r="N820" s="130"/>
      <c r="O820" s="130"/>
    </row>
    <row r="821" spans="3:15" ht="15" customHeight="1">
      <c r="C821" s="508"/>
      <c r="D821" s="487">
        <v>21</v>
      </c>
      <c r="E821" s="122" t="s">
        <v>19</v>
      </c>
      <c r="F821" s="491"/>
      <c r="G821" s="492"/>
      <c r="H821" s="492"/>
      <c r="I821" s="492"/>
      <c r="J821" s="492"/>
      <c r="K821" s="492"/>
      <c r="L821" s="492"/>
      <c r="M821" s="493"/>
      <c r="N821" s="130"/>
      <c r="O821" s="130"/>
    </row>
    <row r="822" spans="3:15" ht="15" customHeight="1">
      <c r="C822" s="508"/>
      <c r="D822" s="487">
        <v>22</v>
      </c>
      <c r="E822" s="122" t="s">
        <v>105</v>
      </c>
      <c r="F822" s="491"/>
      <c r="G822" s="492"/>
      <c r="H822" s="492"/>
      <c r="I822" s="492"/>
      <c r="J822" s="492"/>
      <c r="K822" s="492"/>
      <c r="L822" s="492"/>
      <c r="M822" s="493"/>
      <c r="N822" s="130"/>
      <c r="O822" s="130"/>
    </row>
    <row r="823" spans="3:15" ht="15" customHeight="1">
      <c r="C823" s="508"/>
      <c r="D823" s="487">
        <v>23</v>
      </c>
      <c r="E823" s="122" t="s">
        <v>23</v>
      </c>
      <c r="F823" s="491"/>
      <c r="G823" s="492"/>
      <c r="H823" s="492"/>
      <c r="I823" s="492"/>
      <c r="J823" s="492"/>
      <c r="K823" s="492"/>
      <c r="L823" s="492"/>
      <c r="M823" s="493"/>
      <c r="N823" s="130"/>
      <c r="O823" s="130"/>
    </row>
    <row r="824" spans="3:15" ht="15" customHeight="1">
      <c r="C824" s="508"/>
      <c r="D824" s="487">
        <v>24</v>
      </c>
      <c r="E824" s="122" t="s">
        <v>220</v>
      </c>
      <c r="F824" s="491"/>
      <c r="G824" s="492"/>
      <c r="H824" s="492"/>
      <c r="I824" s="492"/>
      <c r="J824" s="492"/>
      <c r="K824" s="492"/>
      <c r="L824" s="492"/>
      <c r="M824" s="493"/>
      <c r="N824" s="130"/>
      <c r="O824" s="130"/>
    </row>
    <row r="825" spans="3:15" ht="15" customHeight="1">
      <c r="C825" s="508"/>
      <c r="D825" s="487">
        <v>25</v>
      </c>
      <c r="E825" s="122" t="s">
        <v>7</v>
      </c>
      <c r="F825" s="491"/>
      <c r="G825" s="492"/>
      <c r="H825" s="492"/>
      <c r="I825" s="492"/>
      <c r="J825" s="492"/>
      <c r="K825" s="492"/>
      <c r="L825" s="492"/>
      <c r="M825" s="493"/>
      <c r="N825" s="130"/>
      <c r="O825" s="130"/>
    </row>
    <row r="826" spans="3:15" ht="15" customHeight="1">
      <c r="C826" s="508"/>
      <c r="D826" s="483"/>
      <c r="E826" s="124" t="s">
        <v>20</v>
      </c>
      <c r="F826" s="488"/>
      <c r="G826" s="489"/>
      <c r="H826" s="489"/>
      <c r="I826" s="489"/>
      <c r="J826" s="489"/>
      <c r="K826" s="489"/>
      <c r="L826" s="489"/>
      <c r="M826" s="490"/>
      <c r="N826" s="474"/>
      <c r="O826" s="494"/>
    </row>
    <row r="827" spans="3:15" ht="15" customHeight="1">
      <c r="C827" s="508"/>
      <c r="D827" s="487">
        <v>26</v>
      </c>
      <c r="E827" s="122" t="s">
        <v>505</v>
      </c>
      <c r="F827" s="491"/>
      <c r="G827" s="492"/>
      <c r="H827" s="492"/>
      <c r="I827" s="492"/>
      <c r="J827" s="492"/>
      <c r="K827" s="492"/>
      <c r="L827" s="492"/>
      <c r="M827" s="493"/>
      <c r="N827" s="130"/>
      <c r="O827" s="130"/>
    </row>
    <row r="828" spans="3:15" ht="15" customHeight="1">
      <c r="C828" s="508"/>
      <c r="D828" s="487">
        <v>27</v>
      </c>
      <c r="E828" s="122" t="s">
        <v>60</v>
      </c>
      <c r="F828" s="491"/>
      <c r="G828" s="492"/>
      <c r="H828" s="492"/>
      <c r="I828" s="492"/>
      <c r="J828" s="492"/>
      <c r="K828" s="492"/>
      <c r="L828" s="492"/>
      <c r="M828" s="493"/>
      <c r="N828" s="130"/>
      <c r="O828" s="130"/>
    </row>
    <row r="829" spans="3:15" ht="15" customHeight="1">
      <c r="C829" s="508"/>
      <c r="D829" s="487">
        <v>28</v>
      </c>
      <c r="E829" s="122" t="s">
        <v>45</v>
      </c>
      <c r="F829" s="495"/>
      <c r="G829" s="492"/>
      <c r="H829" s="492"/>
      <c r="I829" s="492"/>
      <c r="J829" s="492"/>
      <c r="K829" s="492"/>
      <c r="L829" s="492"/>
      <c r="M829" s="493"/>
      <c r="N829" s="130"/>
      <c r="O829" s="130"/>
    </row>
    <row r="830" spans="3:15" ht="15" customHeight="1">
      <c r="C830" s="508"/>
      <c r="D830" s="487">
        <v>29</v>
      </c>
      <c r="E830" s="122" t="s">
        <v>521</v>
      </c>
      <c r="F830" s="495"/>
      <c r="G830" s="492"/>
      <c r="H830" s="492"/>
      <c r="I830" s="492"/>
      <c r="J830" s="492"/>
      <c r="K830" s="492"/>
      <c r="L830" s="492"/>
      <c r="M830" s="493"/>
      <c r="N830" s="130"/>
      <c r="O830" s="130"/>
    </row>
    <row r="831" spans="3:15" ht="15" customHeight="1">
      <c r="C831" s="508"/>
      <c r="D831" s="487">
        <v>30</v>
      </c>
      <c r="E831" s="122" t="s">
        <v>521</v>
      </c>
      <c r="F831" s="495"/>
      <c r="G831" s="492"/>
      <c r="H831" s="492"/>
      <c r="I831" s="492"/>
      <c r="J831" s="492"/>
      <c r="K831" s="492"/>
      <c r="L831" s="492"/>
      <c r="M831" s="493"/>
      <c r="N831" s="130"/>
      <c r="O831" s="130"/>
    </row>
    <row r="832" spans="3:15" ht="15" customHeight="1">
      <c r="C832" s="508"/>
      <c r="D832" s="487">
        <v>31</v>
      </c>
      <c r="E832" s="122" t="s">
        <v>729</v>
      </c>
      <c r="F832" s="495"/>
      <c r="G832" s="492"/>
      <c r="H832" s="492"/>
      <c r="I832" s="492"/>
      <c r="J832" s="492"/>
      <c r="K832" s="492"/>
      <c r="L832" s="492"/>
      <c r="M832" s="493"/>
      <c r="N832" s="130"/>
      <c r="O832" s="130"/>
    </row>
    <row r="833" spans="3:15" ht="15" customHeight="1">
      <c r="C833" s="508"/>
      <c r="D833" s="487">
        <v>32</v>
      </c>
      <c r="E833" s="122" t="s">
        <v>10</v>
      </c>
      <c r="F833" s="495"/>
      <c r="G833" s="492"/>
      <c r="H833" s="492"/>
      <c r="I833" s="492"/>
      <c r="J833" s="492"/>
      <c r="K833" s="492"/>
      <c r="L833" s="492"/>
      <c r="M833" s="519"/>
      <c r="N833" s="130"/>
      <c r="O833" s="130"/>
    </row>
    <row r="834" spans="3:15" ht="15" customHeight="1">
      <c r="C834" s="508"/>
      <c r="D834" s="483"/>
      <c r="E834" s="124" t="s">
        <v>176</v>
      </c>
      <c r="F834" s="488"/>
      <c r="G834" s="489"/>
      <c r="H834" s="489"/>
      <c r="I834" s="489"/>
      <c r="J834" s="489"/>
      <c r="K834" s="507"/>
      <c r="L834" s="489"/>
      <c r="M834" s="490"/>
      <c r="N834" s="474"/>
      <c r="O834" s="494"/>
    </row>
    <row r="835" spans="3:15" ht="15" customHeight="1">
      <c r="C835" s="508"/>
      <c r="D835" s="487">
        <v>33</v>
      </c>
      <c r="E835" s="122" t="s">
        <v>176</v>
      </c>
      <c r="F835" s="491"/>
      <c r="G835" s="492"/>
      <c r="H835" s="492"/>
      <c r="I835" s="492"/>
      <c r="J835" s="492"/>
      <c r="K835" s="492"/>
      <c r="L835" s="492"/>
      <c r="M835" s="493"/>
      <c r="N835" s="130"/>
      <c r="O835" s="130"/>
    </row>
    <row r="836" spans="3:15" ht="15" customHeight="1">
      <c r="C836" s="508"/>
      <c r="D836" s="487">
        <v>34</v>
      </c>
      <c r="E836" s="122" t="s">
        <v>191</v>
      </c>
      <c r="F836" s="491"/>
      <c r="G836" s="492"/>
      <c r="H836" s="492"/>
      <c r="I836" s="492"/>
      <c r="J836" s="492"/>
      <c r="K836" s="492"/>
      <c r="L836" s="492"/>
      <c r="M836" s="493"/>
      <c r="N836" s="130"/>
      <c r="O836" s="130"/>
    </row>
    <row r="837" spans="3:15" ht="15" customHeight="1">
      <c r="C837" s="498"/>
      <c r="D837" s="483"/>
      <c r="E837" s="124" t="s">
        <v>302</v>
      </c>
      <c r="F837" s="488"/>
      <c r="G837" s="489"/>
      <c r="H837" s="489"/>
      <c r="I837" s="489"/>
      <c r="J837" s="489"/>
      <c r="K837" s="507"/>
      <c r="L837" s="489"/>
      <c r="M837" s="490"/>
      <c r="N837" s="474"/>
      <c r="O837" s="494"/>
    </row>
    <row r="838" spans="3:15" ht="15" customHeight="1">
      <c r="C838" s="498"/>
      <c r="D838" s="487">
        <v>35</v>
      </c>
      <c r="E838" s="206">
        <v>42460</v>
      </c>
      <c r="F838" s="495"/>
      <c r="G838" s="492"/>
      <c r="H838" s="492"/>
      <c r="I838" s="492"/>
      <c r="J838" s="492"/>
      <c r="K838" s="492"/>
      <c r="L838" s="492"/>
      <c r="M838" s="493"/>
      <c r="N838" s="130"/>
      <c r="O838" s="130"/>
    </row>
    <row r="839" spans="3:15" ht="15" customHeight="1">
      <c r="C839" s="498"/>
      <c r="D839" s="487">
        <v>36</v>
      </c>
      <c r="E839" s="206">
        <v>42825</v>
      </c>
      <c r="F839" s="495"/>
      <c r="G839" s="492"/>
      <c r="H839" s="492"/>
      <c r="I839" s="492"/>
      <c r="J839" s="492"/>
      <c r="K839" s="492"/>
      <c r="L839" s="492"/>
      <c r="M839" s="493"/>
      <c r="N839" s="130"/>
      <c r="O839" s="130"/>
    </row>
    <row r="840" spans="3:15" ht="15" customHeight="1">
      <c r="C840" s="498"/>
      <c r="D840" s="487">
        <v>37</v>
      </c>
      <c r="E840" s="206">
        <v>43190</v>
      </c>
      <c r="F840" s="495"/>
      <c r="G840" s="492"/>
      <c r="H840" s="492"/>
      <c r="I840" s="492"/>
      <c r="J840" s="492"/>
      <c r="K840" s="492"/>
      <c r="L840" s="492"/>
      <c r="M840" s="493"/>
      <c r="N840" s="130"/>
      <c r="O840" s="130"/>
    </row>
    <row r="841" spans="3:15" ht="15" customHeight="1">
      <c r="C841" s="498"/>
      <c r="D841" s="487">
        <v>38</v>
      </c>
      <c r="E841" s="206">
        <v>43555</v>
      </c>
      <c r="F841" s="495"/>
      <c r="G841" s="492"/>
      <c r="H841" s="492"/>
      <c r="I841" s="492"/>
      <c r="J841" s="492"/>
      <c r="K841" s="492"/>
      <c r="L841" s="492"/>
      <c r="M841" s="493"/>
      <c r="N841" s="130"/>
      <c r="O841" s="130"/>
    </row>
    <row r="842" spans="3:15" ht="15" customHeight="1">
      <c r="C842" s="498"/>
      <c r="D842" s="487">
        <v>39</v>
      </c>
      <c r="E842" s="206">
        <v>43921</v>
      </c>
      <c r="F842" s="495"/>
      <c r="G842" s="492"/>
      <c r="H842" s="492"/>
      <c r="I842" s="492"/>
      <c r="J842" s="492"/>
      <c r="K842" s="492"/>
      <c r="L842" s="492"/>
      <c r="M842" s="493"/>
      <c r="N842" s="130"/>
      <c r="O842" s="130"/>
    </row>
    <row r="843" spans="3:15" ht="15" customHeight="1">
      <c r="C843" s="498"/>
      <c r="D843" s="487">
        <v>40</v>
      </c>
      <c r="E843" s="206">
        <v>44286</v>
      </c>
      <c r="F843" s="495"/>
      <c r="G843" s="492"/>
      <c r="H843" s="492"/>
      <c r="I843" s="492"/>
      <c r="J843" s="492"/>
      <c r="K843" s="492"/>
      <c r="L843" s="492"/>
      <c r="M843" s="493"/>
      <c r="N843" s="130"/>
      <c r="O843" s="130"/>
    </row>
    <row r="844" spans="3:15" ht="15" customHeight="1">
      <c r="C844" s="498"/>
      <c r="D844" s="487">
        <v>41</v>
      </c>
      <c r="E844" s="206">
        <v>44651</v>
      </c>
      <c r="F844" s="495"/>
      <c r="G844" s="492"/>
      <c r="H844" s="492"/>
      <c r="I844" s="492"/>
      <c r="J844" s="492"/>
      <c r="K844" s="492"/>
      <c r="L844" s="492"/>
      <c r="M844" s="493"/>
      <c r="N844" s="130"/>
      <c r="O844" s="130"/>
    </row>
    <row r="845" spans="3:15" ht="15" customHeight="1">
      <c r="C845" s="498"/>
      <c r="D845" s="487">
        <v>42</v>
      </c>
      <c r="E845" s="206">
        <v>45016</v>
      </c>
      <c r="F845" s="495"/>
      <c r="G845" s="492"/>
      <c r="H845" s="492"/>
      <c r="I845" s="492"/>
      <c r="J845" s="492"/>
      <c r="K845" s="492"/>
      <c r="L845" s="492"/>
      <c r="M845" s="493"/>
      <c r="N845" s="130"/>
      <c r="O845" s="130"/>
    </row>
    <row r="846" spans="3:15" ht="15" customHeight="1">
      <c r="C846" s="498"/>
      <c r="D846" s="483"/>
      <c r="E846" s="124" t="s">
        <v>506</v>
      </c>
      <c r="F846" s="488"/>
      <c r="G846" s="489"/>
      <c r="H846" s="489"/>
      <c r="I846" s="489"/>
      <c r="J846" s="489"/>
      <c r="K846" s="507"/>
      <c r="L846" s="489"/>
      <c r="M846" s="490"/>
      <c r="N846" s="474"/>
      <c r="O846" s="494"/>
    </row>
    <row r="847" spans="3:15" ht="15" customHeight="1">
      <c r="C847" s="498"/>
      <c r="D847" s="487">
        <v>43</v>
      </c>
      <c r="E847" s="206">
        <v>42460</v>
      </c>
      <c r="F847" s="495"/>
      <c r="G847" s="492"/>
      <c r="H847" s="492"/>
      <c r="I847" s="492"/>
      <c r="J847" s="492"/>
      <c r="K847" s="492"/>
      <c r="L847" s="492"/>
      <c r="M847" s="493"/>
      <c r="N847" s="130"/>
      <c r="O847" s="130"/>
    </row>
    <row r="848" spans="3:15" ht="15" customHeight="1">
      <c r="C848" s="498"/>
      <c r="D848" s="487">
        <v>44</v>
      </c>
      <c r="E848" s="206">
        <v>42825</v>
      </c>
      <c r="F848" s="495"/>
      <c r="G848" s="492"/>
      <c r="H848" s="492"/>
      <c r="I848" s="492"/>
      <c r="J848" s="492"/>
      <c r="K848" s="492"/>
      <c r="L848" s="492"/>
      <c r="M848" s="493"/>
      <c r="N848" s="130"/>
      <c r="O848" s="130"/>
    </row>
    <row r="849" spans="3:15" ht="15" customHeight="1">
      <c r="C849" s="498"/>
      <c r="D849" s="487">
        <v>45</v>
      </c>
      <c r="E849" s="206">
        <v>43190</v>
      </c>
      <c r="F849" s="495"/>
      <c r="G849" s="492"/>
      <c r="H849" s="492"/>
      <c r="I849" s="492"/>
      <c r="J849" s="492"/>
      <c r="K849" s="492"/>
      <c r="L849" s="492"/>
      <c r="M849" s="493"/>
      <c r="N849" s="130"/>
      <c r="O849" s="130"/>
    </row>
    <row r="850" spans="3:15" ht="15" customHeight="1">
      <c r="C850" s="498"/>
      <c r="D850" s="487">
        <v>46</v>
      </c>
      <c r="E850" s="206">
        <v>43555</v>
      </c>
      <c r="F850" s="495"/>
      <c r="G850" s="492"/>
      <c r="H850" s="492"/>
      <c r="I850" s="492"/>
      <c r="J850" s="492"/>
      <c r="K850" s="492"/>
      <c r="L850" s="492"/>
      <c r="M850" s="493"/>
      <c r="N850" s="130"/>
      <c r="O850" s="130"/>
    </row>
    <row r="851" spans="3:15" ht="15" customHeight="1">
      <c r="C851" s="498"/>
      <c r="D851" s="487">
        <v>47</v>
      </c>
      <c r="E851" s="206">
        <v>43921</v>
      </c>
      <c r="F851" s="495"/>
      <c r="G851" s="492"/>
      <c r="H851" s="492"/>
      <c r="I851" s="492"/>
      <c r="J851" s="492"/>
      <c r="K851" s="492"/>
      <c r="L851" s="492"/>
      <c r="M851" s="493"/>
      <c r="N851" s="130"/>
      <c r="O851" s="130"/>
    </row>
    <row r="852" spans="3:15" ht="15" customHeight="1">
      <c r="C852" s="498"/>
      <c r="D852" s="487">
        <v>48</v>
      </c>
      <c r="E852" s="206">
        <v>44286</v>
      </c>
      <c r="F852" s="495"/>
      <c r="G852" s="492"/>
      <c r="H852" s="492"/>
      <c r="I852" s="492"/>
      <c r="J852" s="492"/>
      <c r="K852" s="492"/>
      <c r="L852" s="492"/>
      <c r="M852" s="493"/>
      <c r="N852" s="130"/>
      <c r="O852" s="130"/>
    </row>
    <row r="853" spans="3:15" ht="15" customHeight="1">
      <c r="C853" s="498"/>
      <c r="D853" s="487">
        <v>49</v>
      </c>
      <c r="E853" s="206">
        <v>44651</v>
      </c>
      <c r="F853" s="495"/>
      <c r="G853" s="492"/>
      <c r="H853" s="492"/>
      <c r="I853" s="492"/>
      <c r="J853" s="492"/>
      <c r="K853" s="492"/>
      <c r="L853" s="492"/>
      <c r="M853" s="493"/>
      <c r="N853" s="130"/>
      <c r="O853" s="130"/>
    </row>
    <row r="854" spans="3:15" ht="15" customHeight="1">
      <c r="C854" s="498"/>
      <c r="D854" s="487">
        <v>50</v>
      </c>
      <c r="E854" s="206">
        <v>45016</v>
      </c>
      <c r="F854" s="495"/>
      <c r="G854" s="492"/>
      <c r="H854" s="492"/>
      <c r="I854" s="492"/>
      <c r="J854" s="492"/>
      <c r="K854" s="492"/>
      <c r="L854" s="492"/>
      <c r="M854" s="493"/>
      <c r="N854" s="130"/>
      <c r="O854" s="130"/>
    </row>
    <row r="855" spans="3:15" ht="15" customHeight="1">
      <c r="C855" s="498"/>
      <c r="D855" s="483"/>
      <c r="E855" s="124" t="s">
        <v>518</v>
      </c>
      <c r="F855" s="488"/>
      <c r="G855" s="489"/>
      <c r="H855" s="489"/>
      <c r="I855" s="489"/>
      <c r="J855" s="489"/>
      <c r="K855" s="507"/>
      <c r="L855" s="489"/>
      <c r="M855" s="490"/>
      <c r="N855" s="474"/>
      <c r="O855" s="494"/>
    </row>
    <row r="856" spans="3:15" ht="15" customHeight="1">
      <c r="C856" s="498"/>
      <c r="D856" s="487">
        <v>51</v>
      </c>
      <c r="E856" s="122" t="s">
        <v>489</v>
      </c>
      <c r="F856" s="491"/>
      <c r="G856" s="492"/>
      <c r="H856" s="492"/>
      <c r="I856" s="492"/>
      <c r="J856" s="492"/>
      <c r="K856" s="492"/>
      <c r="L856" s="492"/>
      <c r="M856" s="493"/>
      <c r="N856" s="130"/>
      <c r="O856" s="130"/>
    </row>
    <row r="857" spans="3:15" ht="15" customHeight="1">
      <c r="C857" s="498"/>
      <c r="D857" s="487">
        <v>52</v>
      </c>
      <c r="E857" s="122" t="s">
        <v>490</v>
      </c>
      <c r="F857" s="509"/>
      <c r="G857" s="510"/>
      <c r="H857" s="510"/>
      <c r="I857" s="510"/>
      <c r="J857" s="510"/>
      <c r="K857" s="510"/>
      <c r="L857" s="510"/>
      <c r="M857" s="511"/>
      <c r="N857" s="234"/>
      <c r="O857" s="234"/>
    </row>
    <row r="858" spans="3:15" ht="15" customHeight="1">
      <c r="C858" s="508"/>
      <c r="D858" s="487">
        <v>53</v>
      </c>
      <c r="E858" s="122" t="s">
        <v>465</v>
      </c>
      <c r="F858" s="491"/>
      <c r="G858" s="492"/>
      <c r="H858" s="492"/>
      <c r="I858" s="492"/>
      <c r="J858" s="492"/>
      <c r="K858" s="492"/>
      <c r="L858" s="492"/>
      <c r="M858" s="493"/>
      <c r="N858" s="130"/>
      <c r="O858" s="130"/>
    </row>
    <row r="859" spans="3:15" ht="15" customHeight="1">
      <c r="C859" s="508"/>
      <c r="D859" s="487">
        <v>54</v>
      </c>
      <c r="E859" s="122" t="s">
        <v>491</v>
      </c>
      <c r="F859" s="495"/>
      <c r="G859" s="492"/>
      <c r="H859" s="492"/>
      <c r="I859" s="492"/>
      <c r="J859" s="492"/>
      <c r="K859" s="492"/>
      <c r="L859" s="492"/>
      <c r="M859" s="493"/>
      <c r="N859" s="130"/>
      <c r="O859" s="130"/>
    </row>
    <row r="860" spans="3:15" ht="15" customHeight="1" thickBot="1">
      <c r="C860" s="508"/>
      <c r="D860" s="496">
        <v>55</v>
      </c>
      <c r="E860" s="520" t="s">
        <v>874</v>
      </c>
      <c r="F860" s="515"/>
      <c r="G860" s="497"/>
      <c r="H860" s="497"/>
      <c r="I860" s="497"/>
      <c r="J860" s="497"/>
      <c r="K860" s="497"/>
      <c r="L860" s="497"/>
      <c r="M860" s="512"/>
      <c r="N860" s="514"/>
      <c r="O860" s="514"/>
    </row>
    <row r="861" spans="3:15" ht="15" customHeight="1">
      <c r="C861" s="498"/>
      <c r="D861" s="256"/>
      <c r="E861" s="195"/>
      <c r="F861" s="157"/>
      <c r="G861" s="157"/>
      <c r="H861" s="157"/>
      <c r="I861" s="157"/>
      <c r="J861" s="157"/>
      <c r="K861" s="157"/>
      <c r="L861" s="157"/>
      <c r="M861" s="523"/>
      <c r="N861" s="157"/>
      <c r="O861" s="157"/>
    </row>
    <row r="862" spans="3:15" ht="15" customHeight="1">
      <c r="C862" s="498"/>
      <c r="D862" s="256"/>
      <c r="E862" s="195"/>
      <c r="F862" s="157"/>
      <c r="G862" s="157"/>
      <c r="H862" s="157"/>
      <c r="I862" s="157"/>
      <c r="J862" s="157"/>
      <c r="K862" s="157"/>
      <c r="L862" s="157"/>
      <c r="M862" s="523"/>
      <c r="N862" s="157"/>
      <c r="O862" s="157"/>
    </row>
    <row r="863" spans="3:15" ht="15" customHeight="1">
      <c r="C863" s="498"/>
      <c r="D863" s="256"/>
      <c r="E863" s="195"/>
      <c r="F863" s="157"/>
      <c r="G863" s="157"/>
      <c r="H863" s="157"/>
      <c r="I863" s="157"/>
      <c r="J863" s="157"/>
      <c r="K863" s="157"/>
      <c r="L863" s="157"/>
      <c r="M863" s="523"/>
      <c r="N863" s="157"/>
      <c r="O863" s="157"/>
    </row>
    <row r="864" spans="3:15" ht="15" customHeight="1">
      <c r="C864" s="498"/>
      <c r="D864" s="256"/>
      <c r="E864" s="195"/>
      <c r="F864" s="157"/>
      <c r="G864" s="157"/>
      <c r="H864" s="157"/>
      <c r="I864" s="157"/>
      <c r="J864" s="157"/>
      <c r="K864" s="157"/>
      <c r="L864" s="157"/>
      <c r="M864" s="523"/>
      <c r="N864" s="157"/>
      <c r="O864" s="157"/>
    </row>
    <row r="865" spans="3:15" ht="15" customHeight="1">
      <c r="C865" s="498"/>
      <c r="D865" s="256"/>
      <c r="E865" s="195"/>
      <c r="F865" s="157"/>
      <c r="G865" s="157"/>
      <c r="H865" s="157"/>
      <c r="I865" s="157"/>
      <c r="J865" s="157"/>
      <c r="K865" s="157"/>
      <c r="L865" s="157"/>
      <c r="M865" s="523"/>
      <c r="N865" s="157"/>
      <c r="O865" s="157"/>
    </row>
    <row r="866" spans="3:15" ht="15" customHeight="1">
      <c r="C866" s="517" t="s">
        <v>1036</v>
      </c>
      <c r="D866" s="517"/>
      <c r="E866" s="517"/>
      <c r="F866" s="517"/>
      <c r="G866" s="517"/>
      <c r="H866" s="517"/>
      <c r="I866" s="517"/>
      <c r="J866" s="517"/>
      <c r="K866" s="517"/>
      <c r="L866" s="517"/>
      <c r="M866" s="517"/>
      <c r="N866" s="517"/>
      <c r="O866" s="517"/>
    </row>
    <row r="867" spans="3:15" ht="15" customHeight="1">
      <c r="C867" s="508"/>
      <c r="D867" s="508"/>
      <c r="E867" s="508"/>
      <c r="F867" s="508"/>
      <c r="G867" s="508"/>
      <c r="H867" s="508"/>
      <c r="I867" s="508"/>
      <c r="J867" s="508"/>
      <c r="K867" s="508"/>
      <c r="L867" s="508"/>
      <c r="M867" s="508"/>
      <c r="N867" s="508"/>
      <c r="O867" s="508"/>
    </row>
    <row r="868" spans="3:15" ht="15" customHeight="1">
      <c r="C868" s="508"/>
      <c r="D868" s="479"/>
      <c r="E868" s="479"/>
      <c r="F868" s="480"/>
      <c r="G868" s="480"/>
      <c r="H868" s="480"/>
      <c r="I868" s="480"/>
      <c r="J868" s="480"/>
      <c r="K868" s="480"/>
      <c r="L868" s="480"/>
      <c r="M868" s="480"/>
      <c r="N868" s="479"/>
      <c r="O868" s="479"/>
    </row>
    <row r="869" spans="3:15" ht="15" customHeight="1">
      <c r="C869" s="508"/>
      <c r="D869" s="479"/>
      <c r="E869" s="518" t="s">
        <v>58</v>
      </c>
      <c r="F869" s="518" t="s">
        <v>239</v>
      </c>
      <c r="G869" s="480"/>
      <c r="H869" s="518" t="s">
        <v>39</v>
      </c>
      <c r="I869" s="480"/>
      <c r="J869" s="480"/>
      <c r="K869" s="480"/>
      <c r="L869" s="480"/>
      <c r="M869" s="480"/>
      <c r="N869" s="479"/>
      <c r="O869" s="479"/>
    </row>
    <row r="870" spans="3:15" ht="15" customHeight="1">
      <c r="C870" s="508"/>
      <c r="D870" s="118"/>
      <c r="E870" s="118" t="s">
        <v>1037</v>
      </c>
      <c r="F870" s="388">
        <v>42460</v>
      </c>
      <c r="G870" s="119"/>
      <c r="H870" s="118" t="s">
        <v>1042</v>
      </c>
      <c r="I870" s="119"/>
      <c r="J870" s="119"/>
      <c r="K870" s="119"/>
      <c r="L870" s="119"/>
      <c r="M870" s="119"/>
      <c r="N870" s="118"/>
      <c r="O870" s="118"/>
    </row>
    <row r="871" spans="3:15" ht="15" customHeight="1" thickBot="1">
      <c r="C871" s="508"/>
      <c r="D871" s="508"/>
      <c r="E871" s="508"/>
      <c r="F871" s="508"/>
      <c r="G871" s="478"/>
      <c r="H871" s="508"/>
      <c r="I871" s="508"/>
      <c r="J871" s="508"/>
      <c r="K871" s="508"/>
      <c r="L871" s="508"/>
      <c r="M871" s="508"/>
      <c r="N871" s="508"/>
      <c r="O871" s="508"/>
    </row>
    <row r="872" spans="3:15" ht="15" customHeight="1">
      <c r="C872" s="508"/>
      <c r="D872" s="481"/>
      <c r="E872" s="506" t="s">
        <v>236</v>
      </c>
      <c r="F872" s="499">
        <v>42460</v>
      </c>
      <c r="G872" s="500">
        <v>42825</v>
      </c>
      <c r="H872" s="500">
        <v>43190</v>
      </c>
      <c r="I872" s="500">
        <v>43555</v>
      </c>
      <c r="J872" s="500">
        <v>43921</v>
      </c>
      <c r="K872" s="500">
        <v>44286</v>
      </c>
      <c r="L872" s="500">
        <v>44651</v>
      </c>
      <c r="M872" s="501">
        <v>45016</v>
      </c>
      <c r="N872" s="513" t="s">
        <v>86</v>
      </c>
      <c r="O872" s="502" t="s">
        <v>87</v>
      </c>
    </row>
    <row r="873" spans="3:15" ht="15" customHeight="1">
      <c r="C873" s="508"/>
      <c r="D873" s="482"/>
      <c r="E873" s="122" t="s">
        <v>240</v>
      </c>
      <c r="F873" s="503" t="s">
        <v>844</v>
      </c>
      <c r="G873" s="504" t="s">
        <v>844</v>
      </c>
      <c r="H873" s="504" t="s">
        <v>844</v>
      </c>
      <c r="I873" s="504" t="s">
        <v>844</v>
      </c>
      <c r="J873" s="504" t="s">
        <v>844</v>
      </c>
      <c r="K873" s="504" t="s">
        <v>844</v>
      </c>
      <c r="L873" s="504" t="s">
        <v>844</v>
      </c>
      <c r="M873" s="505" t="s">
        <v>844</v>
      </c>
      <c r="N873" s="192" t="s">
        <v>844</v>
      </c>
      <c r="O873" s="192" t="s">
        <v>844</v>
      </c>
    </row>
    <row r="874" spans="3:15" ht="15" customHeight="1">
      <c r="C874" s="508"/>
      <c r="D874" s="483"/>
      <c r="E874" s="124" t="s">
        <v>69</v>
      </c>
      <c r="F874" s="484"/>
      <c r="G874" s="485"/>
      <c r="H874" s="485"/>
      <c r="I874" s="485"/>
      <c r="J874" s="485"/>
      <c r="K874" s="485"/>
      <c r="L874" s="485"/>
      <c r="M874" s="486"/>
      <c r="N874" s="128"/>
      <c r="O874" s="128"/>
    </row>
    <row r="875" spans="3:15" ht="15" customHeight="1">
      <c r="C875" s="508"/>
      <c r="D875" s="487">
        <v>1</v>
      </c>
      <c r="E875" s="122" t="s">
        <v>213</v>
      </c>
      <c r="F875" s="491"/>
      <c r="G875" s="492"/>
      <c r="H875" s="492"/>
      <c r="I875" s="492"/>
      <c r="J875" s="492"/>
      <c r="K875" s="492"/>
      <c r="L875" s="492"/>
      <c r="M875" s="493"/>
      <c r="N875" s="130"/>
      <c r="O875" s="130"/>
    </row>
    <row r="876" spans="3:15" ht="15" customHeight="1">
      <c r="C876" s="508"/>
      <c r="D876" s="487">
        <v>2</v>
      </c>
      <c r="E876" s="122" t="s">
        <v>879</v>
      </c>
      <c r="F876" s="491"/>
      <c r="G876" s="492"/>
      <c r="H876" s="492"/>
      <c r="I876" s="492"/>
      <c r="J876" s="492"/>
      <c r="K876" s="492"/>
      <c r="L876" s="492"/>
      <c r="M876" s="493"/>
      <c r="N876" s="130"/>
      <c r="O876" s="130"/>
    </row>
    <row r="877" spans="3:15" ht="15" customHeight="1">
      <c r="C877" s="508"/>
      <c r="D877" s="487">
        <v>3</v>
      </c>
      <c r="E877" s="122" t="s">
        <v>214</v>
      </c>
      <c r="F877" s="491"/>
      <c r="G877" s="492"/>
      <c r="H877" s="492"/>
      <c r="I877" s="492"/>
      <c r="J877" s="492"/>
      <c r="K877" s="492"/>
      <c r="L877" s="492"/>
      <c r="M877" s="493"/>
      <c r="N877" s="130"/>
      <c r="O877" s="130"/>
    </row>
    <row r="878" spans="3:15" ht="15" customHeight="1">
      <c r="C878" s="508"/>
      <c r="D878" s="483"/>
      <c r="E878" s="124" t="s">
        <v>16</v>
      </c>
      <c r="F878" s="484"/>
      <c r="G878" s="485"/>
      <c r="H878" s="485"/>
      <c r="I878" s="485"/>
      <c r="J878" s="485"/>
      <c r="K878" s="485"/>
      <c r="L878" s="485"/>
      <c r="M878" s="486"/>
      <c r="N878" s="128"/>
      <c r="O878" s="128"/>
    </row>
    <row r="879" spans="3:15" ht="15" customHeight="1">
      <c r="C879" s="508"/>
      <c r="D879" s="487">
        <v>4</v>
      </c>
      <c r="E879" s="122" t="s">
        <v>492</v>
      </c>
      <c r="F879" s="491"/>
      <c r="G879" s="492"/>
      <c r="H879" s="492"/>
      <c r="I879" s="492"/>
      <c r="J879" s="492"/>
      <c r="K879" s="492"/>
      <c r="L879" s="492"/>
      <c r="M879" s="493"/>
      <c r="N879" s="130"/>
      <c r="O879" s="130"/>
    </row>
    <row r="880" spans="3:15" ht="15" customHeight="1">
      <c r="C880" s="508"/>
      <c r="D880" s="487">
        <v>5</v>
      </c>
      <c r="E880" s="122" t="s">
        <v>122</v>
      </c>
      <c r="F880" s="491"/>
      <c r="G880" s="492"/>
      <c r="H880" s="492"/>
      <c r="I880" s="492"/>
      <c r="J880" s="492"/>
      <c r="K880" s="492"/>
      <c r="L880" s="492"/>
      <c r="M880" s="493"/>
      <c r="N880" s="130"/>
      <c r="O880" s="130"/>
    </row>
    <row r="881" spans="3:15" ht="15" customHeight="1">
      <c r="C881" s="508"/>
      <c r="D881" s="487">
        <v>6</v>
      </c>
      <c r="E881" s="122" t="s">
        <v>493</v>
      </c>
      <c r="F881" s="491"/>
      <c r="G881" s="492"/>
      <c r="H881" s="492"/>
      <c r="I881" s="492"/>
      <c r="J881" s="492"/>
      <c r="K881" s="492"/>
      <c r="L881" s="492"/>
      <c r="M881" s="493"/>
      <c r="N881" s="130"/>
      <c r="O881" s="130"/>
    </row>
    <row r="882" spans="3:15" ht="15" customHeight="1">
      <c r="C882" s="508"/>
      <c r="D882" s="487">
        <v>7</v>
      </c>
      <c r="E882" s="122" t="s">
        <v>215</v>
      </c>
      <c r="F882" s="491"/>
      <c r="G882" s="492"/>
      <c r="H882" s="492"/>
      <c r="I882" s="492"/>
      <c r="J882" s="492"/>
      <c r="K882" s="492"/>
      <c r="L882" s="492"/>
      <c r="M882" s="493"/>
      <c r="N882" s="130"/>
      <c r="O882" s="130"/>
    </row>
    <row r="883" spans="3:15" ht="15" customHeight="1">
      <c r="C883" s="508"/>
      <c r="D883" s="487">
        <v>8</v>
      </c>
      <c r="E883" s="122" t="s">
        <v>0</v>
      </c>
      <c r="F883" s="491"/>
      <c r="G883" s="492"/>
      <c r="H883" s="492"/>
      <c r="I883" s="492"/>
      <c r="J883" s="492"/>
      <c r="K883" s="492"/>
      <c r="L883" s="492"/>
      <c r="M883" s="493"/>
      <c r="N883" s="130"/>
      <c r="O883" s="130"/>
    </row>
    <row r="884" spans="3:15" ht="15" customHeight="1">
      <c r="C884" s="508"/>
      <c r="D884" s="487">
        <v>9</v>
      </c>
      <c r="E884" s="122" t="s">
        <v>17</v>
      </c>
      <c r="F884" s="491"/>
      <c r="G884" s="492"/>
      <c r="H884" s="492"/>
      <c r="I884" s="492"/>
      <c r="J884" s="492"/>
      <c r="K884" s="492"/>
      <c r="L884" s="492"/>
      <c r="M884" s="493"/>
      <c r="N884" s="130"/>
      <c r="O884" s="130"/>
    </row>
    <row r="885" spans="3:15" ht="15" customHeight="1">
      <c r="C885" s="508"/>
      <c r="D885" s="483"/>
      <c r="E885" s="124" t="s">
        <v>301</v>
      </c>
      <c r="F885" s="488"/>
      <c r="G885" s="489"/>
      <c r="H885" s="489"/>
      <c r="I885" s="489"/>
      <c r="J885" s="489"/>
      <c r="K885" s="489"/>
      <c r="L885" s="489"/>
      <c r="M885" s="490"/>
      <c r="N885" s="134"/>
      <c r="O885" s="134"/>
    </row>
    <row r="886" spans="3:15" ht="15" customHeight="1">
      <c r="C886" s="508"/>
      <c r="D886" s="487">
        <v>10</v>
      </c>
      <c r="E886" s="122" t="s">
        <v>100</v>
      </c>
      <c r="F886" s="491"/>
      <c r="G886" s="492"/>
      <c r="H886" s="492"/>
      <c r="I886" s="492"/>
      <c r="J886" s="492"/>
      <c r="K886" s="492"/>
      <c r="L886" s="492"/>
      <c r="M886" s="493"/>
      <c r="N886" s="130"/>
      <c r="O886" s="130"/>
    </row>
    <row r="887" spans="3:15" ht="15" customHeight="1">
      <c r="C887" s="508"/>
      <c r="D887" s="487">
        <v>11</v>
      </c>
      <c r="E887" s="122" t="s">
        <v>740</v>
      </c>
      <c r="F887" s="491"/>
      <c r="G887" s="492"/>
      <c r="H887" s="492"/>
      <c r="I887" s="492"/>
      <c r="J887" s="492"/>
      <c r="K887" s="492"/>
      <c r="L887" s="492"/>
      <c r="M887" s="493"/>
      <c r="N887" s="130"/>
      <c r="O887" s="130"/>
    </row>
    <row r="888" spans="3:15" ht="15" customHeight="1">
      <c r="C888" s="508"/>
      <c r="D888" s="487">
        <v>12</v>
      </c>
      <c r="E888" s="122" t="s">
        <v>67</v>
      </c>
      <c r="F888" s="491"/>
      <c r="G888" s="492"/>
      <c r="H888" s="492"/>
      <c r="I888" s="492"/>
      <c r="J888" s="492"/>
      <c r="K888" s="492"/>
      <c r="L888" s="492"/>
      <c r="M888" s="493"/>
      <c r="N888" s="130"/>
      <c r="O888" s="130"/>
    </row>
    <row r="889" spans="3:15" ht="15" customHeight="1">
      <c r="C889" s="508"/>
      <c r="D889" s="487">
        <v>13</v>
      </c>
      <c r="E889" s="122" t="s">
        <v>19</v>
      </c>
      <c r="F889" s="491"/>
      <c r="G889" s="492"/>
      <c r="H889" s="492"/>
      <c r="I889" s="492"/>
      <c r="J889" s="492"/>
      <c r="K889" s="492"/>
      <c r="L889" s="492"/>
      <c r="M889" s="493"/>
      <c r="N889" s="130"/>
      <c r="O889" s="130"/>
    </row>
    <row r="890" spans="3:15" ht="15" customHeight="1">
      <c r="C890" s="508"/>
      <c r="D890" s="487">
        <v>14</v>
      </c>
      <c r="E890" s="122" t="s">
        <v>105</v>
      </c>
      <c r="F890" s="491"/>
      <c r="G890" s="492"/>
      <c r="H890" s="492"/>
      <c r="I890" s="492"/>
      <c r="J890" s="492"/>
      <c r="K890" s="492"/>
      <c r="L890" s="492"/>
      <c r="M890" s="493"/>
      <c r="N890" s="130"/>
      <c r="O890" s="130"/>
    </row>
    <row r="891" spans="3:15" ht="15" customHeight="1">
      <c r="C891" s="508"/>
      <c r="D891" s="487">
        <v>15</v>
      </c>
      <c r="E891" s="122" t="s">
        <v>23</v>
      </c>
      <c r="F891" s="491"/>
      <c r="G891" s="492"/>
      <c r="H891" s="492"/>
      <c r="I891" s="492"/>
      <c r="J891" s="492"/>
      <c r="K891" s="492"/>
      <c r="L891" s="492"/>
      <c r="M891" s="493"/>
      <c r="N891" s="130"/>
      <c r="O891" s="130"/>
    </row>
    <row r="892" spans="3:15" ht="15" customHeight="1">
      <c r="C892" s="508"/>
      <c r="D892" s="487">
        <v>16</v>
      </c>
      <c r="E892" s="122" t="s">
        <v>220</v>
      </c>
      <c r="F892" s="491"/>
      <c r="G892" s="492"/>
      <c r="H892" s="492"/>
      <c r="I892" s="492"/>
      <c r="J892" s="492"/>
      <c r="K892" s="492"/>
      <c r="L892" s="492"/>
      <c r="M892" s="493"/>
      <c r="N892" s="130"/>
      <c r="O892" s="130"/>
    </row>
    <row r="893" spans="3:15" ht="15" customHeight="1">
      <c r="C893" s="508"/>
      <c r="D893" s="487">
        <v>17</v>
      </c>
      <c r="E893" s="122" t="s">
        <v>7</v>
      </c>
      <c r="F893" s="491"/>
      <c r="G893" s="492"/>
      <c r="H893" s="492"/>
      <c r="I893" s="492"/>
      <c r="J893" s="492"/>
      <c r="K893" s="492"/>
      <c r="L893" s="492"/>
      <c r="M893" s="493"/>
      <c r="N893" s="130"/>
      <c r="O893" s="130"/>
    </row>
    <row r="894" spans="3:15" ht="15" customHeight="1">
      <c r="C894" s="508"/>
      <c r="D894" s="483"/>
      <c r="E894" s="124" t="s">
        <v>167</v>
      </c>
      <c r="F894" s="488"/>
      <c r="G894" s="489"/>
      <c r="H894" s="489"/>
      <c r="I894" s="489"/>
      <c r="J894" s="489"/>
      <c r="K894" s="489"/>
      <c r="L894" s="489"/>
      <c r="M894" s="490"/>
      <c r="N894" s="134"/>
      <c r="O894" s="134"/>
    </row>
    <row r="895" spans="3:15" ht="15" customHeight="1">
      <c r="C895" s="508"/>
      <c r="D895" s="487">
        <v>18</v>
      </c>
      <c r="E895" s="122" t="s">
        <v>100</v>
      </c>
      <c r="F895" s="491"/>
      <c r="G895" s="492"/>
      <c r="H895" s="492"/>
      <c r="I895" s="492"/>
      <c r="J895" s="492"/>
      <c r="K895" s="492"/>
      <c r="L895" s="492"/>
      <c r="M895" s="493"/>
      <c r="N895" s="130"/>
      <c r="O895" s="130"/>
    </row>
    <row r="896" spans="3:15" ht="15" customHeight="1">
      <c r="C896" s="508"/>
      <c r="D896" s="487">
        <v>19</v>
      </c>
      <c r="E896" s="122" t="s">
        <v>740</v>
      </c>
      <c r="F896" s="491"/>
      <c r="G896" s="492"/>
      <c r="H896" s="492"/>
      <c r="I896" s="492"/>
      <c r="J896" s="492"/>
      <c r="K896" s="492"/>
      <c r="L896" s="492"/>
      <c r="M896" s="493"/>
      <c r="N896" s="130"/>
      <c r="O896" s="130"/>
    </row>
    <row r="897" spans="3:15" ht="15" customHeight="1">
      <c r="C897" s="508"/>
      <c r="D897" s="487">
        <v>20</v>
      </c>
      <c r="E897" s="122" t="s">
        <v>67</v>
      </c>
      <c r="F897" s="491"/>
      <c r="G897" s="492"/>
      <c r="H897" s="492"/>
      <c r="I897" s="492"/>
      <c r="J897" s="492"/>
      <c r="K897" s="492"/>
      <c r="L897" s="492"/>
      <c r="M897" s="493"/>
      <c r="N897" s="130"/>
      <c r="O897" s="130"/>
    </row>
    <row r="898" spans="3:15" ht="15" customHeight="1">
      <c r="C898" s="508"/>
      <c r="D898" s="487">
        <v>21</v>
      </c>
      <c r="E898" s="122" t="s">
        <v>19</v>
      </c>
      <c r="F898" s="491"/>
      <c r="G898" s="492"/>
      <c r="H898" s="492"/>
      <c r="I898" s="492"/>
      <c r="J898" s="492"/>
      <c r="K898" s="492"/>
      <c r="L898" s="492"/>
      <c r="M898" s="493"/>
      <c r="N898" s="130"/>
      <c r="O898" s="130"/>
    </row>
    <row r="899" spans="3:15" ht="15" customHeight="1">
      <c r="C899" s="508"/>
      <c r="D899" s="487">
        <v>22</v>
      </c>
      <c r="E899" s="122" t="s">
        <v>105</v>
      </c>
      <c r="F899" s="491"/>
      <c r="G899" s="492"/>
      <c r="H899" s="492"/>
      <c r="I899" s="492"/>
      <c r="J899" s="492"/>
      <c r="K899" s="492"/>
      <c r="L899" s="492"/>
      <c r="M899" s="493"/>
      <c r="N899" s="130"/>
      <c r="O899" s="130"/>
    </row>
    <row r="900" spans="3:15" ht="15" customHeight="1">
      <c r="C900" s="508"/>
      <c r="D900" s="487">
        <v>23</v>
      </c>
      <c r="E900" s="122" t="s">
        <v>23</v>
      </c>
      <c r="F900" s="491"/>
      <c r="G900" s="492"/>
      <c r="H900" s="492"/>
      <c r="I900" s="492"/>
      <c r="J900" s="492"/>
      <c r="K900" s="492"/>
      <c r="L900" s="492"/>
      <c r="M900" s="493"/>
      <c r="N900" s="130"/>
      <c r="O900" s="130"/>
    </row>
    <row r="901" spans="3:15" ht="15" customHeight="1">
      <c r="C901" s="508"/>
      <c r="D901" s="487">
        <v>24</v>
      </c>
      <c r="E901" s="122" t="s">
        <v>220</v>
      </c>
      <c r="F901" s="491"/>
      <c r="G901" s="492"/>
      <c r="H901" s="492"/>
      <c r="I901" s="492"/>
      <c r="J901" s="492"/>
      <c r="K901" s="492"/>
      <c r="L901" s="492"/>
      <c r="M901" s="493"/>
      <c r="N901" s="130"/>
      <c r="O901" s="130"/>
    </row>
    <row r="902" spans="3:15" ht="15" customHeight="1">
      <c r="C902" s="508"/>
      <c r="D902" s="487">
        <v>25</v>
      </c>
      <c r="E902" s="122" t="s">
        <v>7</v>
      </c>
      <c r="F902" s="491"/>
      <c r="G902" s="492"/>
      <c r="H902" s="492"/>
      <c r="I902" s="492"/>
      <c r="J902" s="492"/>
      <c r="K902" s="492"/>
      <c r="L902" s="492"/>
      <c r="M902" s="493"/>
      <c r="N902" s="130"/>
      <c r="O902" s="130"/>
    </row>
    <row r="903" spans="3:15" ht="15" customHeight="1">
      <c r="C903" s="508"/>
      <c r="D903" s="483"/>
      <c r="E903" s="124" t="s">
        <v>20</v>
      </c>
      <c r="F903" s="488"/>
      <c r="G903" s="489"/>
      <c r="H903" s="489"/>
      <c r="I903" s="489"/>
      <c r="J903" s="489"/>
      <c r="K903" s="489"/>
      <c r="L903" s="489"/>
      <c r="M903" s="490"/>
      <c r="N903" s="474"/>
      <c r="O903" s="494"/>
    </row>
    <row r="904" spans="3:15" ht="15" customHeight="1">
      <c r="C904" s="508"/>
      <c r="D904" s="487">
        <v>26</v>
      </c>
      <c r="E904" s="122" t="s">
        <v>505</v>
      </c>
      <c r="F904" s="491"/>
      <c r="G904" s="492"/>
      <c r="H904" s="492"/>
      <c r="I904" s="492"/>
      <c r="J904" s="492"/>
      <c r="K904" s="492"/>
      <c r="L904" s="492"/>
      <c r="M904" s="493"/>
      <c r="N904" s="130"/>
      <c r="O904" s="130"/>
    </row>
    <row r="905" spans="3:15" ht="15" customHeight="1">
      <c r="C905" s="508"/>
      <c r="D905" s="487">
        <v>27</v>
      </c>
      <c r="E905" s="122" t="s">
        <v>60</v>
      </c>
      <c r="F905" s="491"/>
      <c r="G905" s="492"/>
      <c r="H905" s="492"/>
      <c r="I905" s="492"/>
      <c r="J905" s="492"/>
      <c r="K905" s="492"/>
      <c r="L905" s="492"/>
      <c r="M905" s="493"/>
      <c r="N905" s="130"/>
      <c r="O905" s="130"/>
    </row>
    <row r="906" spans="3:15" ht="15" customHeight="1">
      <c r="C906" s="508"/>
      <c r="D906" s="487">
        <v>28</v>
      </c>
      <c r="E906" s="122" t="s">
        <v>45</v>
      </c>
      <c r="F906" s="495"/>
      <c r="G906" s="492"/>
      <c r="H906" s="492"/>
      <c r="I906" s="492"/>
      <c r="J906" s="492"/>
      <c r="K906" s="492"/>
      <c r="L906" s="492"/>
      <c r="M906" s="493"/>
      <c r="N906" s="130"/>
      <c r="O906" s="130"/>
    </row>
    <row r="907" spans="3:15" ht="15" customHeight="1">
      <c r="C907" s="508"/>
      <c r="D907" s="487">
        <v>29</v>
      </c>
      <c r="E907" s="122" t="s">
        <v>521</v>
      </c>
      <c r="F907" s="495"/>
      <c r="G907" s="492"/>
      <c r="H907" s="492"/>
      <c r="I907" s="492"/>
      <c r="J907" s="492"/>
      <c r="K907" s="492"/>
      <c r="L907" s="492"/>
      <c r="M907" s="493"/>
      <c r="N907" s="130"/>
      <c r="O907" s="130"/>
    </row>
    <row r="908" spans="3:15" ht="15" customHeight="1">
      <c r="C908" s="508"/>
      <c r="D908" s="487">
        <v>30</v>
      </c>
      <c r="E908" s="122" t="s">
        <v>521</v>
      </c>
      <c r="F908" s="495"/>
      <c r="G908" s="492"/>
      <c r="H908" s="492"/>
      <c r="I908" s="492"/>
      <c r="J908" s="492"/>
      <c r="K908" s="492"/>
      <c r="L908" s="492"/>
      <c r="M908" s="493"/>
      <c r="N908" s="130"/>
      <c r="O908" s="130"/>
    </row>
    <row r="909" spans="3:15" ht="15" customHeight="1">
      <c r="C909" s="508"/>
      <c r="D909" s="487">
        <v>31</v>
      </c>
      <c r="E909" s="122" t="s">
        <v>729</v>
      </c>
      <c r="F909" s="495"/>
      <c r="G909" s="492"/>
      <c r="H909" s="492"/>
      <c r="I909" s="492"/>
      <c r="J909" s="492"/>
      <c r="K909" s="492"/>
      <c r="L909" s="492"/>
      <c r="M909" s="493"/>
      <c r="N909" s="130"/>
      <c r="O909" s="130"/>
    </row>
    <row r="910" spans="3:15" ht="15" customHeight="1">
      <c r="C910" s="508"/>
      <c r="D910" s="487">
        <v>32</v>
      </c>
      <c r="E910" s="122" t="s">
        <v>10</v>
      </c>
      <c r="F910" s="495"/>
      <c r="G910" s="492"/>
      <c r="H910" s="492"/>
      <c r="I910" s="492"/>
      <c r="J910" s="492"/>
      <c r="K910" s="492"/>
      <c r="L910" s="492"/>
      <c r="M910" s="519"/>
      <c r="N910" s="130"/>
      <c r="O910" s="130"/>
    </row>
    <row r="911" spans="3:15" ht="15" customHeight="1">
      <c r="C911" s="508"/>
      <c r="D911" s="483"/>
      <c r="E911" s="124" t="s">
        <v>176</v>
      </c>
      <c r="F911" s="488"/>
      <c r="G911" s="489"/>
      <c r="H911" s="489"/>
      <c r="I911" s="489"/>
      <c r="J911" s="489"/>
      <c r="K911" s="507"/>
      <c r="L911" s="489"/>
      <c r="M911" s="490"/>
      <c r="N911" s="474"/>
      <c r="O911" s="494"/>
    </row>
    <row r="912" spans="3:15" ht="15" customHeight="1">
      <c r="C912" s="508"/>
      <c r="D912" s="487">
        <v>33</v>
      </c>
      <c r="E912" s="122" t="s">
        <v>176</v>
      </c>
      <c r="F912" s="491"/>
      <c r="G912" s="492"/>
      <c r="H912" s="492"/>
      <c r="I912" s="492"/>
      <c r="J912" s="492"/>
      <c r="K912" s="492"/>
      <c r="L912" s="492"/>
      <c r="M912" s="493"/>
      <c r="N912" s="130"/>
      <c r="O912" s="130"/>
    </row>
    <row r="913" spans="3:15" ht="15" customHeight="1">
      <c r="C913" s="508"/>
      <c r="D913" s="487">
        <v>34</v>
      </c>
      <c r="E913" s="122" t="s">
        <v>191</v>
      </c>
      <c r="F913" s="491"/>
      <c r="G913" s="492"/>
      <c r="H913" s="492"/>
      <c r="I913" s="492"/>
      <c r="J913" s="492"/>
      <c r="K913" s="492"/>
      <c r="L913" s="492"/>
      <c r="M913" s="493"/>
      <c r="N913" s="130"/>
      <c r="O913" s="130"/>
    </row>
    <row r="914" spans="3:15" ht="15" customHeight="1">
      <c r="C914" s="498"/>
      <c r="D914" s="483"/>
      <c r="E914" s="124" t="s">
        <v>302</v>
      </c>
      <c r="F914" s="488"/>
      <c r="G914" s="489"/>
      <c r="H914" s="489"/>
      <c r="I914" s="489"/>
      <c r="J914" s="489"/>
      <c r="K914" s="507"/>
      <c r="L914" s="489"/>
      <c r="M914" s="490"/>
      <c r="N914" s="474"/>
      <c r="O914" s="494"/>
    </row>
    <row r="915" spans="3:15" ht="15" customHeight="1">
      <c r="C915" s="498"/>
      <c r="D915" s="487">
        <v>35</v>
      </c>
      <c r="E915" s="206">
        <v>42460</v>
      </c>
      <c r="F915" s="495"/>
      <c r="G915" s="492"/>
      <c r="H915" s="492"/>
      <c r="I915" s="492"/>
      <c r="J915" s="492"/>
      <c r="K915" s="492"/>
      <c r="L915" s="492"/>
      <c r="M915" s="493"/>
      <c r="N915" s="130"/>
      <c r="O915" s="130"/>
    </row>
    <row r="916" spans="3:15" ht="15" customHeight="1">
      <c r="C916" s="498"/>
      <c r="D916" s="487">
        <v>36</v>
      </c>
      <c r="E916" s="206">
        <v>42825</v>
      </c>
      <c r="F916" s="495"/>
      <c r="G916" s="492"/>
      <c r="H916" s="492"/>
      <c r="I916" s="492"/>
      <c r="J916" s="492"/>
      <c r="K916" s="492"/>
      <c r="L916" s="492"/>
      <c r="M916" s="493"/>
      <c r="N916" s="130"/>
      <c r="O916" s="130"/>
    </row>
    <row r="917" spans="3:15" ht="15" customHeight="1">
      <c r="C917" s="498"/>
      <c r="D917" s="487">
        <v>37</v>
      </c>
      <c r="E917" s="206">
        <v>43190</v>
      </c>
      <c r="F917" s="495"/>
      <c r="G917" s="492"/>
      <c r="H917" s="492"/>
      <c r="I917" s="492"/>
      <c r="J917" s="492"/>
      <c r="K917" s="492"/>
      <c r="L917" s="492"/>
      <c r="M917" s="493"/>
      <c r="N917" s="130"/>
      <c r="O917" s="130"/>
    </row>
    <row r="918" spans="3:15" ht="15" customHeight="1">
      <c r="C918" s="498"/>
      <c r="D918" s="487">
        <v>38</v>
      </c>
      <c r="E918" s="206">
        <v>43555</v>
      </c>
      <c r="F918" s="495"/>
      <c r="G918" s="492"/>
      <c r="H918" s="492"/>
      <c r="I918" s="492"/>
      <c r="J918" s="492"/>
      <c r="K918" s="492"/>
      <c r="L918" s="492"/>
      <c r="M918" s="493"/>
      <c r="N918" s="130"/>
      <c r="O918" s="130"/>
    </row>
    <row r="919" spans="3:15" ht="15" customHeight="1">
      <c r="C919" s="498"/>
      <c r="D919" s="487">
        <v>39</v>
      </c>
      <c r="E919" s="206">
        <v>43921</v>
      </c>
      <c r="F919" s="495"/>
      <c r="G919" s="492"/>
      <c r="H919" s="492"/>
      <c r="I919" s="492"/>
      <c r="J919" s="492"/>
      <c r="K919" s="492"/>
      <c r="L919" s="492"/>
      <c r="M919" s="493"/>
      <c r="N919" s="130"/>
      <c r="O919" s="130"/>
    </row>
    <row r="920" spans="3:15" ht="15" customHeight="1">
      <c r="C920" s="498"/>
      <c r="D920" s="487">
        <v>40</v>
      </c>
      <c r="E920" s="206">
        <v>44286</v>
      </c>
      <c r="F920" s="495"/>
      <c r="G920" s="492"/>
      <c r="H920" s="492"/>
      <c r="I920" s="492"/>
      <c r="J920" s="492"/>
      <c r="K920" s="492"/>
      <c r="L920" s="492"/>
      <c r="M920" s="493"/>
      <c r="N920" s="130"/>
      <c r="O920" s="130"/>
    </row>
    <row r="921" spans="3:15" ht="15" customHeight="1">
      <c r="C921" s="498"/>
      <c r="D921" s="487">
        <v>41</v>
      </c>
      <c r="E921" s="206">
        <v>44651</v>
      </c>
      <c r="F921" s="495"/>
      <c r="G921" s="492"/>
      <c r="H921" s="492"/>
      <c r="I921" s="492"/>
      <c r="J921" s="492"/>
      <c r="K921" s="492"/>
      <c r="L921" s="492"/>
      <c r="M921" s="493"/>
      <c r="N921" s="130"/>
      <c r="O921" s="130"/>
    </row>
    <row r="922" spans="3:15" ht="15" customHeight="1">
      <c r="C922" s="498"/>
      <c r="D922" s="487">
        <v>42</v>
      </c>
      <c r="E922" s="206">
        <v>45016</v>
      </c>
      <c r="F922" s="495"/>
      <c r="G922" s="492"/>
      <c r="H922" s="492"/>
      <c r="I922" s="492"/>
      <c r="J922" s="492"/>
      <c r="K922" s="492"/>
      <c r="L922" s="492"/>
      <c r="M922" s="493"/>
      <c r="N922" s="130"/>
      <c r="O922" s="130"/>
    </row>
    <row r="923" spans="3:15" ht="15" customHeight="1">
      <c r="C923" s="498"/>
      <c r="D923" s="483"/>
      <c r="E923" s="124" t="s">
        <v>506</v>
      </c>
      <c r="F923" s="488"/>
      <c r="G923" s="489"/>
      <c r="H923" s="489"/>
      <c r="I923" s="489"/>
      <c r="J923" s="489"/>
      <c r="K923" s="507"/>
      <c r="L923" s="489"/>
      <c r="M923" s="490"/>
      <c r="N923" s="474"/>
      <c r="O923" s="494"/>
    </row>
    <row r="924" spans="3:15" ht="15" customHeight="1">
      <c r="C924" s="498"/>
      <c r="D924" s="487">
        <v>43</v>
      </c>
      <c r="E924" s="206">
        <v>42460</v>
      </c>
      <c r="F924" s="495"/>
      <c r="G924" s="492"/>
      <c r="H924" s="492"/>
      <c r="I924" s="492"/>
      <c r="J924" s="492"/>
      <c r="K924" s="492"/>
      <c r="L924" s="492"/>
      <c r="M924" s="493"/>
      <c r="N924" s="130"/>
      <c r="O924" s="130"/>
    </row>
    <row r="925" spans="3:15" ht="15" customHeight="1">
      <c r="C925" s="498"/>
      <c r="D925" s="487">
        <v>44</v>
      </c>
      <c r="E925" s="206">
        <v>42825</v>
      </c>
      <c r="F925" s="495"/>
      <c r="G925" s="492"/>
      <c r="H925" s="492"/>
      <c r="I925" s="492"/>
      <c r="J925" s="492"/>
      <c r="K925" s="492"/>
      <c r="L925" s="492"/>
      <c r="M925" s="493"/>
      <c r="N925" s="130"/>
      <c r="O925" s="130"/>
    </row>
    <row r="926" spans="3:15" ht="15" customHeight="1">
      <c r="C926" s="498"/>
      <c r="D926" s="487">
        <v>45</v>
      </c>
      <c r="E926" s="206">
        <v>43190</v>
      </c>
      <c r="F926" s="495"/>
      <c r="G926" s="492"/>
      <c r="H926" s="492"/>
      <c r="I926" s="492"/>
      <c r="J926" s="492"/>
      <c r="K926" s="492"/>
      <c r="L926" s="492"/>
      <c r="M926" s="493"/>
      <c r="N926" s="130"/>
      <c r="O926" s="130"/>
    </row>
    <row r="927" spans="3:15" ht="15" customHeight="1">
      <c r="C927" s="498"/>
      <c r="D927" s="487">
        <v>46</v>
      </c>
      <c r="E927" s="206">
        <v>43555</v>
      </c>
      <c r="F927" s="495"/>
      <c r="G927" s="492"/>
      <c r="H927" s="492"/>
      <c r="I927" s="492"/>
      <c r="J927" s="492"/>
      <c r="K927" s="492"/>
      <c r="L927" s="492"/>
      <c r="M927" s="493"/>
      <c r="N927" s="130"/>
      <c r="O927" s="130"/>
    </row>
    <row r="928" spans="3:15" ht="15" customHeight="1">
      <c r="C928" s="498"/>
      <c r="D928" s="487">
        <v>47</v>
      </c>
      <c r="E928" s="206">
        <v>43921</v>
      </c>
      <c r="F928" s="495"/>
      <c r="G928" s="492"/>
      <c r="H928" s="492"/>
      <c r="I928" s="492"/>
      <c r="J928" s="492"/>
      <c r="K928" s="492"/>
      <c r="L928" s="492"/>
      <c r="M928" s="493"/>
      <c r="N928" s="130"/>
      <c r="O928" s="130"/>
    </row>
    <row r="929" spans="3:15" ht="15" customHeight="1">
      <c r="C929" s="498"/>
      <c r="D929" s="487">
        <v>48</v>
      </c>
      <c r="E929" s="206">
        <v>44286</v>
      </c>
      <c r="F929" s="495"/>
      <c r="G929" s="492"/>
      <c r="H929" s="492"/>
      <c r="I929" s="492"/>
      <c r="J929" s="492"/>
      <c r="K929" s="492"/>
      <c r="L929" s="492"/>
      <c r="M929" s="493"/>
      <c r="N929" s="130"/>
      <c r="O929" s="130"/>
    </row>
    <row r="930" spans="3:15" ht="15" customHeight="1">
      <c r="C930" s="498"/>
      <c r="D930" s="487">
        <v>49</v>
      </c>
      <c r="E930" s="206">
        <v>44651</v>
      </c>
      <c r="F930" s="495"/>
      <c r="G930" s="492"/>
      <c r="H930" s="492"/>
      <c r="I930" s="492"/>
      <c r="J930" s="492"/>
      <c r="K930" s="492"/>
      <c r="L930" s="492"/>
      <c r="M930" s="493"/>
      <c r="N930" s="130"/>
      <c r="O930" s="130"/>
    </row>
    <row r="931" spans="3:15" ht="15" customHeight="1">
      <c r="C931" s="498"/>
      <c r="D931" s="487">
        <v>50</v>
      </c>
      <c r="E931" s="206">
        <v>45016</v>
      </c>
      <c r="F931" s="495"/>
      <c r="G931" s="492"/>
      <c r="H931" s="492"/>
      <c r="I931" s="492"/>
      <c r="J931" s="492"/>
      <c r="K931" s="492"/>
      <c r="L931" s="492"/>
      <c r="M931" s="493"/>
      <c r="N931" s="130"/>
      <c r="O931" s="130"/>
    </row>
    <row r="932" spans="3:15" ht="15" customHeight="1">
      <c r="C932" s="498"/>
      <c r="D932" s="483"/>
      <c r="E932" s="124" t="s">
        <v>518</v>
      </c>
      <c r="F932" s="488"/>
      <c r="G932" s="489"/>
      <c r="H932" s="489"/>
      <c r="I932" s="489"/>
      <c r="J932" s="489"/>
      <c r="K932" s="507"/>
      <c r="L932" s="489"/>
      <c r="M932" s="490"/>
      <c r="N932" s="474"/>
      <c r="O932" s="494"/>
    </row>
    <row r="933" spans="3:15" ht="15" customHeight="1">
      <c r="C933" s="498"/>
      <c r="D933" s="487">
        <v>51</v>
      </c>
      <c r="E933" s="122" t="s">
        <v>489</v>
      </c>
      <c r="F933" s="491"/>
      <c r="G933" s="492"/>
      <c r="H933" s="492"/>
      <c r="I933" s="492"/>
      <c r="J933" s="492"/>
      <c r="K933" s="492"/>
      <c r="L933" s="492"/>
      <c r="M933" s="493"/>
      <c r="N933" s="130"/>
      <c r="O933" s="130"/>
    </row>
    <row r="934" spans="3:15" ht="15" customHeight="1">
      <c r="C934" s="498"/>
      <c r="D934" s="487">
        <v>52</v>
      </c>
      <c r="E934" s="122" t="s">
        <v>490</v>
      </c>
      <c r="F934" s="509"/>
      <c r="G934" s="510"/>
      <c r="H934" s="510"/>
      <c r="I934" s="510"/>
      <c r="J934" s="510"/>
      <c r="K934" s="510"/>
      <c r="L934" s="510"/>
      <c r="M934" s="511"/>
      <c r="N934" s="234"/>
      <c r="O934" s="234"/>
    </row>
    <row r="935" spans="3:15" ht="15" customHeight="1">
      <c r="C935" s="508"/>
      <c r="D935" s="487">
        <v>53</v>
      </c>
      <c r="E935" s="122" t="s">
        <v>465</v>
      </c>
      <c r="F935" s="491"/>
      <c r="G935" s="492"/>
      <c r="H935" s="492"/>
      <c r="I935" s="492"/>
      <c r="J935" s="492"/>
      <c r="K935" s="492"/>
      <c r="L935" s="492"/>
      <c r="M935" s="493"/>
      <c r="N935" s="130"/>
      <c r="O935" s="130"/>
    </row>
    <row r="936" spans="3:15" ht="15" customHeight="1">
      <c r="C936" s="508"/>
      <c r="D936" s="487">
        <v>54</v>
      </c>
      <c r="E936" s="122" t="s">
        <v>491</v>
      </c>
      <c r="F936" s="495"/>
      <c r="G936" s="492"/>
      <c r="H936" s="492"/>
      <c r="I936" s="492"/>
      <c r="J936" s="492"/>
      <c r="K936" s="492"/>
      <c r="L936" s="492"/>
      <c r="M936" s="493"/>
      <c r="N936" s="130"/>
      <c r="O936" s="130"/>
    </row>
    <row r="937" spans="3:15" ht="15" customHeight="1" thickBot="1">
      <c r="C937" s="508"/>
      <c r="D937" s="496">
        <v>55</v>
      </c>
      <c r="E937" s="520" t="s">
        <v>874</v>
      </c>
      <c r="F937" s="515"/>
      <c r="G937" s="497"/>
      <c r="H937" s="497"/>
      <c r="I937" s="497"/>
      <c r="J937" s="497"/>
      <c r="K937" s="497"/>
      <c r="L937" s="497"/>
      <c r="M937" s="512"/>
      <c r="N937" s="514"/>
      <c r="O937" s="514"/>
    </row>
    <row r="938" spans="3:15" ht="15" customHeight="1">
      <c r="C938" s="498"/>
      <c r="D938" s="256"/>
      <c r="E938" s="195"/>
      <c r="F938" s="157"/>
      <c r="G938" s="157"/>
      <c r="H938" s="157"/>
      <c r="I938" s="157"/>
      <c r="J938" s="157"/>
      <c r="K938" s="157"/>
      <c r="L938" s="157"/>
      <c r="M938" s="523"/>
      <c r="N938" s="157"/>
      <c r="O938" s="157"/>
    </row>
    <row r="939" spans="3:15" ht="15" customHeight="1">
      <c r="C939" s="498"/>
      <c r="D939" s="256"/>
      <c r="E939" s="195"/>
      <c r="F939" s="157"/>
      <c r="G939" s="157"/>
      <c r="H939" s="157"/>
      <c r="I939" s="157"/>
      <c r="J939" s="157"/>
      <c r="K939" s="157"/>
      <c r="L939" s="157"/>
      <c r="M939" s="523"/>
      <c r="N939" s="157"/>
      <c r="O939" s="157"/>
    </row>
    <row r="940" spans="3:15" ht="15" customHeight="1">
      <c r="C940" s="498"/>
      <c r="D940" s="256"/>
      <c r="E940" s="195"/>
      <c r="F940" s="157"/>
      <c r="G940" s="157"/>
      <c r="H940" s="157"/>
      <c r="I940" s="157"/>
      <c r="J940" s="157"/>
      <c r="K940" s="157"/>
      <c r="L940" s="157"/>
      <c r="M940" s="523"/>
      <c r="N940" s="157"/>
      <c r="O940" s="157"/>
    </row>
    <row r="941" spans="3:15" ht="15" customHeight="1">
      <c r="C941" s="498"/>
      <c r="D941" s="256"/>
      <c r="E941" s="195"/>
      <c r="F941" s="157"/>
      <c r="G941" s="157"/>
      <c r="H941" s="157"/>
      <c r="I941" s="157"/>
      <c r="J941" s="157"/>
      <c r="K941" s="157"/>
      <c r="L941" s="157"/>
      <c r="M941" s="523"/>
      <c r="N941" s="157"/>
      <c r="O941" s="157"/>
    </row>
    <row r="942" spans="3:15" ht="15" customHeight="1">
      <c r="C942" s="498"/>
      <c r="D942" s="256"/>
      <c r="E942" s="195"/>
      <c r="F942" s="157"/>
      <c r="G942" s="157"/>
      <c r="H942" s="157"/>
      <c r="I942" s="157"/>
      <c r="J942" s="157"/>
      <c r="K942" s="157"/>
      <c r="L942" s="157"/>
      <c r="M942" s="523"/>
      <c r="N942" s="157"/>
      <c r="O942" s="157"/>
    </row>
    <row r="943" spans="3:15" ht="15" customHeight="1">
      <c r="C943" s="517" t="s">
        <v>1038</v>
      </c>
      <c r="D943" s="517"/>
      <c r="E943" s="517"/>
      <c r="F943" s="517"/>
      <c r="G943" s="517"/>
      <c r="H943" s="517"/>
      <c r="I943" s="517"/>
      <c r="J943" s="517"/>
      <c r="K943" s="517"/>
      <c r="L943" s="517"/>
      <c r="M943" s="517"/>
      <c r="N943" s="517"/>
      <c r="O943" s="517"/>
    </row>
    <row r="944" spans="3:15" ht="15" customHeight="1">
      <c r="C944" s="508"/>
      <c r="D944" s="508"/>
      <c r="E944" s="508"/>
      <c r="F944" s="508"/>
      <c r="G944" s="508"/>
      <c r="H944" s="508"/>
      <c r="I944" s="508"/>
      <c r="J944" s="508"/>
      <c r="K944" s="508"/>
      <c r="L944" s="508"/>
      <c r="M944" s="508"/>
      <c r="N944" s="508"/>
      <c r="O944" s="508"/>
    </row>
    <row r="945" spans="3:15" ht="15" customHeight="1">
      <c r="C945" s="508"/>
      <c r="D945" s="479"/>
      <c r="E945" s="479"/>
      <c r="F945" s="480"/>
      <c r="G945" s="480"/>
      <c r="H945" s="480"/>
      <c r="I945" s="480"/>
      <c r="J945" s="480"/>
      <c r="K945" s="480"/>
      <c r="L945" s="480"/>
      <c r="M945" s="480"/>
      <c r="N945" s="479"/>
      <c r="O945" s="479"/>
    </row>
    <row r="946" spans="3:15" ht="15" customHeight="1">
      <c r="C946" s="508"/>
      <c r="D946" s="479"/>
      <c r="E946" s="518" t="s">
        <v>58</v>
      </c>
      <c r="F946" s="518" t="s">
        <v>239</v>
      </c>
      <c r="G946" s="480"/>
      <c r="H946" s="518" t="s">
        <v>39</v>
      </c>
      <c r="I946" s="480"/>
      <c r="J946" s="480"/>
      <c r="K946" s="480"/>
      <c r="L946" s="480"/>
      <c r="M946" s="480"/>
      <c r="N946" s="479"/>
      <c r="O946" s="479"/>
    </row>
    <row r="947" spans="3:15" ht="15" customHeight="1">
      <c r="C947" s="508"/>
      <c r="D947" s="118"/>
      <c r="E947" s="118" t="s">
        <v>1039</v>
      </c>
      <c r="F947" s="388">
        <v>42460</v>
      </c>
      <c r="G947" s="119"/>
      <c r="H947" s="118" t="s">
        <v>1042</v>
      </c>
      <c r="I947" s="119"/>
      <c r="J947" s="119"/>
      <c r="K947" s="119"/>
      <c r="L947" s="119"/>
      <c r="M947" s="119"/>
      <c r="N947" s="118"/>
      <c r="O947" s="118"/>
    </row>
    <row r="948" spans="3:15" ht="15" customHeight="1" thickBot="1">
      <c r="C948" s="508"/>
      <c r="D948" s="508"/>
      <c r="E948" s="508"/>
      <c r="F948" s="508"/>
      <c r="G948" s="478"/>
      <c r="H948" s="508"/>
      <c r="I948" s="508"/>
      <c r="J948" s="508"/>
      <c r="K948" s="508"/>
      <c r="L948" s="508"/>
      <c r="M948" s="508"/>
      <c r="N948" s="508"/>
      <c r="O948" s="508"/>
    </row>
    <row r="949" spans="3:15" ht="15" customHeight="1">
      <c r="C949" s="508"/>
      <c r="D949" s="481"/>
      <c r="E949" s="506" t="s">
        <v>236</v>
      </c>
      <c r="F949" s="499">
        <v>42460</v>
      </c>
      <c r="G949" s="500">
        <v>42825</v>
      </c>
      <c r="H949" s="500">
        <v>43190</v>
      </c>
      <c r="I949" s="500">
        <v>43555</v>
      </c>
      <c r="J949" s="500">
        <v>43921</v>
      </c>
      <c r="K949" s="500">
        <v>44286</v>
      </c>
      <c r="L949" s="500">
        <v>44651</v>
      </c>
      <c r="M949" s="501">
        <v>45016</v>
      </c>
      <c r="N949" s="513" t="s">
        <v>86</v>
      </c>
      <c r="O949" s="502" t="s">
        <v>87</v>
      </c>
    </row>
    <row r="950" spans="3:15" ht="15" customHeight="1">
      <c r="C950" s="508"/>
      <c r="D950" s="482"/>
      <c r="E950" s="122" t="s">
        <v>240</v>
      </c>
      <c r="F950" s="503" t="s">
        <v>844</v>
      </c>
      <c r="G950" s="504" t="s">
        <v>844</v>
      </c>
      <c r="H950" s="504" t="s">
        <v>844</v>
      </c>
      <c r="I950" s="504" t="s">
        <v>844</v>
      </c>
      <c r="J950" s="504" t="s">
        <v>844</v>
      </c>
      <c r="K950" s="504" t="s">
        <v>844</v>
      </c>
      <c r="L950" s="504" t="s">
        <v>844</v>
      </c>
      <c r="M950" s="505" t="s">
        <v>844</v>
      </c>
      <c r="N950" s="192" t="s">
        <v>844</v>
      </c>
      <c r="O950" s="192" t="s">
        <v>844</v>
      </c>
    </row>
    <row r="951" spans="3:15" ht="15" customHeight="1">
      <c r="C951" s="508"/>
      <c r="D951" s="483"/>
      <c r="E951" s="124" t="s">
        <v>69</v>
      </c>
      <c r="F951" s="484"/>
      <c r="G951" s="485"/>
      <c r="H951" s="485"/>
      <c r="I951" s="485"/>
      <c r="J951" s="485"/>
      <c r="K951" s="485"/>
      <c r="L951" s="485"/>
      <c r="M951" s="486"/>
      <c r="N951" s="128"/>
      <c r="O951" s="128"/>
    </row>
    <row r="952" spans="3:15" ht="15" customHeight="1">
      <c r="C952" s="508"/>
      <c r="D952" s="487">
        <v>1</v>
      </c>
      <c r="E952" s="122" t="s">
        <v>213</v>
      </c>
      <c r="F952" s="491"/>
      <c r="G952" s="492"/>
      <c r="H952" s="492"/>
      <c r="I952" s="492"/>
      <c r="J952" s="492"/>
      <c r="K952" s="492"/>
      <c r="L952" s="492"/>
      <c r="M952" s="493"/>
      <c r="N952" s="130"/>
      <c r="O952" s="130"/>
    </row>
    <row r="953" spans="3:15" ht="15" customHeight="1">
      <c r="C953" s="508"/>
      <c r="D953" s="487">
        <v>2</v>
      </c>
      <c r="E953" s="122" t="s">
        <v>879</v>
      </c>
      <c r="F953" s="491"/>
      <c r="G953" s="492"/>
      <c r="H953" s="492"/>
      <c r="I953" s="492"/>
      <c r="J953" s="492"/>
      <c r="K953" s="492"/>
      <c r="L953" s="492"/>
      <c r="M953" s="493"/>
      <c r="N953" s="130"/>
      <c r="O953" s="130"/>
    </row>
    <row r="954" spans="3:15" ht="15" customHeight="1">
      <c r="C954" s="508"/>
      <c r="D954" s="487">
        <v>3</v>
      </c>
      <c r="E954" s="122" t="s">
        <v>214</v>
      </c>
      <c r="F954" s="491"/>
      <c r="G954" s="492"/>
      <c r="H954" s="492"/>
      <c r="I954" s="492"/>
      <c r="J954" s="492"/>
      <c r="K954" s="492"/>
      <c r="L954" s="492"/>
      <c r="M954" s="493"/>
      <c r="N954" s="130"/>
      <c r="O954" s="130"/>
    </row>
    <row r="955" spans="3:15" ht="15" customHeight="1">
      <c r="C955" s="508"/>
      <c r="D955" s="483"/>
      <c r="E955" s="124" t="s">
        <v>16</v>
      </c>
      <c r="F955" s="484"/>
      <c r="G955" s="485"/>
      <c r="H955" s="485"/>
      <c r="I955" s="485"/>
      <c r="J955" s="485"/>
      <c r="K955" s="485"/>
      <c r="L955" s="485"/>
      <c r="M955" s="486"/>
      <c r="N955" s="128"/>
      <c r="O955" s="128"/>
    </row>
    <row r="956" spans="3:15" ht="15" customHeight="1">
      <c r="C956" s="508"/>
      <c r="D956" s="487">
        <v>4</v>
      </c>
      <c r="E956" s="122" t="s">
        <v>492</v>
      </c>
      <c r="F956" s="491"/>
      <c r="G956" s="492"/>
      <c r="H956" s="492"/>
      <c r="I956" s="492"/>
      <c r="J956" s="492"/>
      <c r="K956" s="492"/>
      <c r="L956" s="492"/>
      <c r="M956" s="493"/>
      <c r="N956" s="130"/>
      <c r="O956" s="130"/>
    </row>
    <row r="957" spans="3:15" ht="15" customHeight="1">
      <c r="C957" s="508"/>
      <c r="D957" s="487">
        <v>5</v>
      </c>
      <c r="E957" s="122" t="s">
        <v>122</v>
      </c>
      <c r="F957" s="491"/>
      <c r="G957" s="492"/>
      <c r="H957" s="492"/>
      <c r="I957" s="492"/>
      <c r="J957" s="492"/>
      <c r="K957" s="492"/>
      <c r="L957" s="492"/>
      <c r="M957" s="493"/>
      <c r="N957" s="130"/>
      <c r="O957" s="130"/>
    </row>
    <row r="958" spans="3:15" ht="15" customHeight="1">
      <c r="C958" s="508"/>
      <c r="D958" s="487">
        <v>6</v>
      </c>
      <c r="E958" s="122" t="s">
        <v>493</v>
      </c>
      <c r="F958" s="491"/>
      <c r="G958" s="492"/>
      <c r="H958" s="492"/>
      <c r="I958" s="492"/>
      <c r="J958" s="492"/>
      <c r="K958" s="492"/>
      <c r="L958" s="492"/>
      <c r="M958" s="493"/>
      <c r="N958" s="130"/>
      <c r="O958" s="130"/>
    </row>
    <row r="959" spans="3:15" ht="15" customHeight="1">
      <c r="C959" s="508"/>
      <c r="D959" s="487">
        <v>7</v>
      </c>
      <c r="E959" s="122" t="s">
        <v>215</v>
      </c>
      <c r="F959" s="491"/>
      <c r="G959" s="492"/>
      <c r="H959" s="492"/>
      <c r="I959" s="492"/>
      <c r="J959" s="492"/>
      <c r="K959" s="492"/>
      <c r="L959" s="492"/>
      <c r="M959" s="493"/>
      <c r="N959" s="130"/>
      <c r="O959" s="130"/>
    </row>
    <row r="960" spans="3:15" ht="15" customHeight="1">
      <c r="C960" s="508"/>
      <c r="D960" s="487">
        <v>8</v>
      </c>
      <c r="E960" s="122" t="s">
        <v>0</v>
      </c>
      <c r="F960" s="491"/>
      <c r="G960" s="492"/>
      <c r="H960" s="492"/>
      <c r="I960" s="492"/>
      <c r="J960" s="492"/>
      <c r="K960" s="492"/>
      <c r="L960" s="492"/>
      <c r="M960" s="493"/>
      <c r="N960" s="130"/>
      <c r="O960" s="130"/>
    </row>
    <row r="961" spans="3:15" ht="15" customHeight="1">
      <c r="C961" s="508"/>
      <c r="D961" s="487">
        <v>9</v>
      </c>
      <c r="E961" s="122" t="s">
        <v>17</v>
      </c>
      <c r="F961" s="491"/>
      <c r="G961" s="492"/>
      <c r="H961" s="492"/>
      <c r="I961" s="492"/>
      <c r="J961" s="492"/>
      <c r="K961" s="492"/>
      <c r="L961" s="492"/>
      <c r="M961" s="493"/>
      <c r="N961" s="130"/>
      <c r="O961" s="130"/>
    </row>
    <row r="962" spans="3:15" ht="15" customHeight="1">
      <c r="C962" s="508"/>
      <c r="D962" s="483"/>
      <c r="E962" s="124" t="s">
        <v>301</v>
      </c>
      <c r="F962" s="488"/>
      <c r="G962" s="489"/>
      <c r="H962" s="489"/>
      <c r="I962" s="489"/>
      <c r="J962" s="489"/>
      <c r="K962" s="489"/>
      <c r="L962" s="489"/>
      <c r="M962" s="490"/>
      <c r="N962" s="134"/>
      <c r="O962" s="134"/>
    </row>
    <row r="963" spans="3:15" ht="15" customHeight="1">
      <c r="C963" s="508"/>
      <c r="D963" s="487">
        <v>10</v>
      </c>
      <c r="E963" s="122" t="s">
        <v>100</v>
      </c>
      <c r="F963" s="491"/>
      <c r="G963" s="492"/>
      <c r="H963" s="492"/>
      <c r="I963" s="492"/>
      <c r="J963" s="492"/>
      <c r="K963" s="492"/>
      <c r="L963" s="492"/>
      <c r="M963" s="493"/>
      <c r="N963" s="130"/>
      <c r="O963" s="130"/>
    </row>
    <row r="964" spans="3:15" ht="15" customHeight="1">
      <c r="C964" s="508"/>
      <c r="D964" s="487">
        <v>11</v>
      </c>
      <c r="E964" s="122" t="s">
        <v>740</v>
      </c>
      <c r="F964" s="491"/>
      <c r="G964" s="492"/>
      <c r="H964" s="492"/>
      <c r="I964" s="492"/>
      <c r="J964" s="492"/>
      <c r="K964" s="492"/>
      <c r="L964" s="492"/>
      <c r="M964" s="493"/>
      <c r="N964" s="130"/>
      <c r="O964" s="130"/>
    </row>
    <row r="965" spans="3:15" ht="15" customHeight="1">
      <c r="C965" s="508"/>
      <c r="D965" s="487">
        <v>12</v>
      </c>
      <c r="E965" s="122" t="s">
        <v>67</v>
      </c>
      <c r="F965" s="491"/>
      <c r="G965" s="492"/>
      <c r="H965" s="492"/>
      <c r="I965" s="492"/>
      <c r="J965" s="492"/>
      <c r="K965" s="492"/>
      <c r="L965" s="492"/>
      <c r="M965" s="493"/>
      <c r="N965" s="130"/>
      <c r="O965" s="130"/>
    </row>
    <row r="966" spans="3:15" ht="15" customHeight="1">
      <c r="C966" s="508"/>
      <c r="D966" s="487">
        <v>13</v>
      </c>
      <c r="E966" s="122" t="s">
        <v>19</v>
      </c>
      <c r="F966" s="491"/>
      <c r="G966" s="492"/>
      <c r="H966" s="492"/>
      <c r="I966" s="492"/>
      <c r="J966" s="492"/>
      <c r="K966" s="492"/>
      <c r="L966" s="492"/>
      <c r="M966" s="493"/>
      <c r="N966" s="130"/>
      <c r="O966" s="130"/>
    </row>
    <row r="967" spans="3:15" ht="15" customHeight="1">
      <c r="C967" s="508"/>
      <c r="D967" s="487">
        <v>14</v>
      </c>
      <c r="E967" s="122" t="s">
        <v>105</v>
      </c>
      <c r="F967" s="491"/>
      <c r="G967" s="492"/>
      <c r="H967" s="492"/>
      <c r="I967" s="492"/>
      <c r="J967" s="492"/>
      <c r="K967" s="492"/>
      <c r="L967" s="492"/>
      <c r="M967" s="493"/>
      <c r="N967" s="130"/>
      <c r="O967" s="130"/>
    </row>
    <row r="968" spans="3:15" ht="15" customHeight="1">
      <c r="C968" s="508"/>
      <c r="D968" s="487">
        <v>15</v>
      </c>
      <c r="E968" s="122" t="s">
        <v>23</v>
      </c>
      <c r="F968" s="491"/>
      <c r="G968" s="492"/>
      <c r="H968" s="492"/>
      <c r="I968" s="492"/>
      <c r="J968" s="492"/>
      <c r="K968" s="492"/>
      <c r="L968" s="492"/>
      <c r="M968" s="493"/>
      <c r="N968" s="130"/>
      <c r="O968" s="130"/>
    </row>
    <row r="969" spans="3:15" ht="15" customHeight="1">
      <c r="C969" s="508"/>
      <c r="D969" s="487">
        <v>16</v>
      </c>
      <c r="E969" s="122" t="s">
        <v>220</v>
      </c>
      <c r="F969" s="491"/>
      <c r="G969" s="492"/>
      <c r="H969" s="492"/>
      <c r="I969" s="492"/>
      <c r="J969" s="492"/>
      <c r="K969" s="492"/>
      <c r="L969" s="492"/>
      <c r="M969" s="493"/>
      <c r="N969" s="130"/>
      <c r="O969" s="130"/>
    </row>
    <row r="970" spans="3:15" ht="15" customHeight="1">
      <c r="C970" s="508"/>
      <c r="D970" s="487">
        <v>17</v>
      </c>
      <c r="E970" s="122" t="s">
        <v>7</v>
      </c>
      <c r="F970" s="491"/>
      <c r="G970" s="492"/>
      <c r="H970" s="492"/>
      <c r="I970" s="492"/>
      <c r="J970" s="492"/>
      <c r="K970" s="492"/>
      <c r="L970" s="492"/>
      <c r="M970" s="493"/>
      <c r="N970" s="130"/>
      <c r="O970" s="130"/>
    </row>
    <row r="971" spans="3:15" ht="15" customHeight="1">
      <c r="C971" s="508"/>
      <c r="D971" s="483"/>
      <c r="E971" s="124" t="s">
        <v>167</v>
      </c>
      <c r="F971" s="488"/>
      <c r="G971" s="489"/>
      <c r="H971" s="489"/>
      <c r="I971" s="489"/>
      <c r="J971" s="489"/>
      <c r="K971" s="489"/>
      <c r="L971" s="489"/>
      <c r="M971" s="490"/>
      <c r="N971" s="134"/>
      <c r="O971" s="134"/>
    </row>
    <row r="972" spans="3:15" ht="15" customHeight="1">
      <c r="C972" s="508"/>
      <c r="D972" s="487">
        <v>18</v>
      </c>
      <c r="E972" s="122" t="s">
        <v>100</v>
      </c>
      <c r="F972" s="491"/>
      <c r="G972" s="492"/>
      <c r="H972" s="492"/>
      <c r="I972" s="492"/>
      <c r="J972" s="492"/>
      <c r="K972" s="492"/>
      <c r="L972" s="492"/>
      <c r="M972" s="493"/>
      <c r="N972" s="130"/>
      <c r="O972" s="130"/>
    </row>
    <row r="973" spans="3:15" ht="15" customHeight="1">
      <c r="C973" s="508"/>
      <c r="D973" s="487">
        <v>19</v>
      </c>
      <c r="E973" s="122" t="s">
        <v>740</v>
      </c>
      <c r="F973" s="491"/>
      <c r="G973" s="492"/>
      <c r="H973" s="492"/>
      <c r="I973" s="492"/>
      <c r="J973" s="492"/>
      <c r="K973" s="492"/>
      <c r="L973" s="492"/>
      <c r="M973" s="493"/>
      <c r="N973" s="130"/>
      <c r="O973" s="130"/>
    </row>
    <row r="974" spans="3:15" ht="15" customHeight="1">
      <c r="C974" s="508"/>
      <c r="D974" s="487">
        <v>20</v>
      </c>
      <c r="E974" s="122" t="s">
        <v>67</v>
      </c>
      <c r="F974" s="491"/>
      <c r="G974" s="492"/>
      <c r="H974" s="492"/>
      <c r="I974" s="492"/>
      <c r="J974" s="492"/>
      <c r="K974" s="492"/>
      <c r="L974" s="492"/>
      <c r="M974" s="493"/>
      <c r="N974" s="130"/>
      <c r="O974" s="130"/>
    </row>
    <row r="975" spans="3:15" ht="15" customHeight="1">
      <c r="C975" s="508"/>
      <c r="D975" s="487">
        <v>21</v>
      </c>
      <c r="E975" s="122" t="s">
        <v>19</v>
      </c>
      <c r="F975" s="491"/>
      <c r="G975" s="492"/>
      <c r="H975" s="492"/>
      <c r="I975" s="492"/>
      <c r="J975" s="492"/>
      <c r="K975" s="492"/>
      <c r="L975" s="492"/>
      <c r="M975" s="493"/>
      <c r="N975" s="130"/>
      <c r="O975" s="130"/>
    </row>
    <row r="976" spans="3:15" ht="15" customHeight="1">
      <c r="C976" s="508"/>
      <c r="D976" s="487">
        <v>22</v>
      </c>
      <c r="E976" s="122" t="s">
        <v>105</v>
      </c>
      <c r="F976" s="491"/>
      <c r="G976" s="492"/>
      <c r="H976" s="492"/>
      <c r="I976" s="492"/>
      <c r="J976" s="492"/>
      <c r="K976" s="492"/>
      <c r="L976" s="492"/>
      <c r="M976" s="493"/>
      <c r="N976" s="130"/>
      <c r="O976" s="130"/>
    </row>
    <row r="977" spans="3:15" ht="15" customHeight="1">
      <c r="C977" s="508"/>
      <c r="D977" s="487">
        <v>23</v>
      </c>
      <c r="E977" s="122" t="s">
        <v>23</v>
      </c>
      <c r="F977" s="491"/>
      <c r="G977" s="492"/>
      <c r="H977" s="492"/>
      <c r="I977" s="492"/>
      <c r="J977" s="492"/>
      <c r="K977" s="492"/>
      <c r="L977" s="492"/>
      <c r="M977" s="493"/>
      <c r="N977" s="130"/>
      <c r="O977" s="130"/>
    </row>
    <row r="978" spans="3:15" ht="15" customHeight="1">
      <c r="C978" s="508"/>
      <c r="D978" s="487">
        <v>24</v>
      </c>
      <c r="E978" s="122" t="s">
        <v>220</v>
      </c>
      <c r="F978" s="491"/>
      <c r="G978" s="492"/>
      <c r="H978" s="492"/>
      <c r="I978" s="492"/>
      <c r="J978" s="492"/>
      <c r="K978" s="492"/>
      <c r="L978" s="492"/>
      <c r="M978" s="493"/>
      <c r="N978" s="130"/>
      <c r="O978" s="130"/>
    </row>
    <row r="979" spans="3:15" ht="15" customHeight="1">
      <c r="C979" s="508"/>
      <c r="D979" s="487">
        <v>25</v>
      </c>
      <c r="E979" s="122" t="s">
        <v>7</v>
      </c>
      <c r="F979" s="491"/>
      <c r="G979" s="492"/>
      <c r="H979" s="492"/>
      <c r="I979" s="492"/>
      <c r="J979" s="492"/>
      <c r="K979" s="492"/>
      <c r="L979" s="492"/>
      <c r="M979" s="493"/>
      <c r="N979" s="130"/>
      <c r="O979" s="130"/>
    </row>
    <row r="980" spans="3:15" ht="15" customHeight="1">
      <c r="C980" s="508"/>
      <c r="D980" s="483"/>
      <c r="E980" s="124" t="s">
        <v>20</v>
      </c>
      <c r="F980" s="488"/>
      <c r="G980" s="489"/>
      <c r="H980" s="489"/>
      <c r="I980" s="489"/>
      <c r="J980" s="489"/>
      <c r="K980" s="489"/>
      <c r="L980" s="489"/>
      <c r="M980" s="490"/>
      <c r="N980" s="474"/>
      <c r="O980" s="494"/>
    </row>
    <row r="981" spans="3:15" ht="15" customHeight="1">
      <c r="C981" s="508"/>
      <c r="D981" s="487">
        <v>26</v>
      </c>
      <c r="E981" s="122" t="s">
        <v>505</v>
      </c>
      <c r="F981" s="491"/>
      <c r="G981" s="492"/>
      <c r="H981" s="492"/>
      <c r="I981" s="492"/>
      <c r="J981" s="492"/>
      <c r="K981" s="492"/>
      <c r="L981" s="492"/>
      <c r="M981" s="493"/>
      <c r="N981" s="130"/>
      <c r="O981" s="130"/>
    </row>
    <row r="982" spans="3:15" ht="15" customHeight="1">
      <c r="C982" s="508"/>
      <c r="D982" s="487">
        <v>27</v>
      </c>
      <c r="E982" s="122" t="s">
        <v>60</v>
      </c>
      <c r="F982" s="491"/>
      <c r="G982" s="492"/>
      <c r="H982" s="492"/>
      <c r="I982" s="492"/>
      <c r="J982" s="492"/>
      <c r="K982" s="492"/>
      <c r="L982" s="492"/>
      <c r="M982" s="493"/>
      <c r="N982" s="130"/>
      <c r="O982" s="130"/>
    </row>
    <row r="983" spans="3:15" ht="15" customHeight="1">
      <c r="C983" s="508"/>
      <c r="D983" s="487">
        <v>28</v>
      </c>
      <c r="E983" s="122" t="s">
        <v>45</v>
      </c>
      <c r="F983" s="495"/>
      <c r="G983" s="492"/>
      <c r="H983" s="492"/>
      <c r="I983" s="492"/>
      <c r="J983" s="492"/>
      <c r="K983" s="492"/>
      <c r="L983" s="492"/>
      <c r="M983" s="493"/>
      <c r="N983" s="130"/>
      <c r="O983" s="130"/>
    </row>
    <row r="984" spans="3:15" ht="15" customHeight="1">
      <c r="C984" s="508"/>
      <c r="D984" s="487">
        <v>29</v>
      </c>
      <c r="E984" s="122" t="s">
        <v>521</v>
      </c>
      <c r="F984" s="495"/>
      <c r="G984" s="492"/>
      <c r="H984" s="492"/>
      <c r="I984" s="492"/>
      <c r="J984" s="492"/>
      <c r="K984" s="492"/>
      <c r="L984" s="492"/>
      <c r="M984" s="493"/>
      <c r="N984" s="130"/>
      <c r="O984" s="130"/>
    </row>
    <row r="985" spans="3:15" ht="15" customHeight="1">
      <c r="C985" s="508"/>
      <c r="D985" s="487">
        <v>30</v>
      </c>
      <c r="E985" s="122" t="s">
        <v>521</v>
      </c>
      <c r="F985" s="495"/>
      <c r="G985" s="492"/>
      <c r="H985" s="492"/>
      <c r="I985" s="492"/>
      <c r="J985" s="492"/>
      <c r="K985" s="492"/>
      <c r="L985" s="492"/>
      <c r="M985" s="493"/>
      <c r="N985" s="130"/>
      <c r="O985" s="130"/>
    </row>
    <row r="986" spans="3:15" ht="15" customHeight="1">
      <c r="C986" s="508"/>
      <c r="D986" s="487">
        <v>31</v>
      </c>
      <c r="E986" s="122" t="s">
        <v>729</v>
      </c>
      <c r="F986" s="495"/>
      <c r="G986" s="492"/>
      <c r="H986" s="492"/>
      <c r="I986" s="492"/>
      <c r="J986" s="492"/>
      <c r="K986" s="492"/>
      <c r="L986" s="492"/>
      <c r="M986" s="493"/>
      <c r="N986" s="130"/>
      <c r="O986" s="130"/>
    </row>
    <row r="987" spans="3:15" ht="15" customHeight="1">
      <c r="C987" s="508"/>
      <c r="D987" s="487">
        <v>32</v>
      </c>
      <c r="E987" s="122" t="s">
        <v>10</v>
      </c>
      <c r="F987" s="495"/>
      <c r="G987" s="492"/>
      <c r="H987" s="492"/>
      <c r="I987" s="492"/>
      <c r="J987" s="492"/>
      <c r="K987" s="492"/>
      <c r="L987" s="492"/>
      <c r="M987" s="519"/>
      <c r="N987" s="130"/>
      <c r="O987" s="130"/>
    </row>
    <row r="988" spans="3:15" ht="15" customHeight="1">
      <c r="C988" s="508"/>
      <c r="D988" s="483"/>
      <c r="E988" s="124" t="s">
        <v>176</v>
      </c>
      <c r="F988" s="488"/>
      <c r="G988" s="489"/>
      <c r="H988" s="489"/>
      <c r="I988" s="489"/>
      <c r="J988" s="489"/>
      <c r="K988" s="507"/>
      <c r="L988" s="489"/>
      <c r="M988" s="490"/>
      <c r="N988" s="474"/>
      <c r="O988" s="494"/>
    </row>
    <row r="989" spans="3:15" ht="15" customHeight="1">
      <c r="C989" s="508"/>
      <c r="D989" s="487">
        <v>33</v>
      </c>
      <c r="E989" s="122" t="s">
        <v>176</v>
      </c>
      <c r="F989" s="491"/>
      <c r="G989" s="492"/>
      <c r="H989" s="492"/>
      <c r="I989" s="492"/>
      <c r="J989" s="492"/>
      <c r="K989" s="492"/>
      <c r="L989" s="492"/>
      <c r="M989" s="493"/>
      <c r="N989" s="130"/>
      <c r="O989" s="130"/>
    </row>
    <row r="990" spans="3:15" ht="15" customHeight="1">
      <c r="C990" s="508"/>
      <c r="D990" s="487">
        <v>34</v>
      </c>
      <c r="E990" s="122" t="s">
        <v>191</v>
      </c>
      <c r="F990" s="491"/>
      <c r="G990" s="492"/>
      <c r="H990" s="492"/>
      <c r="I990" s="492"/>
      <c r="J990" s="492"/>
      <c r="K990" s="492"/>
      <c r="L990" s="492"/>
      <c r="M990" s="493"/>
      <c r="N990" s="130"/>
      <c r="O990" s="130"/>
    </row>
    <row r="991" spans="3:15" ht="15" customHeight="1">
      <c r="C991" s="498"/>
      <c r="D991" s="483"/>
      <c r="E991" s="124" t="s">
        <v>302</v>
      </c>
      <c r="F991" s="488"/>
      <c r="G991" s="489"/>
      <c r="H991" s="489"/>
      <c r="I991" s="489"/>
      <c r="J991" s="489"/>
      <c r="K991" s="507"/>
      <c r="L991" s="489"/>
      <c r="M991" s="490"/>
      <c r="N991" s="474"/>
      <c r="O991" s="494"/>
    </row>
    <row r="992" spans="3:15" ht="15" customHeight="1">
      <c r="C992" s="498"/>
      <c r="D992" s="487">
        <v>35</v>
      </c>
      <c r="E992" s="206">
        <v>42460</v>
      </c>
      <c r="F992" s="495"/>
      <c r="G992" s="492"/>
      <c r="H992" s="492"/>
      <c r="I992" s="492"/>
      <c r="J992" s="492"/>
      <c r="K992" s="492"/>
      <c r="L992" s="492"/>
      <c r="M992" s="493"/>
      <c r="N992" s="130"/>
      <c r="O992" s="130"/>
    </row>
    <row r="993" spans="3:15" ht="15" customHeight="1">
      <c r="C993" s="498"/>
      <c r="D993" s="487">
        <v>36</v>
      </c>
      <c r="E993" s="206">
        <v>42825</v>
      </c>
      <c r="F993" s="495"/>
      <c r="G993" s="492"/>
      <c r="H993" s="492"/>
      <c r="I993" s="492"/>
      <c r="J993" s="492"/>
      <c r="K993" s="492"/>
      <c r="L993" s="492"/>
      <c r="M993" s="493"/>
      <c r="N993" s="130"/>
      <c r="O993" s="130"/>
    </row>
    <row r="994" spans="3:15" ht="15" customHeight="1">
      <c r="C994" s="498"/>
      <c r="D994" s="487">
        <v>37</v>
      </c>
      <c r="E994" s="206">
        <v>43190</v>
      </c>
      <c r="F994" s="495"/>
      <c r="G994" s="492"/>
      <c r="H994" s="492"/>
      <c r="I994" s="492"/>
      <c r="J994" s="492"/>
      <c r="K994" s="492"/>
      <c r="L994" s="492"/>
      <c r="M994" s="493"/>
      <c r="N994" s="130"/>
      <c r="O994" s="130"/>
    </row>
    <row r="995" spans="3:15" ht="15" customHeight="1">
      <c r="C995" s="498"/>
      <c r="D995" s="487">
        <v>38</v>
      </c>
      <c r="E995" s="206">
        <v>43555</v>
      </c>
      <c r="F995" s="495"/>
      <c r="G995" s="492"/>
      <c r="H995" s="492"/>
      <c r="I995" s="492"/>
      <c r="J995" s="492"/>
      <c r="K995" s="492"/>
      <c r="L995" s="492"/>
      <c r="M995" s="493"/>
      <c r="N995" s="130"/>
      <c r="O995" s="130"/>
    </row>
    <row r="996" spans="3:15" ht="15" customHeight="1">
      <c r="C996" s="498"/>
      <c r="D996" s="487">
        <v>39</v>
      </c>
      <c r="E996" s="206">
        <v>43921</v>
      </c>
      <c r="F996" s="495"/>
      <c r="G996" s="492"/>
      <c r="H996" s="492"/>
      <c r="I996" s="492"/>
      <c r="J996" s="492"/>
      <c r="K996" s="492"/>
      <c r="L996" s="492"/>
      <c r="M996" s="493"/>
      <c r="N996" s="130"/>
      <c r="O996" s="130"/>
    </row>
    <row r="997" spans="3:15" ht="15" customHeight="1">
      <c r="C997" s="498"/>
      <c r="D997" s="487">
        <v>40</v>
      </c>
      <c r="E997" s="206">
        <v>44286</v>
      </c>
      <c r="F997" s="495"/>
      <c r="G997" s="492"/>
      <c r="H997" s="492"/>
      <c r="I997" s="492"/>
      <c r="J997" s="492"/>
      <c r="K997" s="492"/>
      <c r="L997" s="492"/>
      <c r="M997" s="493"/>
      <c r="N997" s="130"/>
      <c r="O997" s="130"/>
    </row>
    <row r="998" spans="3:15" ht="15" customHeight="1">
      <c r="C998" s="498"/>
      <c r="D998" s="487">
        <v>41</v>
      </c>
      <c r="E998" s="206">
        <v>44651</v>
      </c>
      <c r="F998" s="495"/>
      <c r="G998" s="492"/>
      <c r="H998" s="492"/>
      <c r="I998" s="492"/>
      <c r="J998" s="492"/>
      <c r="K998" s="492"/>
      <c r="L998" s="492"/>
      <c r="M998" s="493"/>
      <c r="N998" s="130"/>
      <c r="O998" s="130"/>
    </row>
    <row r="999" spans="3:15" ht="15" customHeight="1">
      <c r="C999" s="498"/>
      <c r="D999" s="487">
        <v>42</v>
      </c>
      <c r="E999" s="206">
        <v>45016</v>
      </c>
      <c r="F999" s="495"/>
      <c r="G999" s="492"/>
      <c r="H999" s="492"/>
      <c r="I999" s="492"/>
      <c r="J999" s="492"/>
      <c r="K999" s="492"/>
      <c r="L999" s="492"/>
      <c r="M999" s="493"/>
      <c r="N999" s="130"/>
      <c r="O999" s="130"/>
    </row>
    <row r="1000" spans="3:15" ht="15" customHeight="1">
      <c r="C1000" s="498"/>
      <c r="D1000" s="483"/>
      <c r="E1000" s="124" t="s">
        <v>506</v>
      </c>
      <c r="F1000" s="488"/>
      <c r="G1000" s="489"/>
      <c r="H1000" s="489"/>
      <c r="I1000" s="489"/>
      <c r="J1000" s="489"/>
      <c r="K1000" s="507"/>
      <c r="L1000" s="489"/>
      <c r="M1000" s="490"/>
      <c r="N1000" s="474"/>
      <c r="O1000" s="494"/>
    </row>
    <row r="1001" spans="3:15" ht="15" customHeight="1">
      <c r="C1001" s="498"/>
      <c r="D1001" s="487">
        <v>43</v>
      </c>
      <c r="E1001" s="206">
        <v>42460</v>
      </c>
      <c r="F1001" s="495"/>
      <c r="G1001" s="492"/>
      <c r="H1001" s="492"/>
      <c r="I1001" s="492"/>
      <c r="J1001" s="492"/>
      <c r="K1001" s="492"/>
      <c r="L1001" s="492"/>
      <c r="M1001" s="493"/>
      <c r="N1001" s="130"/>
      <c r="O1001" s="130"/>
    </row>
    <row r="1002" spans="3:15" ht="15" customHeight="1">
      <c r="C1002" s="498"/>
      <c r="D1002" s="487">
        <v>44</v>
      </c>
      <c r="E1002" s="206">
        <v>42825</v>
      </c>
      <c r="F1002" s="495"/>
      <c r="G1002" s="492"/>
      <c r="H1002" s="492"/>
      <c r="I1002" s="492"/>
      <c r="J1002" s="492"/>
      <c r="K1002" s="492"/>
      <c r="L1002" s="492"/>
      <c r="M1002" s="493"/>
      <c r="N1002" s="130"/>
      <c r="O1002" s="130"/>
    </row>
    <row r="1003" spans="3:15" ht="15" customHeight="1">
      <c r="C1003" s="498"/>
      <c r="D1003" s="487">
        <v>45</v>
      </c>
      <c r="E1003" s="206">
        <v>43190</v>
      </c>
      <c r="F1003" s="495"/>
      <c r="G1003" s="492"/>
      <c r="H1003" s="492"/>
      <c r="I1003" s="492"/>
      <c r="J1003" s="492"/>
      <c r="K1003" s="492"/>
      <c r="L1003" s="492"/>
      <c r="M1003" s="493"/>
      <c r="N1003" s="130"/>
      <c r="O1003" s="130"/>
    </row>
    <row r="1004" spans="3:15" ht="15" customHeight="1">
      <c r="C1004" s="498"/>
      <c r="D1004" s="487">
        <v>46</v>
      </c>
      <c r="E1004" s="206">
        <v>43555</v>
      </c>
      <c r="F1004" s="495"/>
      <c r="G1004" s="492"/>
      <c r="H1004" s="492"/>
      <c r="I1004" s="492"/>
      <c r="J1004" s="492"/>
      <c r="K1004" s="492"/>
      <c r="L1004" s="492"/>
      <c r="M1004" s="493"/>
      <c r="N1004" s="130"/>
      <c r="O1004" s="130"/>
    </row>
    <row r="1005" spans="3:15" ht="15" customHeight="1">
      <c r="C1005" s="498"/>
      <c r="D1005" s="487">
        <v>47</v>
      </c>
      <c r="E1005" s="206">
        <v>43921</v>
      </c>
      <c r="F1005" s="495"/>
      <c r="G1005" s="492"/>
      <c r="H1005" s="492"/>
      <c r="I1005" s="492"/>
      <c r="J1005" s="492"/>
      <c r="K1005" s="492"/>
      <c r="L1005" s="492"/>
      <c r="M1005" s="493"/>
      <c r="N1005" s="130"/>
      <c r="O1005" s="130"/>
    </row>
    <row r="1006" spans="3:15" ht="15" customHeight="1">
      <c r="C1006" s="498"/>
      <c r="D1006" s="487">
        <v>48</v>
      </c>
      <c r="E1006" s="206">
        <v>44286</v>
      </c>
      <c r="F1006" s="495"/>
      <c r="G1006" s="492"/>
      <c r="H1006" s="492"/>
      <c r="I1006" s="492"/>
      <c r="J1006" s="492"/>
      <c r="K1006" s="492"/>
      <c r="L1006" s="492"/>
      <c r="M1006" s="493"/>
      <c r="N1006" s="130"/>
      <c r="O1006" s="130"/>
    </row>
    <row r="1007" spans="3:15" ht="15" customHeight="1">
      <c r="C1007" s="498"/>
      <c r="D1007" s="487">
        <v>49</v>
      </c>
      <c r="E1007" s="206">
        <v>44651</v>
      </c>
      <c r="F1007" s="495"/>
      <c r="G1007" s="492"/>
      <c r="H1007" s="492"/>
      <c r="I1007" s="492"/>
      <c r="J1007" s="492"/>
      <c r="K1007" s="492"/>
      <c r="L1007" s="492"/>
      <c r="M1007" s="493"/>
      <c r="N1007" s="130"/>
      <c r="O1007" s="130"/>
    </row>
    <row r="1008" spans="3:15" ht="15" customHeight="1">
      <c r="C1008" s="498"/>
      <c r="D1008" s="487">
        <v>50</v>
      </c>
      <c r="E1008" s="206">
        <v>45016</v>
      </c>
      <c r="F1008" s="495"/>
      <c r="G1008" s="492"/>
      <c r="H1008" s="492"/>
      <c r="I1008" s="492"/>
      <c r="J1008" s="492"/>
      <c r="K1008" s="492"/>
      <c r="L1008" s="492"/>
      <c r="M1008" s="493"/>
      <c r="N1008" s="130"/>
      <c r="O1008" s="130"/>
    </row>
    <row r="1009" spans="3:15" ht="15" customHeight="1">
      <c r="C1009" s="498"/>
      <c r="D1009" s="483"/>
      <c r="E1009" s="124" t="s">
        <v>518</v>
      </c>
      <c r="F1009" s="488"/>
      <c r="G1009" s="489"/>
      <c r="H1009" s="489"/>
      <c r="I1009" s="489"/>
      <c r="J1009" s="489"/>
      <c r="K1009" s="507"/>
      <c r="L1009" s="489"/>
      <c r="M1009" s="490"/>
      <c r="N1009" s="474"/>
      <c r="O1009" s="494"/>
    </row>
    <row r="1010" spans="3:15" ht="15" customHeight="1">
      <c r="C1010" s="498"/>
      <c r="D1010" s="487">
        <v>51</v>
      </c>
      <c r="E1010" s="122" t="s">
        <v>489</v>
      </c>
      <c r="F1010" s="491"/>
      <c r="G1010" s="492"/>
      <c r="H1010" s="492"/>
      <c r="I1010" s="492"/>
      <c r="J1010" s="492"/>
      <c r="K1010" s="492"/>
      <c r="L1010" s="492"/>
      <c r="M1010" s="493"/>
      <c r="N1010" s="130"/>
      <c r="O1010" s="130"/>
    </row>
    <row r="1011" spans="3:15" ht="15" customHeight="1">
      <c r="C1011" s="498"/>
      <c r="D1011" s="487">
        <v>52</v>
      </c>
      <c r="E1011" s="122" t="s">
        <v>490</v>
      </c>
      <c r="F1011" s="509"/>
      <c r="G1011" s="510"/>
      <c r="H1011" s="510"/>
      <c r="I1011" s="510"/>
      <c r="J1011" s="510"/>
      <c r="K1011" s="510"/>
      <c r="L1011" s="510"/>
      <c r="M1011" s="511"/>
      <c r="N1011" s="234"/>
      <c r="O1011" s="234"/>
    </row>
    <row r="1012" spans="3:15" ht="15" customHeight="1">
      <c r="C1012" s="508"/>
      <c r="D1012" s="487">
        <v>53</v>
      </c>
      <c r="E1012" s="122" t="s">
        <v>465</v>
      </c>
      <c r="F1012" s="491"/>
      <c r="G1012" s="492"/>
      <c r="H1012" s="492"/>
      <c r="I1012" s="492"/>
      <c r="J1012" s="492"/>
      <c r="K1012" s="492"/>
      <c r="L1012" s="492"/>
      <c r="M1012" s="493"/>
      <c r="N1012" s="130"/>
      <c r="O1012" s="130"/>
    </row>
    <row r="1013" spans="3:15" ht="15" customHeight="1">
      <c r="C1013" s="508"/>
      <c r="D1013" s="487">
        <v>54</v>
      </c>
      <c r="E1013" s="122" t="s">
        <v>491</v>
      </c>
      <c r="F1013" s="495"/>
      <c r="G1013" s="492"/>
      <c r="H1013" s="492"/>
      <c r="I1013" s="492"/>
      <c r="J1013" s="492"/>
      <c r="K1013" s="492"/>
      <c r="L1013" s="492"/>
      <c r="M1013" s="493"/>
      <c r="N1013" s="130"/>
      <c r="O1013" s="130"/>
    </row>
    <row r="1014" spans="3:15" ht="15" customHeight="1" thickBot="1">
      <c r="C1014" s="508"/>
      <c r="D1014" s="496">
        <v>55</v>
      </c>
      <c r="E1014" s="520" t="s">
        <v>874</v>
      </c>
      <c r="F1014" s="515"/>
      <c r="G1014" s="497"/>
      <c r="H1014" s="497"/>
      <c r="I1014" s="497"/>
      <c r="J1014" s="497"/>
      <c r="K1014" s="497"/>
      <c r="L1014" s="497"/>
      <c r="M1014" s="512"/>
      <c r="N1014" s="514"/>
      <c r="O1014" s="514"/>
    </row>
    <row r="1015" spans="3:15" ht="15" customHeight="1">
      <c r="C1015" s="498"/>
      <c r="D1015" s="256"/>
      <c r="E1015" s="195"/>
      <c r="F1015" s="157"/>
      <c r="G1015" s="157"/>
      <c r="H1015" s="157"/>
      <c r="I1015" s="157"/>
      <c r="J1015" s="157"/>
      <c r="K1015" s="157"/>
      <c r="L1015" s="157"/>
      <c r="M1015" s="523"/>
      <c r="N1015" s="157"/>
      <c r="O1015" s="157"/>
    </row>
    <row r="1016" spans="3:15" ht="15" customHeight="1">
      <c r="C1016" s="498"/>
      <c r="D1016" s="256"/>
      <c r="E1016" s="195"/>
      <c r="F1016" s="157"/>
      <c r="G1016" s="157"/>
      <c r="H1016" s="157"/>
      <c r="I1016" s="157"/>
      <c r="J1016" s="157"/>
      <c r="K1016" s="157"/>
      <c r="L1016" s="157"/>
      <c r="M1016" s="523"/>
      <c r="N1016" s="157"/>
      <c r="O1016" s="157"/>
    </row>
    <row r="1017" spans="3:15" ht="15" customHeight="1">
      <c r="C1017" s="498"/>
      <c r="D1017" s="256"/>
      <c r="E1017" s="195"/>
      <c r="F1017" s="157"/>
      <c r="G1017" s="157"/>
      <c r="H1017" s="157"/>
      <c r="I1017" s="157"/>
      <c r="J1017" s="157"/>
      <c r="K1017" s="157"/>
      <c r="L1017" s="157"/>
      <c r="M1017" s="523"/>
      <c r="N1017" s="157"/>
      <c r="O1017" s="157"/>
    </row>
    <row r="1018" spans="3:15" ht="15" customHeight="1">
      <c r="C1018" s="498"/>
      <c r="D1018" s="256"/>
      <c r="E1018" s="195"/>
      <c r="F1018" s="157"/>
      <c r="G1018" s="157"/>
      <c r="H1018" s="157"/>
      <c r="I1018" s="157"/>
      <c r="J1018" s="157"/>
      <c r="K1018" s="157"/>
      <c r="L1018" s="157"/>
      <c r="M1018" s="523"/>
      <c r="N1018" s="157"/>
      <c r="O1018" s="157"/>
    </row>
    <row r="1019" spans="3:15" ht="15" customHeight="1">
      <c r="C1019" s="498"/>
      <c r="D1019" s="256"/>
      <c r="E1019" s="195"/>
      <c r="F1019" s="157"/>
      <c r="G1019" s="157"/>
      <c r="H1019" s="157"/>
      <c r="I1019" s="157"/>
      <c r="J1019" s="157"/>
      <c r="K1019" s="157"/>
      <c r="L1019" s="157"/>
      <c r="M1019" s="523"/>
      <c r="N1019" s="157"/>
      <c r="O1019" s="157"/>
    </row>
    <row r="1020" spans="3:15" ht="15" customHeight="1">
      <c r="C1020" s="517" t="s">
        <v>1040</v>
      </c>
      <c r="D1020" s="517"/>
      <c r="E1020" s="517"/>
      <c r="F1020" s="517"/>
      <c r="G1020" s="517"/>
      <c r="H1020" s="517"/>
      <c r="I1020" s="517"/>
      <c r="J1020" s="517"/>
      <c r="K1020" s="517"/>
      <c r="L1020" s="517"/>
      <c r="M1020" s="517"/>
      <c r="N1020" s="517"/>
      <c r="O1020" s="517"/>
    </row>
    <row r="1021" spans="3:15" ht="15" customHeight="1">
      <c r="C1021" s="508"/>
      <c r="D1021" s="508"/>
      <c r="E1021" s="508"/>
      <c r="F1021" s="508"/>
      <c r="G1021" s="508"/>
      <c r="H1021" s="508"/>
      <c r="I1021" s="508"/>
      <c r="J1021" s="508"/>
      <c r="K1021" s="508"/>
      <c r="L1021" s="508"/>
      <c r="M1021" s="508"/>
      <c r="N1021" s="508"/>
      <c r="O1021" s="508"/>
    </row>
    <row r="1022" spans="3:15" ht="15" customHeight="1">
      <c r="C1022" s="508"/>
      <c r="D1022" s="479"/>
      <c r="E1022" s="479"/>
      <c r="F1022" s="480"/>
      <c r="G1022" s="480"/>
      <c r="H1022" s="480"/>
      <c r="I1022" s="480"/>
      <c r="J1022" s="480"/>
      <c r="K1022" s="480"/>
      <c r="L1022" s="480"/>
      <c r="M1022" s="480"/>
      <c r="N1022" s="479"/>
      <c r="O1022" s="479"/>
    </row>
    <row r="1023" spans="3:15" ht="15" customHeight="1">
      <c r="C1023" s="508"/>
      <c r="D1023" s="479"/>
      <c r="E1023" s="518" t="s">
        <v>58</v>
      </c>
      <c r="F1023" s="518" t="s">
        <v>239</v>
      </c>
      <c r="G1023" s="480"/>
      <c r="H1023" s="518" t="s">
        <v>39</v>
      </c>
      <c r="I1023" s="480"/>
      <c r="J1023" s="480"/>
      <c r="K1023" s="480"/>
      <c r="L1023" s="480"/>
      <c r="M1023" s="480"/>
      <c r="N1023" s="479"/>
      <c r="O1023" s="479"/>
    </row>
    <row r="1024" spans="3:15" ht="15" customHeight="1">
      <c r="C1024" s="508"/>
      <c r="D1024" s="118"/>
      <c r="E1024" s="118" t="s">
        <v>1041</v>
      </c>
      <c r="F1024" s="388">
        <v>42460</v>
      </c>
      <c r="G1024" s="119"/>
      <c r="H1024" s="118" t="s">
        <v>1042</v>
      </c>
      <c r="I1024" s="119"/>
      <c r="J1024" s="119"/>
      <c r="K1024" s="119"/>
      <c r="L1024" s="119"/>
      <c r="M1024" s="119"/>
      <c r="N1024" s="118"/>
      <c r="O1024" s="118"/>
    </row>
    <row r="1025" spans="3:15" ht="15" customHeight="1" thickBot="1">
      <c r="C1025" s="508"/>
      <c r="D1025" s="508"/>
      <c r="E1025" s="508"/>
      <c r="F1025" s="508"/>
      <c r="G1025" s="478"/>
      <c r="H1025" s="508"/>
      <c r="I1025" s="508"/>
      <c r="J1025" s="508"/>
      <c r="K1025" s="508"/>
      <c r="L1025" s="508"/>
      <c r="M1025" s="508"/>
      <c r="N1025" s="508"/>
      <c r="O1025" s="508"/>
    </row>
    <row r="1026" spans="3:15" ht="15" customHeight="1">
      <c r="C1026" s="508"/>
      <c r="D1026" s="481"/>
      <c r="E1026" s="506" t="s">
        <v>236</v>
      </c>
      <c r="F1026" s="499">
        <v>42460</v>
      </c>
      <c r="G1026" s="500">
        <v>42825</v>
      </c>
      <c r="H1026" s="500">
        <v>43190</v>
      </c>
      <c r="I1026" s="500">
        <v>43555</v>
      </c>
      <c r="J1026" s="500">
        <v>43921</v>
      </c>
      <c r="K1026" s="500">
        <v>44286</v>
      </c>
      <c r="L1026" s="500">
        <v>44651</v>
      </c>
      <c r="M1026" s="501">
        <v>45016</v>
      </c>
      <c r="N1026" s="513" t="s">
        <v>86</v>
      </c>
      <c r="O1026" s="502" t="s">
        <v>87</v>
      </c>
    </row>
    <row r="1027" spans="3:15" ht="15" customHeight="1">
      <c r="C1027" s="508"/>
      <c r="D1027" s="482"/>
      <c r="E1027" s="122" t="s">
        <v>240</v>
      </c>
      <c r="F1027" s="503" t="s">
        <v>844</v>
      </c>
      <c r="G1027" s="504" t="s">
        <v>844</v>
      </c>
      <c r="H1027" s="504" t="s">
        <v>844</v>
      </c>
      <c r="I1027" s="504" t="s">
        <v>844</v>
      </c>
      <c r="J1027" s="504" t="s">
        <v>844</v>
      </c>
      <c r="K1027" s="504" t="s">
        <v>844</v>
      </c>
      <c r="L1027" s="504" t="s">
        <v>844</v>
      </c>
      <c r="M1027" s="505" t="s">
        <v>844</v>
      </c>
      <c r="N1027" s="192" t="s">
        <v>844</v>
      </c>
      <c r="O1027" s="192" t="s">
        <v>844</v>
      </c>
    </row>
    <row r="1028" spans="3:15" ht="15" customHeight="1">
      <c r="C1028" s="508"/>
      <c r="D1028" s="483"/>
      <c r="E1028" s="124" t="s">
        <v>69</v>
      </c>
      <c r="F1028" s="484"/>
      <c r="G1028" s="485"/>
      <c r="H1028" s="485"/>
      <c r="I1028" s="485"/>
      <c r="J1028" s="485"/>
      <c r="K1028" s="485"/>
      <c r="L1028" s="485"/>
      <c r="M1028" s="486"/>
      <c r="N1028" s="128"/>
      <c r="O1028" s="128"/>
    </row>
    <row r="1029" spans="3:15" ht="15" customHeight="1">
      <c r="C1029" s="508"/>
      <c r="D1029" s="487">
        <v>1</v>
      </c>
      <c r="E1029" s="122" t="s">
        <v>213</v>
      </c>
      <c r="F1029" s="491"/>
      <c r="G1029" s="492"/>
      <c r="H1029" s="492"/>
      <c r="I1029" s="492"/>
      <c r="J1029" s="492"/>
      <c r="K1029" s="492"/>
      <c r="L1029" s="492"/>
      <c r="M1029" s="493"/>
      <c r="N1029" s="130"/>
      <c r="O1029" s="130"/>
    </row>
    <row r="1030" spans="3:15" ht="15" customHeight="1">
      <c r="C1030" s="508"/>
      <c r="D1030" s="487">
        <v>2</v>
      </c>
      <c r="E1030" s="122" t="s">
        <v>879</v>
      </c>
      <c r="F1030" s="491"/>
      <c r="G1030" s="492"/>
      <c r="H1030" s="492"/>
      <c r="I1030" s="492"/>
      <c r="J1030" s="492"/>
      <c r="K1030" s="492"/>
      <c r="L1030" s="492"/>
      <c r="M1030" s="493"/>
      <c r="N1030" s="130"/>
      <c r="O1030" s="130"/>
    </row>
    <row r="1031" spans="3:15" ht="15" customHeight="1">
      <c r="C1031" s="508"/>
      <c r="D1031" s="487">
        <v>3</v>
      </c>
      <c r="E1031" s="122" t="s">
        <v>214</v>
      </c>
      <c r="F1031" s="491"/>
      <c r="G1031" s="492"/>
      <c r="H1031" s="492"/>
      <c r="I1031" s="492"/>
      <c r="J1031" s="492"/>
      <c r="K1031" s="492"/>
      <c r="L1031" s="492"/>
      <c r="M1031" s="493"/>
      <c r="N1031" s="130"/>
      <c r="O1031" s="130"/>
    </row>
    <row r="1032" spans="3:15" ht="15" customHeight="1">
      <c r="C1032" s="508"/>
      <c r="D1032" s="483"/>
      <c r="E1032" s="124" t="s">
        <v>16</v>
      </c>
      <c r="F1032" s="484"/>
      <c r="G1032" s="485"/>
      <c r="H1032" s="485"/>
      <c r="I1032" s="485"/>
      <c r="J1032" s="485"/>
      <c r="K1032" s="485"/>
      <c r="L1032" s="485"/>
      <c r="M1032" s="486"/>
      <c r="N1032" s="128"/>
      <c r="O1032" s="128"/>
    </row>
    <row r="1033" spans="3:15" ht="15" customHeight="1">
      <c r="C1033" s="508"/>
      <c r="D1033" s="487">
        <v>4</v>
      </c>
      <c r="E1033" s="122" t="s">
        <v>492</v>
      </c>
      <c r="F1033" s="491"/>
      <c r="G1033" s="492"/>
      <c r="H1033" s="492"/>
      <c r="I1033" s="492"/>
      <c r="J1033" s="492"/>
      <c r="K1033" s="492"/>
      <c r="L1033" s="492"/>
      <c r="M1033" s="493"/>
      <c r="N1033" s="130"/>
      <c r="O1033" s="130"/>
    </row>
    <row r="1034" spans="3:15" ht="15" customHeight="1">
      <c r="C1034" s="508"/>
      <c r="D1034" s="487">
        <v>5</v>
      </c>
      <c r="E1034" s="122" t="s">
        <v>122</v>
      </c>
      <c r="F1034" s="491"/>
      <c r="G1034" s="492"/>
      <c r="H1034" s="492"/>
      <c r="I1034" s="492"/>
      <c r="J1034" s="492"/>
      <c r="K1034" s="492"/>
      <c r="L1034" s="492"/>
      <c r="M1034" s="493"/>
      <c r="N1034" s="130"/>
      <c r="O1034" s="130"/>
    </row>
    <row r="1035" spans="3:15" ht="15" customHeight="1">
      <c r="C1035" s="508"/>
      <c r="D1035" s="487">
        <v>6</v>
      </c>
      <c r="E1035" s="122" t="s">
        <v>493</v>
      </c>
      <c r="F1035" s="491"/>
      <c r="G1035" s="492"/>
      <c r="H1035" s="492"/>
      <c r="I1035" s="492"/>
      <c r="J1035" s="492"/>
      <c r="K1035" s="492"/>
      <c r="L1035" s="492"/>
      <c r="M1035" s="493"/>
      <c r="N1035" s="130"/>
      <c r="O1035" s="130"/>
    </row>
    <row r="1036" spans="3:15" ht="15" customHeight="1">
      <c r="C1036" s="508"/>
      <c r="D1036" s="487">
        <v>7</v>
      </c>
      <c r="E1036" s="122" t="s">
        <v>215</v>
      </c>
      <c r="F1036" s="491"/>
      <c r="G1036" s="492"/>
      <c r="H1036" s="492"/>
      <c r="I1036" s="492"/>
      <c r="J1036" s="492"/>
      <c r="K1036" s="492"/>
      <c r="L1036" s="492"/>
      <c r="M1036" s="493"/>
      <c r="N1036" s="130"/>
      <c r="O1036" s="130"/>
    </row>
    <row r="1037" spans="3:15" ht="15" customHeight="1">
      <c r="C1037" s="508"/>
      <c r="D1037" s="487">
        <v>8</v>
      </c>
      <c r="E1037" s="122" t="s">
        <v>0</v>
      </c>
      <c r="F1037" s="491"/>
      <c r="G1037" s="492"/>
      <c r="H1037" s="492"/>
      <c r="I1037" s="492"/>
      <c r="J1037" s="492"/>
      <c r="K1037" s="492"/>
      <c r="L1037" s="492"/>
      <c r="M1037" s="493"/>
      <c r="N1037" s="130"/>
      <c r="O1037" s="130"/>
    </row>
    <row r="1038" spans="3:15" ht="15" customHeight="1">
      <c r="C1038" s="508"/>
      <c r="D1038" s="487">
        <v>9</v>
      </c>
      <c r="E1038" s="122" t="s">
        <v>17</v>
      </c>
      <c r="F1038" s="491"/>
      <c r="G1038" s="492"/>
      <c r="H1038" s="492"/>
      <c r="I1038" s="492"/>
      <c r="J1038" s="492"/>
      <c r="K1038" s="492"/>
      <c r="L1038" s="492"/>
      <c r="M1038" s="493"/>
      <c r="N1038" s="130"/>
      <c r="O1038" s="130"/>
    </row>
    <row r="1039" spans="3:15" ht="15" customHeight="1">
      <c r="C1039" s="508"/>
      <c r="D1039" s="483"/>
      <c r="E1039" s="124" t="s">
        <v>301</v>
      </c>
      <c r="F1039" s="488"/>
      <c r="G1039" s="489"/>
      <c r="H1039" s="489"/>
      <c r="I1039" s="489"/>
      <c r="J1039" s="489"/>
      <c r="K1039" s="489"/>
      <c r="L1039" s="489"/>
      <c r="M1039" s="490"/>
      <c r="N1039" s="134"/>
      <c r="O1039" s="134"/>
    </row>
    <row r="1040" spans="3:15" ht="15" customHeight="1">
      <c r="C1040" s="508"/>
      <c r="D1040" s="487">
        <v>10</v>
      </c>
      <c r="E1040" s="122" t="s">
        <v>100</v>
      </c>
      <c r="F1040" s="491"/>
      <c r="G1040" s="492"/>
      <c r="H1040" s="492"/>
      <c r="I1040" s="492"/>
      <c r="J1040" s="492"/>
      <c r="K1040" s="492"/>
      <c r="L1040" s="492"/>
      <c r="M1040" s="493"/>
      <c r="N1040" s="130"/>
      <c r="O1040" s="130"/>
    </row>
    <row r="1041" spans="3:15" ht="15" customHeight="1">
      <c r="C1041" s="508"/>
      <c r="D1041" s="487">
        <v>11</v>
      </c>
      <c r="E1041" s="122" t="s">
        <v>740</v>
      </c>
      <c r="F1041" s="491"/>
      <c r="G1041" s="492"/>
      <c r="H1041" s="492"/>
      <c r="I1041" s="492"/>
      <c r="J1041" s="492"/>
      <c r="K1041" s="492"/>
      <c r="L1041" s="492"/>
      <c r="M1041" s="493"/>
      <c r="N1041" s="130"/>
      <c r="O1041" s="130"/>
    </row>
    <row r="1042" spans="3:15" ht="15" customHeight="1">
      <c r="C1042" s="508"/>
      <c r="D1042" s="487">
        <v>12</v>
      </c>
      <c r="E1042" s="122" t="s">
        <v>67</v>
      </c>
      <c r="F1042" s="491"/>
      <c r="G1042" s="492"/>
      <c r="H1042" s="492"/>
      <c r="I1042" s="492"/>
      <c r="J1042" s="492"/>
      <c r="K1042" s="492"/>
      <c r="L1042" s="492"/>
      <c r="M1042" s="493"/>
      <c r="N1042" s="130"/>
      <c r="O1042" s="130"/>
    </row>
    <row r="1043" spans="3:15" ht="15" customHeight="1">
      <c r="C1043" s="508"/>
      <c r="D1043" s="487">
        <v>13</v>
      </c>
      <c r="E1043" s="122" t="s">
        <v>19</v>
      </c>
      <c r="F1043" s="491"/>
      <c r="G1043" s="492"/>
      <c r="H1043" s="492"/>
      <c r="I1043" s="492"/>
      <c r="J1043" s="492"/>
      <c r="K1043" s="492"/>
      <c r="L1043" s="492"/>
      <c r="M1043" s="493"/>
      <c r="N1043" s="130"/>
      <c r="O1043" s="130"/>
    </row>
    <row r="1044" spans="3:15" ht="15" customHeight="1">
      <c r="C1044" s="508"/>
      <c r="D1044" s="487">
        <v>14</v>
      </c>
      <c r="E1044" s="122" t="s">
        <v>105</v>
      </c>
      <c r="F1044" s="491"/>
      <c r="G1044" s="492"/>
      <c r="H1044" s="492"/>
      <c r="I1044" s="492"/>
      <c r="J1044" s="492"/>
      <c r="K1044" s="492"/>
      <c r="L1044" s="492"/>
      <c r="M1044" s="493"/>
      <c r="N1044" s="130"/>
      <c r="O1044" s="130"/>
    </row>
    <row r="1045" spans="3:15" ht="15" customHeight="1">
      <c r="C1045" s="508"/>
      <c r="D1045" s="487">
        <v>15</v>
      </c>
      <c r="E1045" s="122" t="s">
        <v>23</v>
      </c>
      <c r="F1045" s="491"/>
      <c r="G1045" s="492"/>
      <c r="H1045" s="492"/>
      <c r="I1045" s="492"/>
      <c r="J1045" s="492"/>
      <c r="K1045" s="492"/>
      <c r="L1045" s="492"/>
      <c r="M1045" s="493"/>
      <c r="N1045" s="130"/>
      <c r="O1045" s="130"/>
    </row>
    <row r="1046" spans="3:15" ht="15" customHeight="1">
      <c r="C1046" s="508"/>
      <c r="D1046" s="487">
        <v>16</v>
      </c>
      <c r="E1046" s="122" t="s">
        <v>220</v>
      </c>
      <c r="F1046" s="491"/>
      <c r="G1046" s="492"/>
      <c r="H1046" s="492"/>
      <c r="I1046" s="492"/>
      <c r="J1046" s="492"/>
      <c r="K1046" s="492"/>
      <c r="L1046" s="492"/>
      <c r="M1046" s="493"/>
      <c r="N1046" s="130"/>
      <c r="O1046" s="130"/>
    </row>
    <row r="1047" spans="3:15" ht="15" customHeight="1">
      <c r="C1047" s="508"/>
      <c r="D1047" s="487">
        <v>17</v>
      </c>
      <c r="E1047" s="122" t="s">
        <v>7</v>
      </c>
      <c r="F1047" s="491"/>
      <c r="G1047" s="492"/>
      <c r="H1047" s="492"/>
      <c r="I1047" s="492"/>
      <c r="J1047" s="492"/>
      <c r="K1047" s="492"/>
      <c r="L1047" s="492"/>
      <c r="M1047" s="493"/>
      <c r="N1047" s="130"/>
      <c r="O1047" s="130"/>
    </row>
    <row r="1048" spans="3:15" ht="15" customHeight="1">
      <c r="C1048" s="508"/>
      <c r="D1048" s="483"/>
      <c r="E1048" s="124" t="s">
        <v>167</v>
      </c>
      <c r="F1048" s="488"/>
      <c r="G1048" s="489"/>
      <c r="H1048" s="489"/>
      <c r="I1048" s="489"/>
      <c r="J1048" s="489"/>
      <c r="K1048" s="489"/>
      <c r="L1048" s="489"/>
      <c r="M1048" s="490"/>
      <c r="N1048" s="134"/>
      <c r="O1048" s="134"/>
    </row>
    <row r="1049" spans="3:15" ht="15" customHeight="1">
      <c r="C1049" s="508"/>
      <c r="D1049" s="487">
        <v>18</v>
      </c>
      <c r="E1049" s="122" t="s">
        <v>100</v>
      </c>
      <c r="F1049" s="491"/>
      <c r="G1049" s="492"/>
      <c r="H1049" s="492"/>
      <c r="I1049" s="492"/>
      <c r="J1049" s="492"/>
      <c r="K1049" s="492"/>
      <c r="L1049" s="492"/>
      <c r="M1049" s="493"/>
      <c r="N1049" s="130"/>
      <c r="O1049" s="130"/>
    </row>
    <row r="1050" spans="3:15" ht="15" customHeight="1">
      <c r="C1050" s="508"/>
      <c r="D1050" s="487">
        <v>19</v>
      </c>
      <c r="E1050" s="122" t="s">
        <v>740</v>
      </c>
      <c r="F1050" s="491"/>
      <c r="G1050" s="492"/>
      <c r="H1050" s="492"/>
      <c r="I1050" s="492"/>
      <c r="J1050" s="492"/>
      <c r="K1050" s="492"/>
      <c r="L1050" s="492"/>
      <c r="M1050" s="493"/>
      <c r="N1050" s="130"/>
      <c r="O1050" s="130"/>
    </row>
    <row r="1051" spans="3:15" ht="15" customHeight="1">
      <c r="C1051" s="508"/>
      <c r="D1051" s="487">
        <v>20</v>
      </c>
      <c r="E1051" s="122" t="s">
        <v>67</v>
      </c>
      <c r="F1051" s="491"/>
      <c r="G1051" s="492"/>
      <c r="H1051" s="492"/>
      <c r="I1051" s="492"/>
      <c r="J1051" s="492"/>
      <c r="K1051" s="492"/>
      <c r="L1051" s="492"/>
      <c r="M1051" s="493"/>
      <c r="N1051" s="130"/>
      <c r="O1051" s="130"/>
    </row>
    <row r="1052" spans="3:15" ht="15" customHeight="1">
      <c r="C1052" s="508"/>
      <c r="D1052" s="487">
        <v>21</v>
      </c>
      <c r="E1052" s="122" t="s">
        <v>19</v>
      </c>
      <c r="F1052" s="491"/>
      <c r="G1052" s="492"/>
      <c r="H1052" s="492"/>
      <c r="I1052" s="492"/>
      <c r="J1052" s="492"/>
      <c r="K1052" s="492"/>
      <c r="L1052" s="492"/>
      <c r="M1052" s="493"/>
      <c r="N1052" s="130"/>
      <c r="O1052" s="130"/>
    </row>
    <row r="1053" spans="3:15" ht="15" customHeight="1">
      <c r="C1053" s="508"/>
      <c r="D1053" s="487">
        <v>22</v>
      </c>
      <c r="E1053" s="122" t="s">
        <v>105</v>
      </c>
      <c r="F1053" s="491"/>
      <c r="G1053" s="492"/>
      <c r="H1053" s="492"/>
      <c r="I1053" s="492"/>
      <c r="J1053" s="492"/>
      <c r="K1053" s="492"/>
      <c r="L1053" s="492"/>
      <c r="M1053" s="493"/>
      <c r="N1053" s="130"/>
      <c r="O1053" s="130"/>
    </row>
    <row r="1054" spans="3:15" ht="15" customHeight="1">
      <c r="C1054" s="508"/>
      <c r="D1054" s="487">
        <v>23</v>
      </c>
      <c r="E1054" s="122" t="s">
        <v>23</v>
      </c>
      <c r="F1054" s="491"/>
      <c r="G1054" s="492"/>
      <c r="H1054" s="492"/>
      <c r="I1054" s="492"/>
      <c r="J1054" s="492"/>
      <c r="K1054" s="492"/>
      <c r="L1054" s="492"/>
      <c r="M1054" s="493"/>
      <c r="N1054" s="130"/>
      <c r="O1054" s="130"/>
    </row>
    <row r="1055" spans="3:15" ht="15" customHeight="1">
      <c r="C1055" s="508"/>
      <c r="D1055" s="487">
        <v>24</v>
      </c>
      <c r="E1055" s="122" t="s">
        <v>220</v>
      </c>
      <c r="F1055" s="491"/>
      <c r="G1055" s="492"/>
      <c r="H1055" s="492"/>
      <c r="I1055" s="492"/>
      <c r="J1055" s="492"/>
      <c r="K1055" s="492"/>
      <c r="L1055" s="492"/>
      <c r="M1055" s="493"/>
      <c r="N1055" s="130"/>
      <c r="O1055" s="130"/>
    </row>
    <row r="1056" spans="3:15" ht="15" customHeight="1">
      <c r="C1056" s="508"/>
      <c r="D1056" s="487">
        <v>25</v>
      </c>
      <c r="E1056" s="122" t="s">
        <v>7</v>
      </c>
      <c r="F1056" s="491"/>
      <c r="G1056" s="492"/>
      <c r="H1056" s="492"/>
      <c r="I1056" s="492"/>
      <c r="J1056" s="492"/>
      <c r="K1056" s="492"/>
      <c r="L1056" s="492"/>
      <c r="M1056" s="493"/>
      <c r="N1056" s="130"/>
      <c r="O1056" s="130"/>
    </row>
    <row r="1057" spans="3:15" ht="15" customHeight="1">
      <c r="C1057" s="508"/>
      <c r="D1057" s="483"/>
      <c r="E1057" s="124" t="s">
        <v>20</v>
      </c>
      <c r="F1057" s="488"/>
      <c r="G1057" s="489"/>
      <c r="H1057" s="489"/>
      <c r="I1057" s="489"/>
      <c r="J1057" s="489"/>
      <c r="K1057" s="489"/>
      <c r="L1057" s="489"/>
      <c r="M1057" s="490"/>
      <c r="N1057" s="474"/>
      <c r="O1057" s="494"/>
    </row>
    <row r="1058" spans="3:15" ht="15" customHeight="1">
      <c r="C1058" s="508"/>
      <c r="D1058" s="487">
        <v>26</v>
      </c>
      <c r="E1058" s="122" t="s">
        <v>505</v>
      </c>
      <c r="F1058" s="491"/>
      <c r="G1058" s="492"/>
      <c r="H1058" s="492"/>
      <c r="I1058" s="492"/>
      <c r="J1058" s="492"/>
      <c r="K1058" s="492"/>
      <c r="L1058" s="492"/>
      <c r="M1058" s="493"/>
      <c r="N1058" s="130"/>
      <c r="O1058" s="130"/>
    </row>
    <row r="1059" spans="3:15" ht="15" customHeight="1">
      <c r="C1059" s="508"/>
      <c r="D1059" s="487">
        <v>27</v>
      </c>
      <c r="E1059" s="122" t="s">
        <v>60</v>
      </c>
      <c r="F1059" s="491"/>
      <c r="G1059" s="492"/>
      <c r="H1059" s="492"/>
      <c r="I1059" s="492"/>
      <c r="J1059" s="492"/>
      <c r="K1059" s="492"/>
      <c r="L1059" s="492"/>
      <c r="M1059" s="493"/>
      <c r="N1059" s="130"/>
      <c r="O1059" s="130"/>
    </row>
    <row r="1060" spans="3:15" ht="15" customHeight="1">
      <c r="C1060" s="508"/>
      <c r="D1060" s="487">
        <v>28</v>
      </c>
      <c r="E1060" s="122" t="s">
        <v>45</v>
      </c>
      <c r="F1060" s="495"/>
      <c r="G1060" s="492"/>
      <c r="H1060" s="492"/>
      <c r="I1060" s="492"/>
      <c r="J1060" s="492"/>
      <c r="K1060" s="492"/>
      <c r="L1060" s="492"/>
      <c r="M1060" s="493"/>
      <c r="N1060" s="130"/>
      <c r="O1060" s="130"/>
    </row>
    <row r="1061" spans="3:15" ht="15" customHeight="1">
      <c r="C1061" s="508"/>
      <c r="D1061" s="487">
        <v>29</v>
      </c>
      <c r="E1061" s="122" t="s">
        <v>521</v>
      </c>
      <c r="F1061" s="495"/>
      <c r="G1061" s="492"/>
      <c r="H1061" s="492"/>
      <c r="I1061" s="492"/>
      <c r="J1061" s="492"/>
      <c r="K1061" s="492"/>
      <c r="L1061" s="492"/>
      <c r="M1061" s="493"/>
      <c r="N1061" s="130"/>
      <c r="O1061" s="130"/>
    </row>
    <row r="1062" spans="3:15" ht="15" customHeight="1">
      <c r="C1062" s="508"/>
      <c r="D1062" s="487">
        <v>30</v>
      </c>
      <c r="E1062" s="122" t="s">
        <v>521</v>
      </c>
      <c r="F1062" s="495"/>
      <c r="G1062" s="492"/>
      <c r="H1062" s="492"/>
      <c r="I1062" s="492"/>
      <c r="J1062" s="492"/>
      <c r="K1062" s="492"/>
      <c r="L1062" s="492"/>
      <c r="M1062" s="493"/>
      <c r="N1062" s="130"/>
      <c r="O1062" s="130"/>
    </row>
    <row r="1063" spans="3:15" ht="15" customHeight="1">
      <c r="C1063" s="508"/>
      <c r="D1063" s="487">
        <v>31</v>
      </c>
      <c r="E1063" s="122" t="s">
        <v>729</v>
      </c>
      <c r="F1063" s="495"/>
      <c r="G1063" s="492"/>
      <c r="H1063" s="492"/>
      <c r="I1063" s="492"/>
      <c r="J1063" s="492"/>
      <c r="K1063" s="492"/>
      <c r="L1063" s="492"/>
      <c r="M1063" s="493"/>
      <c r="N1063" s="130"/>
      <c r="O1063" s="130"/>
    </row>
    <row r="1064" spans="3:15" ht="15" customHeight="1">
      <c r="C1064" s="508"/>
      <c r="D1064" s="487">
        <v>32</v>
      </c>
      <c r="E1064" s="122" t="s">
        <v>10</v>
      </c>
      <c r="F1064" s="495"/>
      <c r="G1064" s="492"/>
      <c r="H1064" s="492"/>
      <c r="I1064" s="492"/>
      <c r="J1064" s="492"/>
      <c r="K1064" s="492"/>
      <c r="L1064" s="492"/>
      <c r="M1064" s="519"/>
      <c r="N1064" s="130"/>
      <c r="O1064" s="130"/>
    </row>
    <row r="1065" spans="3:15" ht="15" customHeight="1">
      <c r="C1065" s="508"/>
      <c r="D1065" s="483"/>
      <c r="E1065" s="124" t="s">
        <v>176</v>
      </c>
      <c r="F1065" s="488"/>
      <c r="G1065" s="489"/>
      <c r="H1065" s="489"/>
      <c r="I1065" s="489"/>
      <c r="J1065" s="489"/>
      <c r="K1065" s="507"/>
      <c r="L1065" s="489"/>
      <c r="M1065" s="490"/>
      <c r="N1065" s="474"/>
      <c r="O1065" s="494"/>
    </row>
    <row r="1066" spans="3:15" ht="15" customHeight="1">
      <c r="C1066" s="508"/>
      <c r="D1066" s="487">
        <v>33</v>
      </c>
      <c r="E1066" s="122" t="s">
        <v>176</v>
      </c>
      <c r="F1066" s="491"/>
      <c r="G1066" s="492"/>
      <c r="H1066" s="492"/>
      <c r="I1066" s="492"/>
      <c r="J1066" s="492"/>
      <c r="K1066" s="492"/>
      <c r="L1066" s="492"/>
      <c r="M1066" s="493"/>
      <c r="N1066" s="130"/>
      <c r="O1066" s="130"/>
    </row>
    <row r="1067" spans="3:15" ht="15" customHeight="1">
      <c r="C1067" s="508"/>
      <c r="D1067" s="487">
        <v>34</v>
      </c>
      <c r="E1067" s="122" t="s">
        <v>191</v>
      </c>
      <c r="F1067" s="491"/>
      <c r="G1067" s="492"/>
      <c r="H1067" s="492"/>
      <c r="I1067" s="492"/>
      <c r="J1067" s="492"/>
      <c r="K1067" s="492"/>
      <c r="L1067" s="492"/>
      <c r="M1067" s="493"/>
      <c r="N1067" s="130"/>
      <c r="O1067" s="130"/>
    </row>
    <row r="1068" spans="3:15" ht="15" customHeight="1">
      <c r="C1068" s="498"/>
      <c r="D1068" s="483"/>
      <c r="E1068" s="124" t="s">
        <v>302</v>
      </c>
      <c r="F1068" s="488"/>
      <c r="G1068" s="489"/>
      <c r="H1068" s="489"/>
      <c r="I1068" s="489"/>
      <c r="J1068" s="489"/>
      <c r="K1068" s="507"/>
      <c r="L1068" s="489"/>
      <c r="M1068" s="490"/>
      <c r="N1068" s="474"/>
      <c r="O1068" s="494"/>
    </row>
    <row r="1069" spans="3:15" ht="15" customHeight="1">
      <c r="C1069" s="498"/>
      <c r="D1069" s="487">
        <v>35</v>
      </c>
      <c r="E1069" s="206">
        <v>42460</v>
      </c>
      <c r="F1069" s="495"/>
      <c r="G1069" s="492"/>
      <c r="H1069" s="492"/>
      <c r="I1069" s="492"/>
      <c r="J1069" s="492"/>
      <c r="K1069" s="492"/>
      <c r="L1069" s="492"/>
      <c r="M1069" s="493"/>
      <c r="N1069" s="130"/>
      <c r="O1069" s="130"/>
    </row>
    <row r="1070" spans="3:15" ht="15" customHeight="1">
      <c r="C1070" s="498"/>
      <c r="D1070" s="487">
        <v>36</v>
      </c>
      <c r="E1070" s="206">
        <v>42825</v>
      </c>
      <c r="F1070" s="495"/>
      <c r="G1070" s="492"/>
      <c r="H1070" s="492"/>
      <c r="I1070" s="492"/>
      <c r="J1070" s="492"/>
      <c r="K1070" s="492"/>
      <c r="L1070" s="492"/>
      <c r="M1070" s="493"/>
      <c r="N1070" s="130"/>
      <c r="O1070" s="130"/>
    </row>
    <row r="1071" spans="3:15" ht="15" customHeight="1">
      <c r="C1071" s="498"/>
      <c r="D1071" s="487">
        <v>37</v>
      </c>
      <c r="E1071" s="206">
        <v>43190</v>
      </c>
      <c r="F1071" s="495"/>
      <c r="G1071" s="492"/>
      <c r="H1071" s="492"/>
      <c r="I1071" s="492"/>
      <c r="J1071" s="492"/>
      <c r="K1071" s="492"/>
      <c r="L1071" s="492"/>
      <c r="M1071" s="493"/>
      <c r="N1071" s="130"/>
      <c r="O1071" s="130"/>
    </row>
    <row r="1072" spans="3:15" ht="15" customHeight="1">
      <c r="C1072" s="498"/>
      <c r="D1072" s="487">
        <v>38</v>
      </c>
      <c r="E1072" s="206">
        <v>43555</v>
      </c>
      <c r="F1072" s="495"/>
      <c r="G1072" s="492"/>
      <c r="H1072" s="492"/>
      <c r="I1072" s="492"/>
      <c r="J1072" s="492"/>
      <c r="K1072" s="492"/>
      <c r="L1072" s="492"/>
      <c r="M1072" s="493"/>
      <c r="N1072" s="130"/>
      <c r="O1072" s="130"/>
    </row>
    <row r="1073" spans="3:15" ht="15" customHeight="1">
      <c r="C1073" s="498"/>
      <c r="D1073" s="487">
        <v>39</v>
      </c>
      <c r="E1073" s="206">
        <v>43921</v>
      </c>
      <c r="F1073" s="495"/>
      <c r="G1073" s="492"/>
      <c r="H1073" s="492"/>
      <c r="I1073" s="492"/>
      <c r="J1073" s="492"/>
      <c r="K1073" s="492"/>
      <c r="L1073" s="492"/>
      <c r="M1073" s="493"/>
      <c r="N1073" s="130"/>
      <c r="O1073" s="130"/>
    </row>
    <row r="1074" spans="3:15" ht="15" customHeight="1">
      <c r="C1074" s="498"/>
      <c r="D1074" s="487">
        <v>40</v>
      </c>
      <c r="E1074" s="206">
        <v>44286</v>
      </c>
      <c r="F1074" s="495"/>
      <c r="G1074" s="492"/>
      <c r="H1074" s="492"/>
      <c r="I1074" s="492"/>
      <c r="J1074" s="492"/>
      <c r="K1074" s="492"/>
      <c r="L1074" s="492"/>
      <c r="M1074" s="493"/>
      <c r="N1074" s="130"/>
      <c r="O1074" s="130"/>
    </row>
    <row r="1075" spans="3:15" ht="15" customHeight="1">
      <c r="C1075" s="498"/>
      <c r="D1075" s="487">
        <v>41</v>
      </c>
      <c r="E1075" s="206">
        <v>44651</v>
      </c>
      <c r="F1075" s="495"/>
      <c r="G1075" s="492"/>
      <c r="H1075" s="492"/>
      <c r="I1075" s="492"/>
      <c r="J1075" s="492"/>
      <c r="K1075" s="492"/>
      <c r="L1075" s="492"/>
      <c r="M1075" s="493"/>
      <c r="N1075" s="130"/>
      <c r="O1075" s="130"/>
    </row>
    <row r="1076" spans="3:15" ht="15" customHeight="1">
      <c r="C1076" s="498"/>
      <c r="D1076" s="487">
        <v>42</v>
      </c>
      <c r="E1076" s="206">
        <v>45016</v>
      </c>
      <c r="F1076" s="495"/>
      <c r="G1076" s="492"/>
      <c r="H1076" s="492"/>
      <c r="I1076" s="492"/>
      <c r="J1076" s="492"/>
      <c r="K1076" s="492"/>
      <c r="L1076" s="492"/>
      <c r="M1076" s="493"/>
      <c r="N1076" s="130"/>
      <c r="O1076" s="130"/>
    </row>
    <row r="1077" spans="3:15" ht="15" customHeight="1">
      <c r="C1077" s="498"/>
      <c r="D1077" s="483"/>
      <c r="E1077" s="124" t="s">
        <v>506</v>
      </c>
      <c r="F1077" s="488"/>
      <c r="G1077" s="489"/>
      <c r="H1077" s="489"/>
      <c r="I1077" s="489"/>
      <c r="J1077" s="489"/>
      <c r="K1077" s="507"/>
      <c r="L1077" s="489"/>
      <c r="M1077" s="490"/>
      <c r="N1077" s="474"/>
      <c r="O1077" s="494"/>
    </row>
    <row r="1078" spans="3:15" ht="15" customHeight="1">
      <c r="C1078" s="498"/>
      <c r="D1078" s="487">
        <v>43</v>
      </c>
      <c r="E1078" s="206">
        <v>42460</v>
      </c>
      <c r="F1078" s="495"/>
      <c r="G1078" s="492"/>
      <c r="H1078" s="492"/>
      <c r="I1078" s="492"/>
      <c r="J1078" s="492"/>
      <c r="K1078" s="492"/>
      <c r="L1078" s="492"/>
      <c r="M1078" s="493"/>
      <c r="N1078" s="130"/>
      <c r="O1078" s="130"/>
    </row>
    <row r="1079" spans="3:15" ht="15" customHeight="1">
      <c r="C1079" s="498"/>
      <c r="D1079" s="487">
        <v>44</v>
      </c>
      <c r="E1079" s="206">
        <v>42825</v>
      </c>
      <c r="F1079" s="495"/>
      <c r="G1079" s="492"/>
      <c r="H1079" s="492"/>
      <c r="I1079" s="492"/>
      <c r="J1079" s="492"/>
      <c r="K1079" s="492"/>
      <c r="L1079" s="492"/>
      <c r="M1079" s="493"/>
      <c r="N1079" s="130"/>
      <c r="O1079" s="130"/>
    </row>
    <row r="1080" spans="3:15" ht="15" customHeight="1">
      <c r="C1080" s="498"/>
      <c r="D1080" s="487">
        <v>45</v>
      </c>
      <c r="E1080" s="206">
        <v>43190</v>
      </c>
      <c r="F1080" s="495"/>
      <c r="G1080" s="492"/>
      <c r="H1080" s="492"/>
      <c r="I1080" s="492"/>
      <c r="J1080" s="492"/>
      <c r="K1080" s="492"/>
      <c r="L1080" s="492"/>
      <c r="M1080" s="493"/>
      <c r="N1080" s="130"/>
      <c r="O1080" s="130"/>
    </row>
    <row r="1081" spans="3:15" ht="15" customHeight="1">
      <c r="C1081" s="498"/>
      <c r="D1081" s="487">
        <v>46</v>
      </c>
      <c r="E1081" s="206">
        <v>43555</v>
      </c>
      <c r="F1081" s="495"/>
      <c r="G1081" s="492"/>
      <c r="H1081" s="492"/>
      <c r="I1081" s="492"/>
      <c r="J1081" s="492"/>
      <c r="K1081" s="492"/>
      <c r="L1081" s="492"/>
      <c r="M1081" s="493"/>
      <c r="N1081" s="130"/>
      <c r="O1081" s="130"/>
    </row>
    <row r="1082" spans="3:15" ht="15" customHeight="1">
      <c r="C1082" s="498"/>
      <c r="D1082" s="487">
        <v>47</v>
      </c>
      <c r="E1082" s="206">
        <v>43921</v>
      </c>
      <c r="F1082" s="495"/>
      <c r="G1082" s="492"/>
      <c r="H1082" s="492"/>
      <c r="I1082" s="492"/>
      <c r="J1082" s="492"/>
      <c r="K1082" s="492"/>
      <c r="L1082" s="492"/>
      <c r="M1082" s="493"/>
      <c r="N1082" s="130"/>
      <c r="O1082" s="130"/>
    </row>
    <row r="1083" spans="3:15" ht="15" customHeight="1">
      <c r="C1083" s="498"/>
      <c r="D1083" s="487">
        <v>48</v>
      </c>
      <c r="E1083" s="206">
        <v>44286</v>
      </c>
      <c r="F1083" s="495"/>
      <c r="G1083" s="492"/>
      <c r="H1083" s="492"/>
      <c r="I1083" s="492"/>
      <c r="J1083" s="492"/>
      <c r="K1083" s="492"/>
      <c r="L1083" s="492"/>
      <c r="M1083" s="493"/>
      <c r="N1083" s="130"/>
      <c r="O1083" s="130"/>
    </row>
    <row r="1084" spans="3:15" ht="15" customHeight="1">
      <c r="C1084" s="498"/>
      <c r="D1084" s="487">
        <v>49</v>
      </c>
      <c r="E1084" s="206">
        <v>44651</v>
      </c>
      <c r="F1084" s="495"/>
      <c r="G1084" s="492"/>
      <c r="H1084" s="492"/>
      <c r="I1084" s="492"/>
      <c r="J1084" s="492"/>
      <c r="K1084" s="492"/>
      <c r="L1084" s="492"/>
      <c r="M1084" s="493"/>
      <c r="N1084" s="130"/>
      <c r="O1084" s="130"/>
    </row>
    <row r="1085" spans="3:15" ht="15" customHeight="1">
      <c r="C1085" s="498"/>
      <c r="D1085" s="487">
        <v>50</v>
      </c>
      <c r="E1085" s="206">
        <v>45016</v>
      </c>
      <c r="F1085" s="495"/>
      <c r="G1085" s="492"/>
      <c r="H1085" s="492"/>
      <c r="I1085" s="492"/>
      <c r="J1085" s="492"/>
      <c r="K1085" s="492"/>
      <c r="L1085" s="492"/>
      <c r="M1085" s="493"/>
      <c r="N1085" s="130"/>
      <c r="O1085" s="130"/>
    </row>
    <row r="1086" spans="3:15" ht="15" customHeight="1">
      <c r="C1086" s="498"/>
      <c r="D1086" s="483"/>
      <c r="E1086" s="124" t="s">
        <v>518</v>
      </c>
      <c r="F1086" s="488"/>
      <c r="G1086" s="489"/>
      <c r="H1086" s="489"/>
      <c r="I1086" s="489"/>
      <c r="J1086" s="489"/>
      <c r="K1086" s="507"/>
      <c r="L1086" s="489"/>
      <c r="M1086" s="490"/>
      <c r="N1086" s="474"/>
      <c r="O1086" s="494"/>
    </row>
    <row r="1087" spans="3:15" ht="15" customHeight="1">
      <c r="C1087" s="498"/>
      <c r="D1087" s="487">
        <v>51</v>
      </c>
      <c r="E1087" s="122" t="s">
        <v>489</v>
      </c>
      <c r="F1087" s="491"/>
      <c r="G1087" s="492"/>
      <c r="H1087" s="492"/>
      <c r="I1087" s="492"/>
      <c r="J1087" s="492"/>
      <c r="K1087" s="492"/>
      <c r="L1087" s="492"/>
      <c r="M1087" s="493"/>
      <c r="N1087" s="130"/>
      <c r="O1087" s="130"/>
    </row>
    <row r="1088" spans="3:15" ht="15" customHeight="1">
      <c r="C1088" s="498"/>
      <c r="D1088" s="487">
        <v>52</v>
      </c>
      <c r="E1088" s="122" t="s">
        <v>490</v>
      </c>
      <c r="F1088" s="509"/>
      <c r="G1088" s="510"/>
      <c r="H1088" s="510"/>
      <c r="I1088" s="510"/>
      <c r="J1088" s="510"/>
      <c r="K1088" s="510"/>
      <c r="L1088" s="510"/>
      <c r="M1088" s="511"/>
      <c r="N1088" s="234"/>
      <c r="O1088" s="234"/>
    </row>
    <row r="1089" spans="3:15" ht="15" customHeight="1">
      <c r="C1089" s="508"/>
      <c r="D1089" s="487">
        <v>53</v>
      </c>
      <c r="E1089" s="122" t="s">
        <v>465</v>
      </c>
      <c r="F1089" s="491"/>
      <c r="G1089" s="492"/>
      <c r="H1089" s="492"/>
      <c r="I1089" s="492"/>
      <c r="J1089" s="492"/>
      <c r="K1089" s="492"/>
      <c r="L1089" s="492"/>
      <c r="M1089" s="493"/>
      <c r="N1089" s="130"/>
      <c r="O1089" s="130"/>
    </row>
    <row r="1090" spans="3:15" ht="15" customHeight="1">
      <c r="C1090" s="508"/>
      <c r="D1090" s="487">
        <v>54</v>
      </c>
      <c r="E1090" s="122" t="s">
        <v>491</v>
      </c>
      <c r="F1090" s="495"/>
      <c r="G1090" s="492"/>
      <c r="H1090" s="492"/>
      <c r="I1090" s="492"/>
      <c r="J1090" s="492"/>
      <c r="K1090" s="492"/>
      <c r="L1090" s="492"/>
      <c r="M1090" s="493"/>
      <c r="N1090" s="130"/>
      <c r="O1090" s="130"/>
    </row>
    <row r="1091" spans="3:15" ht="15" customHeight="1" thickBot="1">
      <c r="C1091" s="508"/>
      <c r="D1091" s="496">
        <v>55</v>
      </c>
      <c r="E1091" s="520" t="s">
        <v>874</v>
      </c>
      <c r="F1091" s="515"/>
      <c r="G1091" s="497"/>
      <c r="H1091" s="497"/>
      <c r="I1091" s="497"/>
      <c r="J1091" s="497"/>
      <c r="K1091" s="497"/>
      <c r="L1091" s="497"/>
      <c r="M1091" s="512"/>
      <c r="N1091" s="514"/>
      <c r="O1091" s="514"/>
    </row>
    <row r="1092" spans="3:15" ht="15" customHeight="1">
      <c r="C1092" s="498"/>
      <c r="D1092" s="256"/>
      <c r="E1092" s="195"/>
      <c r="F1092" s="157"/>
      <c r="G1092" s="157"/>
      <c r="H1092" s="157"/>
      <c r="I1092" s="157"/>
      <c r="J1092" s="157"/>
      <c r="K1092" s="157"/>
      <c r="L1092" s="157"/>
      <c r="M1092" s="523"/>
      <c r="N1092" s="157"/>
      <c r="O1092" s="157"/>
    </row>
    <row r="1093" spans="3:15" ht="15" customHeight="1">
      <c r="C1093" s="498"/>
      <c r="D1093" s="256"/>
      <c r="E1093" s="195"/>
      <c r="F1093" s="157"/>
      <c r="G1093" s="157"/>
      <c r="H1093" s="157"/>
      <c r="I1093" s="157"/>
      <c r="J1093" s="157"/>
      <c r="K1093" s="157"/>
      <c r="L1093" s="157"/>
      <c r="M1093" s="523"/>
      <c r="N1093" s="157"/>
      <c r="O1093" s="157"/>
    </row>
    <row r="1094" spans="3:15" ht="15" customHeight="1">
      <c r="C1094" s="498"/>
      <c r="D1094" s="256"/>
      <c r="E1094" s="195"/>
      <c r="F1094" s="157"/>
      <c r="G1094" s="157"/>
      <c r="H1094" s="157"/>
      <c r="I1094" s="157"/>
      <c r="J1094" s="157"/>
      <c r="K1094" s="157"/>
      <c r="L1094" s="157"/>
      <c r="M1094" s="523"/>
      <c r="N1094" s="157"/>
      <c r="O1094" s="157"/>
    </row>
    <row r="1095" spans="3:15" ht="15" customHeight="1">
      <c r="C1095" s="498"/>
      <c r="D1095" s="256"/>
      <c r="E1095" s="195"/>
      <c r="F1095" s="157"/>
      <c r="G1095" s="157"/>
      <c r="H1095" s="157"/>
      <c r="I1095" s="157"/>
      <c r="J1095" s="157"/>
      <c r="K1095" s="157"/>
      <c r="L1095" s="157"/>
      <c r="M1095" s="523"/>
      <c r="N1095" s="157"/>
      <c r="O1095" s="157"/>
    </row>
    <row r="1096" spans="3:15" ht="15" customHeight="1">
      <c r="C1096" s="498"/>
      <c r="D1096" s="256"/>
      <c r="E1096" s="195"/>
      <c r="F1096" s="157"/>
      <c r="G1096" s="157"/>
      <c r="H1096" s="157"/>
      <c r="I1096" s="157"/>
      <c r="J1096" s="157"/>
      <c r="K1096" s="157"/>
      <c r="L1096" s="157"/>
      <c r="M1096" s="523"/>
      <c r="N1096" s="157"/>
      <c r="O1096" s="157"/>
    </row>
    <row r="1097" spans="3:15" ht="15" customHeight="1">
      <c r="C1097" s="498"/>
      <c r="D1097" s="498"/>
      <c r="E1097" s="498"/>
      <c r="F1097" s="498"/>
      <c r="G1097" s="498"/>
      <c r="H1097" s="498"/>
      <c r="I1097" s="498"/>
      <c r="J1097" s="498"/>
      <c r="K1097" s="498"/>
      <c r="L1097" s="498"/>
      <c r="M1097" s="498"/>
      <c r="N1097" s="498"/>
      <c r="O1097" s="498"/>
    </row>
    <row r="1098" spans="3:15" ht="15" customHeight="1">
      <c r="C1098" s="498"/>
      <c r="D1098" s="256"/>
      <c r="E1098" s="195"/>
      <c r="F1098" s="157"/>
      <c r="G1098" s="157"/>
      <c r="H1098" s="157"/>
      <c r="I1098" s="157"/>
      <c r="J1098" s="157"/>
      <c r="K1098" s="157"/>
      <c r="L1098" s="157"/>
      <c r="M1098" s="523"/>
      <c r="N1098" s="157"/>
      <c r="O1098" s="157"/>
    </row>
    <row r="1099" spans="3:15" ht="15" customHeight="1">
      <c r="C1099" s="498"/>
      <c r="D1099" s="256"/>
      <c r="E1099" s="195"/>
      <c r="F1099" s="157"/>
      <c r="G1099" s="157"/>
      <c r="H1099" s="157"/>
      <c r="I1099" s="157"/>
      <c r="J1099" s="157"/>
      <c r="K1099" s="157"/>
      <c r="L1099" s="157"/>
      <c r="M1099" s="523"/>
      <c r="N1099" s="157"/>
      <c r="O1099" s="157"/>
    </row>
    <row r="1100" spans="3:15" ht="15" customHeight="1">
      <c r="C1100" s="498"/>
      <c r="D1100" s="256"/>
      <c r="E1100" s="195"/>
      <c r="F1100" s="157"/>
      <c r="G1100" s="157"/>
      <c r="H1100" s="157"/>
      <c r="I1100" s="157"/>
      <c r="J1100" s="157"/>
      <c r="K1100" s="157"/>
      <c r="L1100" s="157"/>
      <c r="M1100" s="523"/>
      <c r="N1100" s="157"/>
      <c r="O1100" s="157"/>
    </row>
    <row r="1101" spans="3:15" ht="15" customHeight="1">
      <c r="C1101" s="498"/>
      <c r="D1101" s="256"/>
      <c r="E1101" s="195"/>
      <c r="F1101" s="157"/>
      <c r="G1101" s="157"/>
      <c r="H1101" s="157"/>
      <c r="I1101" s="157"/>
      <c r="J1101" s="157"/>
      <c r="K1101" s="157"/>
      <c r="L1101" s="157"/>
      <c r="M1101" s="523"/>
      <c r="N1101" s="157"/>
      <c r="O1101" s="157"/>
    </row>
    <row r="1102" spans="3:15" ht="15" customHeight="1">
      <c r="C1102" s="498"/>
      <c r="D1102" s="256"/>
      <c r="E1102" s="195"/>
      <c r="F1102" s="157"/>
      <c r="G1102" s="157"/>
      <c r="H1102" s="157"/>
      <c r="I1102" s="157"/>
      <c r="J1102" s="157"/>
      <c r="K1102" s="157"/>
      <c r="L1102" s="157"/>
      <c r="M1102" s="523"/>
      <c r="N1102" s="157"/>
      <c r="O1102" s="157"/>
    </row>
    <row r="1103" spans="3:15" ht="15" customHeight="1">
      <c r="C1103" s="498"/>
      <c r="D1103" s="256"/>
      <c r="E1103" s="195"/>
      <c r="F1103" s="157"/>
      <c r="G1103" s="157"/>
      <c r="H1103" s="157"/>
      <c r="I1103" s="157"/>
      <c r="J1103" s="157"/>
      <c r="K1103" s="157"/>
      <c r="L1103" s="157"/>
      <c r="M1103" s="523"/>
      <c r="N1103" s="157"/>
      <c r="O1103" s="157"/>
    </row>
    <row r="1104" spans="3:15" ht="15" customHeight="1">
      <c r="C1104" s="498"/>
      <c r="D1104" s="256"/>
      <c r="E1104" s="195"/>
      <c r="F1104" s="157"/>
      <c r="G1104" s="157"/>
      <c r="H1104" s="157"/>
      <c r="I1104" s="157"/>
      <c r="J1104" s="157"/>
      <c r="K1104" s="157"/>
      <c r="L1104" s="157"/>
      <c r="M1104" s="523"/>
      <c r="N1104" s="157"/>
      <c r="O1104" s="157"/>
    </row>
    <row r="1105" spans="3:15" ht="15" customHeight="1">
      <c r="C1105" s="498"/>
      <c r="D1105" s="256"/>
      <c r="E1105" s="195"/>
      <c r="F1105" s="157"/>
      <c r="G1105" s="157"/>
      <c r="H1105" s="157"/>
      <c r="I1105" s="157"/>
      <c r="J1105" s="157"/>
      <c r="K1105" s="157"/>
      <c r="L1105" s="157"/>
      <c r="M1105" s="523"/>
      <c r="N1105" s="157"/>
      <c r="O1105" s="157"/>
    </row>
    <row r="1106" spans="3:15" ht="15" customHeight="1">
      <c r="C1106" s="498"/>
      <c r="D1106" s="256"/>
      <c r="E1106" s="195"/>
      <c r="F1106" s="157"/>
      <c r="G1106" s="157"/>
      <c r="H1106" s="157"/>
      <c r="I1106" s="157"/>
      <c r="J1106" s="157"/>
      <c r="K1106" s="157"/>
      <c r="L1106" s="157"/>
      <c r="M1106" s="523"/>
      <c r="N1106" s="157"/>
      <c r="O1106" s="157"/>
    </row>
    <row r="1107" spans="3:15" ht="15" customHeight="1">
      <c r="C1107" s="498"/>
      <c r="D1107" s="256"/>
      <c r="E1107" s="195"/>
      <c r="F1107" s="157"/>
      <c r="G1107" s="157"/>
      <c r="H1107" s="157"/>
      <c r="I1107" s="157"/>
      <c r="J1107" s="157"/>
      <c r="K1107" s="157"/>
      <c r="L1107" s="157"/>
      <c r="M1107" s="523"/>
      <c r="N1107" s="157"/>
      <c r="O1107" s="157"/>
    </row>
    <row r="1108" spans="3:15" ht="15" customHeight="1">
      <c r="C1108" s="498"/>
      <c r="D1108" s="256"/>
      <c r="E1108" s="195"/>
      <c r="F1108" s="157"/>
      <c r="G1108" s="157"/>
      <c r="H1108" s="157"/>
      <c r="I1108" s="157"/>
      <c r="J1108" s="157"/>
      <c r="K1108" s="157"/>
      <c r="L1108" s="157"/>
      <c r="M1108" s="523"/>
      <c r="N1108" s="157"/>
      <c r="O1108" s="157"/>
    </row>
    <row r="1109" spans="3:15" ht="15" customHeight="1">
      <c r="C1109" s="498"/>
      <c r="D1109" s="256"/>
      <c r="E1109" s="195"/>
      <c r="F1109" s="157"/>
      <c r="G1109" s="157"/>
      <c r="H1109" s="157"/>
      <c r="I1109" s="157"/>
      <c r="J1109" s="157"/>
      <c r="K1109" s="157"/>
      <c r="L1109" s="157"/>
      <c r="M1109" s="523"/>
      <c r="N1109" s="157"/>
      <c r="O1109" s="157"/>
    </row>
    <row r="1110" spans="3:15" ht="15" customHeight="1">
      <c r="C1110" s="498"/>
      <c r="D1110" s="256"/>
      <c r="E1110" s="195"/>
      <c r="F1110" s="157"/>
      <c r="G1110" s="157"/>
      <c r="H1110" s="157"/>
      <c r="I1110" s="157"/>
      <c r="J1110" s="157"/>
      <c r="K1110" s="157"/>
      <c r="L1110" s="157"/>
      <c r="M1110" s="523"/>
      <c r="N1110" s="157"/>
      <c r="O1110" s="157"/>
    </row>
    <row r="1111" spans="3:15" ht="15" customHeight="1">
      <c r="C1111" s="498"/>
      <c r="D1111" s="256"/>
      <c r="E1111" s="195"/>
      <c r="F1111" s="157"/>
      <c r="G1111" s="157"/>
      <c r="H1111" s="157"/>
      <c r="I1111" s="157"/>
      <c r="J1111" s="157"/>
      <c r="K1111" s="157"/>
      <c r="L1111" s="157"/>
      <c r="M1111" s="523"/>
      <c r="N1111" s="157"/>
      <c r="O1111" s="157"/>
    </row>
    <row r="1112" spans="3:15" ht="15" customHeight="1">
      <c r="C1112" s="498"/>
      <c r="D1112" s="256"/>
      <c r="E1112" s="195"/>
      <c r="F1112" s="157"/>
      <c r="G1112" s="157"/>
      <c r="H1112" s="157"/>
      <c r="I1112" s="157"/>
      <c r="J1112" s="157"/>
      <c r="K1112" s="157"/>
      <c r="L1112" s="157"/>
      <c r="M1112" s="523"/>
      <c r="N1112" s="157"/>
      <c r="O1112" s="157"/>
    </row>
    <row r="1113" spans="3:15" ht="15" customHeight="1">
      <c r="C1113" s="498"/>
      <c r="D1113" s="256"/>
      <c r="E1113" s="195"/>
      <c r="F1113" s="157"/>
      <c r="G1113" s="157"/>
      <c r="H1113" s="157"/>
      <c r="I1113" s="157"/>
      <c r="J1113" s="157"/>
      <c r="K1113" s="157"/>
      <c r="L1113" s="157"/>
      <c r="M1113" s="523"/>
      <c r="N1113" s="157"/>
      <c r="O1113" s="157"/>
    </row>
    <row r="1114" spans="3:15" ht="15" customHeight="1">
      <c r="C1114" s="498"/>
      <c r="D1114" s="256"/>
      <c r="E1114" s="195"/>
      <c r="F1114" s="157"/>
      <c r="G1114" s="157"/>
      <c r="H1114" s="157"/>
      <c r="I1114" s="157"/>
      <c r="J1114" s="157"/>
      <c r="K1114" s="157"/>
      <c r="L1114" s="157"/>
      <c r="M1114" s="523"/>
      <c r="N1114" s="157"/>
      <c r="O1114" s="157"/>
    </row>
    <row r="1115" spans="3:15" ht="15" customHeight="1">
      <c r="C1115" s="498"/>
      <c r="D1115" s="256"/>
      <c r="E1115" s="195"/>
      <c r="F1115" s="157"/>
      <c r="G1115" s="157"/>
      <c r="H1115" s="157"/>
      <c r="I1115" s="157"/>
      <c r="J1115" s="157"/>
      <c r="K1115" s="157"/>
      <c r="L1115" s="157"/>
      <c r="M1115" s="523"/>
      <c r="N1115" s="157"/>
      <c r="O1115" s="157"/>
    </row>
    <row r="1116" spans="3:15" ht="15" customHeight="1">
      <c r="C1116" s="498"/>
      <c r="D1116" s="256"/>
      <c r="E1116" s="195"/>
      <c r="F1116" s="157"/>
      <c r="G1116" s="157"/>
      <c r="H1116" s="157"/>
      <c r="I1116" s="157"/>
      <c r="J1116" s="157"/>
      <c r="K1116" s="157"/>
      <c r="L1116" s="157"/>
      <c r="M1116" s="523"/>
      <c r="N1116" s="157"/>
      <c r="O1116" s="157"/>
    </row>
    <row r="1117" spans="3:15" ht="15" customHeight="1">
      <c r="C1117" s="498"/>
      <c r="D1117" s="256"/>
      <c r="E1117" s="195"/>
      <c r="F1117" s="157"/>
      <c r="G1117" s="157"/>
      <c r="H1117" s="157"/>
      <c r="I1117" s="157"/>
      <c r="J1117" s="157"/>
      <c r="K1117" s="157"/>
      <c r="L1117" s="157"/>
      <c r="M1117" s="523"/>
      <c r="N1117" s="157"/>
      <c r="O1117" s="157"/>
    </row>
    <row r="1118" spans="3:15" ht="15" customHeight="1">
      <c r="C1118" s="498"/>
      <c r="D1118" s="256"/>
      <c r="E1118" s="195"/>
      <c r="F1118" s="157"/>
      <c r="G1118" s="157"/>
      <c r="H1118" s="157"/>
      <c r="I1118" s="157"/>
      <c r="J1118" s="157"/>
      <c r="K1118" s="157"/>
      <c r="L1118" s="157"/>
      <c r="M1118" s="523"/>
      <c r="N1118" s="157"/>
      <c r="O1118" s="157"/>
    </row>
    <row r="1119" spans="3:15" ht="15" customHeight="1">
      <c r="C1119" s="498"/>
      <c r="D1119" s="256"/>
      <c r="E1119" s="195"/>
      <c r="F1119" s="157"/>
      <c r="G1119" s="157"/>
      <c r="H1119" s="157"/>
      <c r="I1119" s="157"/>
      <c r="J1119" s="157"/>
      <c r="K1119" s="157"/>
      <c r="L1119" s="157"/>
      <c r="M1119" s="523"/>
      <c r="N1119" s="157"/>
      <c r="O1119" s="157"/>
    </row>
    <row r="1120" spans="3:15" ht="15" customHeight="1">
      <c r="C1120" s="498"/>
      <c r="D1120" s="256"/>
      <c r="E1120" s="195"/>
      <c r="F1120" s="157"/>
      <c r="G1120" s="157"/>
      <c r="H1120" s="157"/>
      <c r="I1120" s="157"/>
      <c r="J1120" s="157"/>
      <c r="K1120" s="157"/>
      <c r="L1120" s="157"/>
      <c r="M1120" s="523"/>
      <c r="N1120" s="157"/>
      <c r="O1120" s="157"/>
    </row>
    <row r="1121" spans="3:15" ht="15" customHeight="1">
      <c r="C1121" s="498"/>
      <c r="D1121" s="256"/>
      <c r="E1121" s="195"/>
      <c r="F1121" s="157"/>
      <c r="G1121" s="157"/>
      <c r="H1121" s="157"/>
      <c r="I1121" s="157"/>
      <c r="J1121" s="157"/>
      <c r="K1121" s="157"/>
      <c r="L1121" s="157"/>
      <c r="M1121" s="523"/>
      <c r="N1121" s="157"/>
      <c r="O1121" s="157"/>
    </row>
    <row r="1122" spans="3:15" ht="15" customHeight="1">
      <c r="C1122" s="498"/>
      <c r="D1122" s="256"/>
      <c r="E1122" s="195"/>
      <c r="F1122" s="157"/>
      <c r="G1122" s="157"/>
      <c r="H1122" s="157"/>
      <c r="I1122" s="157"/>
      <c r="J1122" s="157"/>
      <c r="K1122" s="157"/>
      <c r="L1122" s="157"/>
      <c r="M1122" s="523"/>
      <c r="N1122" s="157"/>
      <c r="O1122" s="157"/>
    </row>
    <row r="1123" spans="3:15" ht="15" customHeight="1">
      <c r="C1123" s="498"/>
      <c r="D1123" s="256"/>
      <c r="E1123" s="195"/>
      <c r="F1123" s="157"/>
      <c r="G1123" s="157"/>
      <c r="H1123" s="157"/>
      <c r="I1123" s="157"/>
      <c r="J1123" s="157"/>
      <c r="K1123" s="157"/>
      <c r="L1123" s="157"/>
      <c r="M1123" s="523"/>
      <c r="N1123" s="157"/>
      <c r="O1123" s="157"/>
    </row>
    <row r="1124" spans="3:15" ht="15" customHeight="1">
      <c r="C1124" s="498"/>
      <c r="D1124" s="256"/>
      <c r="E1124" s="195"/>
      <c r="F1124" s="157"/>
      <c r="G1124" s="157"/>
      <c r="H1124" s="157"/>
      <c r="I1124" s="157"/>
      <c r="J1124" s="157"/>
      <c r="K1124" s="157"/>
      <c r="L1124" s="157"/>
      <c r="M1124" s="523"/>
      <c r="N1124" s="157"/>
      <c r="O1124" s="157"/>
    </row>
    <row r="1125" spans="3:15" ht="15" customHeight="1">
      <c r="C1125" s="498"/>
      <c r="D1125" s="256"/>
      <c r="E1125" s="195"/>
      <c r="F1125" s="157"/>
      <c r="G1125" s="157"/>
      <c r="H1125" s="157"/>
      <c r="I1125" s="157"/>
      <c r="J1125" s="157"/>
      <c r="K1125" s="157"/>
      <c r="L1125" s="157"/>
      <c r="M1125" s="523"/>
      <c r="N1125" s="157"/>
      <c r="O1125" s="157"/>
    </row>
    <row r="1126" spans="3:15" ht="15" customHeight="1">
      <c r="C1126" s="498"/>
      <c r="D1126" s="256"/>
      <c r="E1126" s="195"/>
      <c r="F1126" s="157"/>
      <c r="G1126" s="157"/>
      <c r="H1126" s="157"/>
      <c r="I1126" s="157"/>
      <c r="J1126" s="157"/>
      <c r="K1126" s="157"/>
      <c r="L1126" s="157"/>
      <c r="M1126" s="523"/>
      <c r="N1126" s="157"/>
      <c r="O1126" s="157"/>
    </row>
    <row r="1127" spans="3:15" ht="15" customHeight="1">
      <c r="C1127" s="498"/>
      <c r="D1127" s="256"/>
      <c r="E1127" s="195"/>
      <c r="F1127" s="157"/>
      <c r="G1127" s="157"/>
      <c r="H1127" s="157"/>
      <c r="I1127" s="157"/>
      <c r="J1127" s="157"/>
      <c r="K1127" s="157"/>
      <c r="L1127" s="157"/>
      <c r="M1127" s="523"/>
      <c r="N1127" s="157"/>
      <c r="O1127" s="157"/>
    </row>
    <row r="1128" spans="3:15" ht="15" customHeight="1">
      <c r="C1128" s="498"/>
      <c r="D1128" s="256"/>
      <c r="E1128" s="195"/>
      <c r="F1128" s="157"/>
      <c r="G1128" s="157"/>
      <c r="H1128" s="157"/>
      <c r="I1128" s="157"/>
      <c r="J1128" s="157"/>
      <c r="K1128" s="157"/>
      <c r="L1128" s="157"/>
      <c r="M1128" s="523"/>
      <c r="N1128" s="157"/>
      <c r="O1128" s="157"/>
    </row>
    <row r="1129" spans="3:15" ht="15" customHeight="1">
      <c r="C1129" s="498"/>
      <c r="D1129" s="256"/>
      <c r="E1129" s="195"/>
      <c r="F1129" s="157"/>
      <c r="G1129" s="157"/>
      <c r="H1129" s="157"/>
      <c r="I1129" s="157"/>
      <c r="J1129" s="157"/>
      <c r="K1129" s="157"/>
      <c r="L1129" s="157"/>
      <c r="M1129" s="523"/>
      <c r="N1129" s="157"/>
      <c r="O1129" s="157"/>
    </row>
    <row r="1130" spans="3:15" ht="15" customHeight="1">
      <c r="C1130" s="498"/>
      <c r="D1130" s="256"/>
      <c r="E1130" s="195"/>
      <c r="F1130" s="157"/>
      <c r="G1130" s="157"/>
      <c r="H1130" s="157"/>
      <c r="I1130" s="157"/>
      <c r="J1130" s="157"/>
      <c r="K1130" s="157"/>
      <c r="L1130" s="157"/>
      <c r="M1130" s="523"/>
      <c r="N1130" s="157"/>
      <c r="O1130" s="157"/>
    </row>
    <row r="1131" spans="3:15" ht="15" customHeight="1">
      <c r="C1131" s="498"/>
      <c r="D1131" s="256"/>
      <c r="E1131" s="195"/>
      <c r="F1131" s="157"/>
      <c r="G1131" s="157"/>
      <c r="H1131" s="157"/>
      <c r="I1131" s="157"/>
      <c r="J1131" s="157"/>
      <c r="K1131" s="157"/>
      <c r="L1131" s="157"/>
      <c r="M1131" s="523"/>
      <c r="N1131" s="157"/>
      <c r="O1131" s="157"/>
    </row>
    <row r="1132" spans="3:15" ht="15" customHeight="1">
      <c r="C1132" s="498"/>
      <c r="D1132" s="256"/>
      <c r="E1132" s="195"/>
      <c r="F1132" s="157"/>
      <c r="G1132" s="157"/>
      <c r="H1132" s="157"/>
      <c r="I1132" s="157"/>
      <c r="J1132" s="157"/>
      <c r="K1132" s="157"/>
      <c r="L1132" s="157"/>
      <c r="M1132" s="523"/>
      <c r="N1132" s="157"/>
      <c r="O1132" s="157"/>
    </row>
    <row r="1133" spans="3:15" ht="15" customHeight="1">
      <c r="C1133" s="498"/>
      <c r="D1133" s="256"/>
      <c r="E1133" s="195"/>
      <c r="F1133" s="157"/>
      <c r="G1133" s="157"/>
      <c r="H1133" s="157"/>
      <c r="I1133" s="157"/>
      <c r="J1133" s="157"/>
      <c r="K1133" s="157"/>
      <c r="L1133" s="157"/>
      <c r="M1133" s="523"/>
      <c r="N1133" s="157"/>
      <c r="O1133" s="157"/>
    </row>
    <row r="1134" spans="3:15" ht="15" customHeight="1">
      <c r="C1134" s="498"/>
      <c r="D1134" s="256"/>
      <c r="E1134" s="195"/>
      <c r="F1134" s="157"/>
      <c r="G1134" s="157"/>
      <c r="H1134" s="157"/>
      <c r="I1134" s="157"/>
      <c r="J1134" s="157"/>
      <c r="K1134" s="157"/>
      <c r="L1134" s="157"/>
      <c r="M1134" s="523"/>
      <c r="N1134" s="157"/>
      <c r="O1134" s="157"/>
    </row>
    <row r="1135" spans="3:15" ht="15" customHeight="1">
      <c r="C1135" s="498"/>
      <c r="D1135" s="256"/>
      <c r="E1135" s="195"/>
      <c r="F1135" s="157"/>
      <c r="G1135" s="157"/>
      <c r="H1135" s="157"/>
      <c r="I1135" s="157"/>
      <c r="J1135" s="157"/>
      <c r="K1135" s="157"/>
      <c r="L1135" s="157"/>
      <c r="M1135" s="523"/>
      <c r="N1135" s="157"/>
      <c r="O1135" s="157"/>
    </row>
    <row r="1136" spans="3:15" ht="15" customHeight="1">
      <c r="C1136" s="498"/>
      <c r="D1136" s="256"/>
      <c r="E1136" s="195"/>
      <c r="F1136" s="157"/>
      <c r="G1136" s="157"/>
      <c r="H1136" s="157"/>
      <c r="I1136" s="157"/>
      <c r="J1136" s="157"/>
      <c r="K1136" s="157"/>
      <c r="L1136" s="157"/>
      <c r="M1136" s="523"/>
      <c r="N1136" s="157"/>
      <c r="O1136" s="157"/>
    </row>
    <row r="1137" spans="3:15" ht="15" customHeight="1">
      <c r="C1137" s="498"/>
      <c r="D1137" s="256"/>
      <c r="E1137" s="195"/>
      <c r="F1137" s="157"/>
      <c r="G1137" s="157"/>
      <c r="H1137" s="157"/>
      <c r="I1137" s="157"/>
      <c r="J1137" s="157"/>
      <c r="K1137" s="157"/>
      <c r="L1137" s="157"/>
      <c r="M1137" s="523"/>
      <c r="N1137" s="157"/>
      <c r="O1137" s="157"/>
    </row>
    <row r="1138" spans="3:15" ht="15" customHeight="1">
      <c r="C1138" s="498"/>
      <c r="D1138" s="256"/>
      <c r="E1138" s="195"/>
      <c r="F1138" s="157"/>
      <c r="G1138" s="157"/>
      <c r="H1138" s="157"/>
      <c r="I1138" s="157"/>
      <c r="J1138" s="157"/>
      <c r="K1138" s="157"/>
      <c r="L1138" s="157"/>
      <c r="M1138" s="523"/>
      <c r="N1138" s="157"/>
      <c r="O1138" s="157"/>
    </row>
    <row r="1139" spans="3:15" ht="15" customHeight="1">
      <c r="C1139" s="498"/>
      <c r="D1139" s="256"/>
      <c r="E1139" s="195"/>
      <c r="F1139" s="157"/>
      <c r="G1139" s="157"/>
      <c r="H1139" s="157"/>
      <c r="I1139" s="157"/>
      <c r="J1139" s="157"/>
      <c r="K1139" s="157"/>
      <c r="L1139" s="157"/>
      <c r="M1139" s="523"/>
      <c r="N1139" s="157"/>
      <c r="O1139" s="157"/>
    </row>
    <row r="1140" spans="3:15" ht="15" customHeight="1">
      <c r="C1140" s="498"/>
      <c r="D1140" s="256"/>
      <c r="E1140" s="195"/>
      <c r="F1140" s="157"/>
      <c r="G1140" s="157"/>
      <c r="H1140" s="157"/>
      <c r="I1140" s="157"/>
      <c r="J1140" s="157"/>
      <c r="K1140" s="157"/>
      <c r="L1140" s="157"/>
      <c r="M1140" s="523"/>
      <c r="N1140" s="157"/>
      <c r="O1140" s="157"/>
    </row>
    <row r="1141" spans="3:15" ht="15" customHeight="1">
      <c r="C1141" s="498"/>
      <c r="D1141" s="256"/>
      <c r="E1141" s="195"/>
      <c r="F1141" s="157"/>
      <c r="G1141" s="157"/>
      <c r="H1141" s="157"/>
      <c r="I1141" s="157"/>
      <c r="J1141" s="157"/>
      <c r="K1141" s="157"/>
      <c r="L1141" s="157"/>
      <c r="M1141" s="523"/>
      <c r="N1141" s="157"/>
      <c r="O1141" s="157"/>
    </row>
    <row r="1142" spans="3:15" ht="15" customHeight="1">
      <c r="C1142" s="498"/>
      <c r="D1142" s="256"/>
      <c r="E1142" s="195"/>
      <c r="F1142" s="157"/>
      <c r="G1142" s="157"/>
      <c r="H1142" s="157"/>
      <c r="I1142" s="157"/>
      <c r="J1142" s="157"/>
      <c r="K1142" s="157"/>
      <c r="L1142" s="157"/>
      <c r="M1142" s="523"/>
      <c r="N1142" s="157"/>
      <c r="O1142" s="157"/>
    </row>
    <row r="1143" spans="3:15" ht="15" customHeight="1">
      <c r="C1143" s="498"/>
      <c r="D1143" s="256"/>
      <c r="E1143" s="195"/>
      <c r="F1143" s="157"/>
      <c r="G1143" s="157"/>
      <c r="H1143" s="157"/>
      <c r="I1143" s="157"/>
      <c r="J1143" s="157"/>
      <c r="K1143" s="157"/>
      <c r="L1143" s="157"/>
      <c r="M1143" s="523"/>
      <c r="N1143" s="157"/>
      <c r="O1143" s="157"/>
    </row>
    <row r="1144" spans="3:15" ht="15" customHeight="1">
      <c r="C1144" s="498"/>
      <c r="D1144" s="256"/>
      <c r="E1144" s="195"/>
      <c r="F1144" s="157"/>
      <c r="G1144" s="157"/>
      <c r="H1144" s="157"/>
      <c r="I1144" s="157"/>
      <c r="J1144" s="157"/>
      <c r="K1144" s="157"/>
      <c r="L1144" s="157"/>
      <c r="M1144" s="523"/>
      <c r="N1144" s="157"/>
      <c r="O1144" s="157"/>
    </row>
    <row r="1145" spans="3:15" ht="15" customHeight="1">
      <c r="C1145" s="498"/>
      <c r="D1145" s="256"/>
      <c r="E1145" s="195"/>
      <c r="F1145" s="157"/>
      <c r="G1145" s="157"/>
      <c r="H1145" s="157"/>
      <c r="I1145" s="157"/>
      <c r="J1145" s="157"/>
      <c r="K1145" s="157"/>
      <c r="L1145" s="157"/>
      <c r="M1145" s="523"/>
      <c r="N1145" s="157"/>
      <c r="O1145" s="157"/>
    </row>
    <row r="1146" spans="3:15" ht="15" customHeight="1">
      <c r="C1146" s="498"/>
      <c r="D1146" s="256"/>
      <c r="E1146" s="195"/>
      <c r="F1146" s="157"/>
      <c r="G1146" s="157"/>
      <c r="H1146" s="157"/>
      <c r="I1146" s="157"/>
      <c r="J1146" s="157"/>
      <c r="K1146" s="157"/>
      <c r="L1146" s="157"/>
      <c r="M1146" s="523"/>
      <c r="N1146" s="157"/>
      <c r="O1146" s="157"/>
    </row>
    <row r="1147" spans="3:15" ht="15" customHeight="1">
      <c r="C1147" s="498"/>
      <c r="D1147" s="256"/>
      <c r="E1147" s="195"/>
      <c r="F1147" s="157"/>
      <c r="G1147" s="157"/>
      <c r="H1147" s="157"/>
      <c r="I1147" s="157"/>
      <c r="J1147" s="157"/>
      <c r="K1147" s="157"/>
      <c r="L1147" s="157"/>
      <c r="M1147" s="523"/>
      <c r="N1147" s="157"/>
      <c r="O1147" s="157"/>
    </row>
    <row r="1148" spans="3:15" ht="15" customHeight="1">
      <c r="C1148" s="498"/>
      <c r="D1148" s="256"/>
      <c r="E1148" s="195"/>
      <c r="F1148" s="157"/>
      <c r="G1148" s="157"/>
      <c r="H1148" s="157"/>
      <c r="I1148" s="157"/>
      <c r="J1148" s="157"/>
      <c r="K1148" s="157"/>
      <c r="L1148" s="157"/>
      <c r="M1148" s="523"/>
      <c r="N1148" s="157"/>
      <c r="O1148" s="157"/>
    </row>
    <row r="1149" spans="3:15" ht="15" customHeight="1">
      <c r="C1149" s="498"/>
      <c r="D1149" s="256"/>
      <c r="E1149" s="195"/>
      <c r="F1149" s="157"/>
      <c r="G1149" s="157"/>
      <c r="H1149" s="157"/>
      <c r="I1149" s="157"/>
      <c r="J1149" s="157"/>
      <c r="K1149" s="157"/>
      <c r="L1149" s="157"/>
      <c r="M1149" s="523"/>
      <c r="N1149" s="157"/>
      <c r="O1149" s="157"/>
    </row>
    <row r="1150" spans="3:15" ht="15" customHeight="1">
      <c r="C1150" s="498"/>
      <c r="D1150" s="256"/>
      <c r="E1150" s="195"/>
      <c r="F1150" s="157"/>
      <c r="G1150" s="157"/>
      <c r="H1150" s="157"/>
      <c r="I1150" s="157"/>
      <c r="J1150" s="157"/>
      <c r="K1150" s="157"/>
      <c r="L1150" s="157"/>
      <c r="M1150" s="523"/>
      <c r="N1150" s="157"/>
      <c r="O1150" s="157"/>
    </row>
    <row r="1151" spans="3:15" ht="15" customHeight="1">
      <c r="C1151" s="498"/>
      <c r="D1151" s="256"/>
      <c r="E1151" s="195"/>
      <c r="F1151" s="157"/>
      <c r="G1151" s="157"/>
      <c r="H1151" s="157"/>
      <c r="I1151" s="157"/>
      <c r="J1151" s="157"/>
      <c r="K1151" s="157"/>
      <c r="L1151" s="157"/>
      <c r="M1151" s="523"/>
      <c r="N1151" s="157"/>
      <c r="O1151" s="157"/>
    </row>
    <row r="1152" spans="3:15" ht="15" customHeight="1">
      <c r="C1152" s="498"/>
      <c r="D1152" s="256"/>
      <c r="E1152" s="195"/>
      <c r="F1152" s="157"/>
      <c r="G1152" s="157"/>
      <c r="H1152" s="157"/>
      <c r="I1152" s="157"/>
      <c r="J1152" s="157"/>
      <c r="K1152" s="157"/>
      <c r="L1152" s="157"/>
      <c r="M1152" s="523"/>
      <c r="N1152" s="157"/>
      <c r="O1152" s="157"/>
    </row>
    <row r="1153" spans="3:15" ht="15" customHeight="1">
      <c r="C1153" s="498"/>
      <c r="D1153" s="256"/>
      <c r="E1153" s="195"/>
      <c r="F1153" s="157"/>
      <c r="G1153" s="157"/>
      <c r="H1153" s="157"/>
      <c r="I1153" s="157"/>
      <c r="J1153" s="157"/>
      <c r="K1153" s="157"/>
      <c r="L1153" s="157"/>
      <c r="M1153" s="523"/>
      <c r="N1153" s="157"/>
      <c r="O1153" s="157"/>
    </row>
    <row r="1154" spans="3:15" ht="15" customHeight="1">
      <c r="C1154" s="498"/>
      <c r="D1154" s="256"/>
      <c r="E1154" s="195"/>
      <c r="F1154" s="157"/>
      <c r="G1154" s="157"/>
      <c r="H1154" s="157"/>
      <c r="I1154" s="157"/>
      <c r="J1154" s="157"/>
      <c r="K1154" s="157"/>
      <c r="L1154" s="157"/>
      <c r="M1154" s="523"/>
      <c r="N1154" s="157"/>
      <c r="O1154" s="157"/>
    </row>
    <row r="1155" spans="3:15" ht="15" customHeight="1">
      <c r="C1155" s="498"/>
      <c r="D1155" s="256"/>
      <c r="E1155" s="195"/>
      <c r="F1155" s="157"/>
      <c r="G1155" s="157"/>
      <c r="H1155" s="157"/>
      <c r="I1155" s="157"/>
      <c r="J1155" s="157"/>
      <c r="K1155" s="157"/>
      <c r="L1155" s="157"/>
      <c r="M1155" s="523"/>
      <c r="N1155" s="157"/>
      <c r="O1155" s="157"/>
    </row>
    <row r="1156" spans="3:15" ht="15" customHeight="1">
      <c r="C1156" s="498"/>
      <c r="D1156" s="256"/>
      <c r="E1156" s="195"/>
      <c r="F1156" s="157"/>
      <c r="G1156" s="157"/>
      <c r="H1156" s="157"/>
      <c r="I1156" s="157"/>
      <c r="J1156" s="157"/>
      <c r="K1156" s="157"/>
      <c r="L1156" s="157"/>
      <c r="M1156" s="523"/>
      <c r="N1156" s="157"/>
      <c r="O1156" s="157"/>
    </row>
    <row r="1157" spans="3:15" ht="15" customHeight="1">
      <c r="C1157" s="498"/>
      <c r="D1157" s="256"/>
      <c r="E1157" s="195"/>
      <c r="F1157" s="157"/>
      <c r="G1157" s="157"/>
      <c r="H1157" s="157"/>
      <c r="I1157" s="157"/>
      <c r="J1157" s="157"/>
      <c r="K1157" s="157"/>
      <c r="L1157" s="157"/>
      <c r="M1157" s="523"/>
      <c r="N1157" s="157"/>
      <c r="O1157" s="157"/>
    </row>
    <row r="1158" spans="3:15" ht="15" customHeight="1">
      <c r="C1158" s="498"/>
      <c r="D1158" s="256"/>
      <c r="E1158" s="195"/>
      <c r="F1158" s="157"/>
      <c r="G1158" s="157"/>
      <c r="H1158" s="157"/>
      <c r="I1158" s="157"/>
      <c r="J1158" s="157"/>
      <c r="K1158" s="157"/>
      <c r="L1158" s="157"/>
      <c r="M1158" s="523"/>
      <c r="N1158" s="157"/>
      <c r="O1158" s="157"/>
    </row>
    <row r="1159" spans="3:15" ht="15" customHeight="1">
      <c r="C1159" s="498"/>
      <c r="D1159" s="256"/>
      <c r="E1159" s="195"/>
      <c r="F1159" s="157"/>
      <c r="G1159" s="157"/>
      <c r="H1159" s="157"/>
      <c r="I1159" s="157"/>
      <c r="J1159" s="157"/>
      <c r="K1159" s="157"/>
      <c r="L1159" s="157"/>
      <c r="M1159" s="523"/>
      <c r="N1159" s="157"/>
      <c r="O1159" s="157"/>
    </row>
    <row r="1160" spans="3:15" ht="15" customHeight="1">
      <c r="C1160" s="498"/>
      <c r="D1160" s="256"/>
      <c r="E1160" s="195"/>
      <c r="F1160" s="157"/>
      <c r="G1160" s="157"/>
      <c r="H1160" s="157"/>
      <c r="I1160" s="157"/>
      <c r="J1160" s="157"/>
      <c r="K1160" s="157"/>
      <c r="L1160" s="157"/>
      <c r="M1160" s="523"/>
      <c r="N1160" s="157"/>
      <c r="O1160" s="157"/>
    </row>
    <row r="1161" spans="3:15" ht="15" customHeight="1">
      <c r="C1161" s="498"/>
      <c r="D1161" s="256"/>
      <c r="E1161" s="195"/>
      <c r="F1161" s="157"/>
      <c r="G1161" s="157"/>
      <c r="H1161" s="157"/>
      <c r="I1161" s="157"/>
      <c r="J1161" s="157"/>
      <c r="K1161" s="157"/>
      <c r="L1161" s="157"/>
      <c r="M1161" s="523"/>
      <c r="N1161" s="157"/>
      <c r="O1161" s="157"/>
    </row>
    <row r="1162" spans="3:15" ht="15" customHeight="1">
      <c r="C1162" s="498"/>
      <c r="D1162" s="256"/>
      <c r="E1162" s="195"/>
      <c r="F1162" s="157"/>
      <c r="G1162" s="157"/>
      <c r="H1162" s="157"/>
      <c r="I1162" s="157"/>
      <c r="J1162" s="157"/>
      <c r="K1162" s="157"/>
      <c r="L1162" s="157"/>
      <c r="M1162" s="523"/>
      <c r="N1162" s="157"/>
      <c r="O1162" s="157"/>
    </row>
    <row r="1163" spans="3:15" ht="15" customHeight="1">
      <c r="C1163" s="498"/>
      <c r="D1163" s="256"/>
      <c r="E1163" s="195"/>
      <c r="F1163" s="157"/>
      <c r="G1163" s="157"/>
      <c r="H1163" s="157"/>
      <c r="I1163" s="157"/>
      <c r="J1163" s="157"/>
      <c r="K1163" s="157"/>
      <c r="L1163" s="157"/>
      <c r="M1163" s="523"/>
      <c r="N1163" s="157"/>
      <c r="O1163" s="157"/>
    </row>
    <row r="1164" spans="3:15" ht="15" customHeight="1">
      <c r="C1164" s="498"/>
      <c r="D1164" s="256"/>
      <c r="E1164" s="195"/>
      <c r="F1164" s="157"/>
      <c r="G1164" s="157"/>
      <c r="H1164" s="157"/>
      <c r="I1164" s="157"/>
      <c r="J1164" s="157"/>
      <c r="K1164" s="157"/>
      <c r="L1164" s="157"/>
      <c r="M1164" s="523"/>
      <c r="N1164" s="157"/>
      <c r="O1164" s="157"/>
    </row>
    <row r="1165" spans="3:15" ht="15" customHeight="1">
      <c r="C1165" s="498"/>
      <c r="D1165" s="256"/>
      <c r="E1165" s="195"/>
      <c r="F1165" s="157"/>
      <c r="G1165" s="157"/>
      <c r="H1165" s="157"/>
      <c r="I1165" s="157"/>
      <c r="J1165" s="157"/>
      <c r="K1165" s="157"/>
      <c r="L1165" s="157"/>
      <c r="M1165" s="523"/>
      <c r="N1165" s="157"/>
      <c r="O1165" s="157"/>
    </row>
    <row r="1166" spans="3:15" ht="15" customHeight="1">
      <c r="C1166" s="498"/>
      <c r="D1166" s="256"/>
      <c r="E1166" s="195"/>
      <c r="F1166" s="157"/>
      <c r="G1166" s="157"/>
      <c r="H1166" s="157"/>
      <c r="I1166" s="157"/>
      <c r="J1166" s="157"/>
      <c r="K1166" s="157"/>
      <c r="L1166" s="157"/>
      <c r="M1166" s="523"/>
      <c r="N1166" s="157"/>
      <c r="O1166" s="157"/>
    </row>
    <row r="1167" spans="3:15" ht="15" customHeight="1">
      <c r="C1167" s="498"/>
      <c r="D1167" s="256"/>
      <c r="E1167" s="195"/>
      <c r="F1167" s="157"/>
      <c r="G1167" s="157"/>
      <c r="H1167" s="157"/>
      <c r="I1167" s="157"/>
      <c r="J1167" s="157"/>
      <c r="K1167" s="157"/>
      <c r="L1167" s="157"/>
      <c r="M1167" s="523"/>
      <c r="N1167" s="157"/>
      <c r="O1167" s="157"/>
    </row>
    <row r="1168" spans="3:15" ht="15" customHeight="1">
      <c r="C1168" s="498"/>
      <c r="D1168" s="256"/>
      <c r="E1168" s="195"/>
      <c r="F1168" s="157"/>
      <c r="G1168" s="157"/>
      <c r="H1168" s="157"/>
      <c r="I1168" s="157"/>
      <c r="J1168" s="157"/>
      <c r="K1168" s="157"/>
      <c r="L1168" s="157"/>
      <c r="M1168" s="523"/>
      <c r="N1168" s="157"/>
      <c r="O1168" s="157"/>
    </row>
    <row r="1169" spans="3:15" ht="15" customHeight="1">
      <c r="C1169" s="498"/>
      <c r="D1169" s="256"/>
      <c r="E1169" s="195"/>
      <c r="F1169" s="157"/>
      <c r="G1169" s="157"/>
      <c r="H1169" s="157"/>
      <c r="I1169" s="157"/>
      <c r="J1169" s="157"/>
      <c r="K1169" s="157"/>
      <c r="L1169" s="157"/>
      <c r="M1169" s="523"/>
      <c r="N1169" s="157"/>
      <c r="O1169" s="157"/>
    </row>
    <row r="1170" spans="3:15" ht="15" customHeight="1">
      <c r="C1170" s="498"/>
      <c r="D1170" s="256"/>
      <c r="E1170" s="195"/>
      <c r="F1170" s="157"/>
      <c r="G1170" s="157"/>
      <c r="H1170" s="157"/>
      <c r="I1170" s="157"/>
      <c r="J1170" s="157"/>
      <c r="K1170" s="157"/>
      <c r="L1170" s="157"/>
      <c r="M1170" s="523"/>
      <c r="N1170" s="157"/>
      <c r="O1170" s="157"/>
    </row>
    <row r="1171" spans="3:15" ht="15" customHeight="1">
      <c r="C1171" s="498"/>
      <c r="D1171" s="256"/>
      <c r="E1171" s="195"/>
      <c r="F1171" s="157"/>
      <c r="G1171" s="157"/>
      <c r="H1171" s="157"/>
      <c r="I1171" s="157"/>
      <c r="J1171" s="157"/>
      <c r="K1171" s="157"/>
      <c r="L1171" s="157"/>
      <c r="M1171" s="523"/>
      <c r="N1171" s="157"/>
      <c r="O1171" s="157"/>
    </row>
    <row r="1172" spans="3:15" ht="15" customHeight="1">
      <c r="C1172" s="498"/>
      <c r="D1172" s="256"/>
      <c r="E1172" s="195"/>
      <c r="F1172" s="157"/>
      <c r="G1172" s="157"/>
      <c r="H1172" s="157"/>
      <c r="I1172" s="157"/>
      <c r="J1172" s="157"/>
      <c r="K1172" s="157"/>
      <c r="L1172" s="157"/>
      <c r="M1172" s="523"/>
      <c r="N1172" s="157"/>
      <c r="O1172" s="157"/>
    </row>
    <row r="1173" spans="3:15" ht="15" customHeight="1">
      <c r="C1173" s="498"/>
      <c r="D1173" s="256"/>
      <c r="E1173" s="195"/>
      <c r="F1173" s="157"/>
      <c r="G1173" s="157"/>
      <c r="H1173" s="157"/>
      <c r="I1173" s="157"/>
      <c r="J1173" s="157"/>
      <c r="K1173" s="157"/>
      <c r="L1173" s="157"/>
      <c r="M1173" s="523"/>
      <c r="N1173" s="157"/>
      <c r="O1173" s="157"/>
    </row>
    <row r="1174" spans="3:15" ht="15" customHeight="1">
      <c r="C1174" s="498"/>
      <c r="D1174" s="256"/>
      <c r="E1174" s="195"/>
      <c r="F1174" s="157"/>
      <c r="G1174" s="157"/>
      <c r="H1174" s="157"/>
      <c r="I1174" s="157"/>
      <c r="J1174" s="157"/>
      <c r="K1174" s="157"/>
      <c r="L1174" s="157"/>
      <c r="M1174" s="523"/>
      <c r="N1174" s="157"/>
      <c r="O1174" s="157"/>
    </row>
    <row r="1175" spans="3:15" ht="15" customHeight="1">
      <c r="C1175" s="498"/>
      <c r="D1175" s="256"/>
      <c r="E1175" s="195"/>
      <c r="F1175" s="157"/>
      <c r="G1175" s="157"/>
      <c r="H1175" s="157"/>
      <c r="I1175" s="157"/>
      <c r="J1175" s="157"/>
      <c r="K1175" s="157"/>
      <c r="L1175" s="157"/>
      <c r="M1175" s="523"/>
      <c r="N1175" s="157"/>
      <c r="O1175" s="157"/>
    </row>
    <row r="1176" spans="3:15" ht="15" customHeight="1">
      <c r="C1176" s="498"/>
      <c r="D1176" s="256"/>
      <c r="E1176" s="195"/>
      <c r="F1176" s="157"/>
      <c r="G1176" s="157"/>
      <c r="H1176" s="157"/>
      <c r="I1176" s="157"/>
      <c r="J1176" s="157"/>
      <c r="K1176" s="157"/>
      <c r="L1176" s="157"/>
      <c r="M1176" s="523"/>
      <c r="N1176" s="157"/>
      <c r="O1176" s="157"/>
    </row>
    <row r="1177" spans="3:15" ht="15" customHeight="1">
      <c r="C1177" s="498"/>
      <c r="D1177" s="256"/>
      <c r="E1177" s="195"/>
      <c r="F1177" s="157"/>
      <c r="G1177" s="157"/>
      <c r="H1177" s="157"/>
      <c r="I1177" s="157"/>
      <c r="J1177" s="157"/>
      <c r="K1177" s="157"/>
      <c r="L1177" s="157"/>
      <c r="M1177" s="523"/>
      <c r="N1177" s="157"/>
      <c r="O1177" s="157"/>
    </row>
    <row r="1178" spans="3:15" ht="15" customHeight="1">
      <c r="C1178" s="498"/>
      <c r="D1178" s="256"/>
      <c r="E1178" s="195"/>
      <c r="F1178" s="157"/>
      <c r="G1178" s="157"/>
      <c r="H1178" s="157"/>
      <c r="I1178" s="157"/>
      <c r="J1178" s="157"/>
      <c r="K1178" s="157"/>
      <c r="L1178" s="157"/>
      <c r="M1178" s="523"/>
      <c r="N1178" s="157"/>
      <c r="O1178" s="157"/>
    </row>
    <row r="1179" spans="3:15" ht="15" customHeight="1">
      <c r="C1179" s="498"/>
      <c r="D1179" s="256"/>
      <c r="E1179" s="195"/>
      <c r="F1179" s="157"/>
      <c r="G1179" s="157"/>
      <c r="H1179" s="157"/>
      <c r="I1179" s="157"/>
      <c r="J1179" s="157"/>
      <c r="K1179" s="157"/>
      <c r="L1179" s="157"/>
      <c r="M1179" s="523"/>
      <c r="N1179" s="157"/>
      <c r="O1179" s="157"/>
    </row>
    <row r="1180" spans="3:15" ht="15" customHeight="1">
      <c r="C1180" s="498"/>
      <c r="D1180" s="256"/>
      <c r="E1180" s="195"/>
      <c r="F1180" s="157"/>
      <c r="G1180" s="157"/>
      <c r="H1180" s="157"/>
      <c r="I1180" s="157"/>
      <c r="J1180" s="157"/>
      <c r="K1180" s="157"/>
      <c r="L1180" s="157"/>
      <c r="M1180" s="523"/>
      <c r="N1180" s="157"/>
      <c r="O1180" s="157"/>
    </row>
    <row r="1181" spans="3:15" ht="15" customHeight="1">
      <c r="C1181" s="498"/>
      <c r="D1181" s="256"/>
      <c r="E1181" s="195"/>
      <c r="F1181" s="157"/>
      <c r="G1181" s="157"/>
      <c r="H1181" s="157"/>
      <c r="I1181" s="157"/>
      <c r="J1181" s="157"/>
      <c r="K1181" s="157"/>
      <c r="L1181" s="157"/>
      <c r="M1181" s="523"/>
      <c r="N1181" s="157"/>
      <c r="O1181" s="157"/>
    </row>
    <row r="1182" spans="3:15" ht="15" customHeight="1">
      <c r="C1182" s="498"/>
      <c r="D1182" s="256"/>
      <c r="E1182" s="195"/>
      <c r="F1182" s="157"/>
      <c r="G1182" s="157"/>
      <c r="H1182" s="157"/>
      <c r="I1182" s="157"/>
      <c r="J1182" s="157"/>
      <c r="K1182" s="157"/>
      <c r="L1182" s="157"/>
      <c r="M1182" s="523"/>
      <c r="N1182" s="157"/>
      <c r="O1182" s="157"/>
    </row>
    <row r="1183" spans="3:15" ht="15" customHeight="1">
      <c r="C1183" s="498"/>
      <c r="D1183" s="256"/>
      <c r="E1183" s="195"/>
      <c r="F1183" s="157"/>
      <c r="G1183" s="157"/>
      <c r="H1183" s="157"/>
      <c r="I1183" s="157"/>
      <c r="J1183" s="157"/>
      <c r="K1183" s="157"/>
      <c r="L1183" s="157"/>
      <c r="M1183" s="523"/>
      <c r="N1183" s="157"/>
      <c r="O1183" s="157"/>
    </row>
    <row r="1184" spans="3:15" ht="15" customHeight="1">
      <c r="C1184" s="498"/>
      <c r="D1184" s="256"/>
      <c r="E1184" s="195"/>
      <c r="F1184" s="157"/>
      <c r="G1184" s="157"/>
      <c r="H1184" s="157"/>
      <c r="I1184" s="157"/>
      <c r="J1184" s="157"/>
      <c r="K1184" s="157"/>
      <c r="L1184" s="157"/>
      <c r="M1184" s="523"/>
      <c r="N1184" s="157"/>
      <c r="O1184" s="157"/>
    </row>
    <row r="1185" spans="3:15" ht="15" customHeight="1">
      <c r="C1185" s="498"/>
      <c r="D1185" s="256"/>
      <c r="E1185" s="195"/>
      <c r="F1185" s="157"/>
      <c r="G1185" s="157"/>
      <c r="H1185" s="157"/>
      <c r="I1185" s="157"/>
      <c r="J1185" s="157"/>
      <c r="K1185" s="157"/>
      <c r="L1185" s="157"/>
      <c r="M1185" s="523"/>
      <c r="N1185" s="157"/>
      <c r="O1185" s="157"/>
    </row>
    <row r="1186" spans="3:15" ht="15" customHeight="1">
      <c r="C1186" s="498"/>
      <c r="D1186" s="256"/>
      <c r="E1186" s="195"/>
      <c r="F1186" s="157"/>
      <c r="G1186" s="157"/>
      <c r="H1186" s="157"/>
      <c r="I1186" s="157"/>
      <c r="J1186" s="157"/>
      <c r="K1186" s="157"/>
      <c r="L1186" s="157"/>
      <c r="M1186" s="523"/>
      <c r="N1186" s="157"/>
      <c r="O1186" s="157"/>
    </row>
    <row r="1187" spans="3:15" ht="15" customHeight="1">
      <c r="C1187" s="498"/>
      <c r="D1187" s="256"/>
      <c r="E1187" s="195"/>
      <c r="F1187" s="157"/>
      <c r="G1187" s="157"/>
      <c r="H1187" s="157"/>
      <c r="I1187" s="157"/>
      <c r="J1187" s="157"/>
      <c r="K1187" s="157"/>
      <c r="L1187" s="157"/>
      <c r="M1187" s="523"/>
      <c r="N1187" s="157"/>
      <c r="O1187" s="157"/>
    </row>
    <row r="1188" spans="3:15" ht="15" customHeight="1">
      <c r="C1188" s="498"/>
      <c r="D1188" s="256"/>
      <c r="E1188" s="195"/>
      <c r="F1188" s="157"/>
      <c r="G1188" s="157"/>
      <c r="H1188" s="157"/>
      <c r="I1188" s="157"/>
      <c r="J1188" s="157"/>
      <c r="K1188" s="157"/>
      <c r="L1188" s="157"/>
      <c r="M1188" s="523"/>
      <c r="N1188" s="157"/>
      <c r="O1188" s="157"/>
    </row>
    <row r="1189" spans="3:15" ht="15" customHeight="1">
      <c r="C1189" s="498"/>
      <c r="D1189" s="256"/>
      <c r="E1189" s="195"/>
      <c r="F1189" s="157"/>
      <c r="G1189" s="157"/>
      <c r="H1189" s="157"/>
      <c r="I1189" s="157"/>
      <c r="J1189" s="157"/>
      <c r="K1189" s="157"/>
      <c r="L1189" s="157"/>
      <c r="M1189" s="523"/>
      <c r="N1189" s="157"/>
      <c r="O1189" s="157"/>
    </row>
    <row r="1190" spans="3:15" ht="15" customHeight="1">
      <c r="C1190" s="498"/>
      <c r="D1190" s="256"/>
      <c r="E1190" s="195"/>
      <c r="F1190" s="157"/>
      <c r="G1190" s="157"/>
      <c r="H1190" s="157"/>
      <c r="I1190" s="157"/>
      <c r="J1190" s="157"/>
      <c r="K1190" s="157"/>
      <c r="L1190" s="157"/>
      <c r="M1190" s="523"/>
      <c r="N1190" s="157"/>
      <c r="O1190" s="157"/>
    </row>
    <row r="1191" spans="3:15" ht="15" customHeight="1">
      <c r="C1191" s="498"/>
      <c r="D1191" s="256"/>
      <c r="E1191" s="195"/>
      <c r="F1191" s="157"/>
      <c r="G1191" s="157"/>
      <c r="H1191" s="157"/>
      <c r="I1191" s="157"/>
      <c r="J1191" s="157"/>
      <c r="K1191" s="157"/>
      <c r="L1191" s="157"/>
      <c r="M1191" s="523"/>
      <c r="N1191" s="157"/>
      <c r="O1191" s="157"/>
    </row>
    <row r="1192" spans="3:15" ht="15" customHeight="1">
      <c r="C1192" s="498"/>
      <c r="D1192" s="256"/>
      <c r="E1192" s="195"/>
      <c r="F1192" s="157"/>
      <c r="G1192" s="157"/>
      <c r="H1192" s="157"/>
      <c r="I1192" s="157"/>
      <c r="J1192" s="157"/>
      <c r="K1192" s="157"/>
      <c r="L1192" s="157"/>
      <c r="M1192" s="523"/>
      <c r="N1192" s="157"/>
      <c r="O1192" s="157"/>
    </row>
    <row r="1193" spans="3:15" ht="15" customHeight="1">
      <c r="C1193" s="498"/>
      <c r="D1193" s="256"/>
      <c r="E1193" s="195"/>
      <c r="F1193" s="157"/>
      <c r="G1193" s="157"/>
      <c r="H1193" s="157"/>
      <c r="I1193" s="157"/>
      <c r="J1193" s="157"/>
      <c r="K1193" s="157"/>
      <c r="L1193" s="157"/>
      <c r="M1193" s="523"/>
      <c r="N1193" s="157"/>
      <c r="O1193" s="157"/>
    </row>
    <row r="1194" spans="3:15" ht="15" customHeight="1">
      <c r="C1194" s="498"/>
      <c r="D1194" s="256"/>
      <c r="E1194" s="195"/>
      <c r="F1194" s="157"/>
      <c r="G1194" s="157"/>
      <c r="H1194" s="157"/>
      <c r="I1194" s="157"/>
      <c r="J1194" s="157"/>
      <c r="K1194" s="157"/>
      <c r="L1194" s="157"/>
      <c r="M1194" s="523"/>
      <c r="N1194" s="157"/>
      <c r="O1194" s="157"/>
    </row>
    <row r="1195" spans="3:15" ht="15" customHeight="1">
      <c r="C1195" s="498"/>
      <c r="D1195" s="256"/>
      <c r="E1195" s="195"/>
      <c r="F1195" s="157"/>
      <c r="G1195" s="157"/>
      <c r="H1195" s="157"/>
      <c r="I1195" s="157"/>
      <c r="J1195" s="157"/>
      <c r="K1195" s="157"/>
      <c r="L1195" s="157"/>
      <c r="M1195" s="523"/>
      <c r="N1195" s="157"/>
      <c r="O1195" s="157"/>
    </row>
    <row r="1196" spans="3:15" ht="15" customHeight="1">
      <c r="C1196" s="498"/>
      <c r="D1196" s="256"/>
      <c r="E1196" s="195"/>
      <c r="F1196" s="157"/>
      <c r="G1196" s="157"/>
      <c r="H1196" s="157"/>
      <c r="I1196" s="157"/>
      <c r="J1196" s="157"/>
      <c r="K1196" s="157"/>
      <c r="L1196" s="157"/>
      <c r="M1196" s="523"/>
      <c r="N1196" s="157"/>
      <c r="O1196" s="157"/>
    </row>
    <row r="1197" spans="3:15" ht="15" customHeight="1">
      <c r="C1197" s="498"/>
      <c r="D1197" s="256"/>
      <c r="E1197" s="195"/>
      <c r="F1197" s="157"/>
      <c r="G1197" s="157"/>
      <c r="H1197" s="157"/>
      <c r="I1197" s="157"/>
      <c r="J1197" s="157"/>
      <c r="K1197" s="157"/>
      <c r="L1197" s="157"/>
      <c r="M1197" s="523"/>
      <c r="N1197" s="157"/>
      <c r="O1197" s="157"/>
    </row>
    <row r="1198" spans="3:15" ht="15" customHeight="1">
      <c r="C1198" s="498"/>
      <c r="D1198" s="256"/>
      <c r="E1198" s="195"/>
      <c r="F1198" s="157"/>
      <c r="G1198" s="157"/>
      <c r="H1198" s="157"/>
      <c r="I1198" s="157"/>
      <c r="J1198" s="157"/>
      <c r="K1198" s="157"/>
      <c r="L1198" s="157"/>
      <c r="M1198" s="523"/>
      <c r="N1198" s="157"/>
      <c r="O1198" s="157"/>
    </row>
    <row r="1199" spans="3:15" ht="15" customHeight="1">
      <c r="C1199" s="498"/>
      <c r="D1199" s="256"/>
      <c r="E1199" s="195"/>
      <c r="F1199" s="157"/>
      <c r="G1199" s="157"/>
      <c r="H1199" s="157"/>
      <c r="I1199" s="157"/>
      <c r="J1199" s="157"/>
      <c r="K1199" s="157"/>
      <c r="L1199" s="157"/>
      <c r="M1199" s="523"/>
      <c r="N1199" s="157"/>
      <c r="O1199" s="157"/>
    </row>
    <row r="1200" spans="3:15" ht="15" customHeight="1">
      <c r="C1200" s="498"/>
      <c r="D1200" s="256"/>
      <c r="E1200" s="195"/>
      <c r="F1200" s="157"/>
      <c r="G1200" s="157"/>
      <c r="H1200" s="157"/>
      <c r="I1200" s="157"/>
      <c r="J1200" s="157"/>
      <c r="K1200" s="157"/>
      <c r="L1200" s="157"/>
      <c r="M1200" s="523"/>
      <c r="N1200" s="157"/>
      <c r="O1200" s="157"/>
    </row>
    <row r="1201" spans="3:15" ht="15" customHeight="1">
      <c r="C1201" s="498"/>
      <c r="D1201" s="256"/>
      <c r="E1201" s="195"/>
      <c r="F1201" s="157"/>
      <c r="G1201" s="157"/>
      <c r="H1201" s="157"/>
      <c r="I1201" s="157"/>
      <c r="J1201" s="157"/>
      <c r="K1201" s="157"/>
      <c r="L1201" s="157"/>
      <c r="M1201" s="523"/>
      <c r="N1201" s="157"/>
      <c r="O1201" s="157"/>
    </row>
    <row r="1202" spans="3:15" ht="15" customHeight="1">
      <c r="C1202" s="498"/>
      <c r="D1202" s="256"/>
      <c r="E1202" s="195"/>
      <c r="F1202" s="157"/>
      <c r="G1202" s="157"/>
      <c r="H1202" s="157"/>
      <c r="I1202" s="157"/>
      <c r="J1202" s="157"/>
      <c r="K1202" s="157"/>
      <c r="L1202" s="157"/>
      <c r="M1202" s="523"/>
      <c r="N1202" s="157"/>
      <c r="O1202" s="157"/>
    </row>
    <row r="1203" spans="3:15" ht="15" customHeight="1">
      <c r="C1203" s="498"/>
      <c r="D1203" s="256"/>
      <c r="E1203" s="195"/>
      <c r="F1203" s="157"/>
      <c r="G1203" s="157"/>
      <c r="H1203" s="157"/>
      <c r="I1203" s="157"/>
      <c r="J1203" s="157"/>
      <c r="K1203" s="157"/>
      <c r="L1203" s="157"/>
      <c r="M1203" s="523"/>
      <c r="N1203" s="157"/>
      <c r="O1203" s="157"/>
    </row>
    <row r="1204" spans="3:15" ht="15" customHeight="1">
      <c r="C1204" s="498"/>
      <c r="D1204" s="256"/>
      <c r="E1204" s="195"/>
      <c r="F1204" s="157"/>
      <c r="G1204" s="157"/>
      <c r="H1204" s="157"/>
      <c r="I1204" s="157"/>
      <c r="J1204" s="157"/>
      <c r="K1204" s="157"/>
      <c r="L1204" s="157"/>
      <c r="M1204" s="523"/>
      <c r="N1204" s="157"/>
      <c r="O1204" s="157"/>
    </row>
    <row r="1205" spans="3:15" ht="15" customHeight="1">
      <c r="C1205" s="498"/>
      <c r="D1205" s="256"/>
      <c r="E1205" s="195"/>
      <c r="F1205" s="157"/>
      <c r="G1205" s="157"/>
      <c r="H1205" s="157"/>
      <c r="I1205" s="157"/>
      <c r="J1205" s="157"/>
      <c r="K1205" s="157"/>
      <c r="L1205" s="157"/>
      <c r="M1205" s="523"/>
      <c r="N1205" s="157"/>
      <c r="O1205" s="157"/>
    </row>
    <row r="1206" spans="3:15" ht="15" customHeight="1">
      <c r="C1206" s="498"/>
      <c r="D1206" s="256"/>
      <c r="E1206" s="195"/>
      <c r="F1206" s="157"/>
      <c r="G1206" s="157"/>
      <c r="H1206" s="157"/>
      <c r="I1206" s="157"/>
      <c r="J1206" s="157"/>
      <c r="K1206" s="157"/>
      <c r="L1206" s="157"/>
      <c r="M1206" s="523"/>
      <c r="N1206" s="157"/>
      <c r="O1206" s="157"/>
    </row>
    <row r="1207" spans="3:15" ht="15" customHeight="1">
      <c r="C1207" s="498"/>
      <c r="D1207" s="256"/>
      <c r="E1207" s="195"/>
      <c r="F1207" s="157"/>
      <c r="G1207" s="157"/>
      <c r="H1207" s="157"/>
      <c r="I1207" s="157"/>
      <c r="J1207" s="157"/>
      <c r="K1207" s="157"/>
      <c r="L1207" s="157"/>
      <c r="M1207" s="523"/>
      <c r="N1207" s="157"/>
      <c r="O1207" s="157"/>
    </row>
    <row r="1208" spans="3:15" ht="15" customHeight="1">
      <c r="C1208" s="498"/>
      <c r="D1208" s="256"/>
      <c r="E1208" s="195"/>
      <c r="F1208" s="157"/>
      <c r="G1208" s="157"/>
      <c r="H1208" s="157"/>
      <c r="I1208" s="157"/>
      <c r="J1208" s="157"/>
      <c r="K1208" s="157"/>
      <c r="L1208" s="157"/>
      <c r="M1208" s="523"/>
      <c r="N1208" s="157"/>
      <c r="O1208" s="157"/>
    </row>
    <row r="1209" spans="3:15" ht="15" customHeight="1">
      <c r="C1209" s="498"/>
      <c r="D1209" s="256"/>
      <c r="E1209" s="195"/>
      <c r="F1209" s="157"/>
      <c r="G1209" s="157"/>
      <c r="H1209" s="157"/>
      <c r="I1209" s="157"/>
      <c r="J1209" s="157"/>
      <c r="K1209" s="157"/>
      <c r="L1209" s="157"/>
      <c r="M1209" s="523"/>
      <c r="N1209" s="157"/>
      <c r="O1209" s="157"/>
    </row>
    <row r="1210" spans="3:15" ht="15" customHeight="1">
      <c r="C1210" s="498"/>
      <c r="D1210" s="256"/>
      <c r="E1210" s="195"/>
      <c r="F1210" s="157"/>
      <c r="G1210" s="157"/>
      <c r="H1210" s="157"/>
      <c r="I1210" s="157"/>
      <c r="J1210" s="157"/>
      <c r="K1210" s="157"/>
      <c r="L1210" s="157"/>
      <c r="M1210" s="523"/>
      <c r="N1210" s="157"/>
      <c r="O1210" s="157"/>
    </row>
    <row r="1211" spans="3:15" ht="15" customHeight="1">
      <c r="C1211" s="498"/>
      <c r="D1211" s="256"/>
      <c r="E1211" s="195"/>
      <c r="F1211" s="157"/>
      <c r="G1211" s="157"/>
      <c r="H1211" s="157"/>
      <c r="I1211" s="157"/>
      <c r="J1211" s="157"/>
      <c r="K1211" s="157"/>
      <c r="L1211" s="157"/>
      <c r="M1211" s="523"/>
      <c r="N1211" s="157"/>
      <c r="O1211" s="157"/>
    </row>
    <row r="1212" spans="3:15" ht="15" customHeight="1">
      <c r="C1212" s="498"/>
      <c r="D1212" s="256"/>
      <c r="E1212" s="195"/>
      <c r="F1212" s="157"/>
      <c r="G1212" s="157"/>
      <c r="H1212" s="157"/>
      <c r="I1212" s="157"/>
      <c r="J1212" s="157"/>
      <c r="K1212" s="157"/>
      <c r="L1212" s="157"/>
      <c r="M1212" s="523"/>
      <c r="N1212" s="157"/>
      <c r="O1212" s="157"/>
    </row>
    <row r="1213" spans="3:15" ht="15" customHeight="1">
      <c r="C1213" s="498"/>
      <c r="D1213" s="256"/>
      <c r="E1213" s="195"/>
      <c r="F1213" s="157"/>
      <c r="G1213" s="157"/>
      <c r="H1213" s="157"/>
      <c r="I1213" s="157"/>
      <c r="J1213" s="157"/>
      <c r="K1213" s="157"/>
      <c r="L1213" s="157"/>
      <c r="M1213" s="523"/>
      <c r="N1213" s="157"/>
      <c r="O1213" s="157"/>
    </row>
    <row r="1214" spans="3:15" ht="15" customHeight="1">
      <c r="C1214" s="498"/>
      <c r="D1214" s="256"/>
      <c r="E1214" s="195"/>
      <c r="F1214" s="157"/>
      <c r="G1214" s="157"/>
      <c r="H1214" s="157"/>
      <c r="I1214" s="157"/>
      <c r="J1214" s="157"/>
      <c r="K1214" s="157"/>
      <c r="L1214" s="157"/>
      <c r="M1214" s="523"/>
      <c r="N1214" s="157"/>
      <c r="O1214" s="157"/>
    </row>
    <row r="1215" spans="3:15" ht="15" customHeight="1">
      <c r="C1215" s="498"/>
      <c r="D1215" s="256"/>
      <c r="E1215" s="195"/>
      <c r="F1215" s="157"/>
      <c r="G1215" s="157"/>
      <c r="H1215" s="157"/>
      <c r="I1215" s="157"/>
      <c r="J1215" s="157"/>
      <c r="K1215" s="157"/>
      <c r="L1215" s="157"/>
      <c r="M1215" s="523"/>
      <c r="N1215" s="157"/>
      <c r="O1215" s="157"/>
    </row>
    <row r="1216" spans="3:15" ht="15" customHeight="1">
      <c r="C1216" s="498"/>
      <c r="D1216" s="256"/>
      <c r="E1216" s="195"/>
      <c r="F1216" s="157"/>
      <c r="G1216" s="157"/>
      <c r="H1216" s="157"/>
      <c r="I1216" s="157"/>
      <c r="J1216" s="157"/>
      <c r="K1216" s="157"/>
      <c r="L1216" s="157"/>
      <c r="M1216" s="523"/>
      <c r="N1216" s="157"/>
      <c r="O1216" s="157"/>
    </row>
    <row r="1217" spans="3:15" ht="15" customHeight="1">
      <c r="C1217" s="498"/>
      <c r="D1217" s="256"/>
      <c r="E1217" s="195"/>
      <c r="F1217" s="157"/>
      <c r="G1217" s="157"/>
      <c r="H1217" s="157"/>
      <c r="I1217" s="157"/>
      <c r="J1217" s="157"/>
      <c r="K1217" s="157"/>
      <c r="L1217" s="157"/>
      <c r="M1217" s="523"/>
      <c r="N1217" s="157"/>
      <c r="O1217" s="157"/>
    </row>
    <row r="1218" spans="3:15" ht="15" customHeight="1">
      <c r="C1218" s="498"/>
      <c r="D1218" s="256"/>
      <c r="E1218" s="195"/>
      <c r="F1218" s="157"/>
      <c r="G1218" s="157"/>
      <c r="H1218" s="157"/>
      <c r="I1218" s="157"/>
      <c r="J1218" s="157"/>
      <c r="K1218" s="157"/>
      <c r="L1218" s="157"/>
      <c r="M1218" s="523"/>
      <c r="N1218" s="157"/>
      <c r="O1218" s="157"/>
    </row>
    <row r="1219" spans="3:15" ht="15" customHeight="1">
      <c r="C1219" s="498"/>
      <c r="D1219" s="256"/>
      <c r="E1219" s="195"/>
      <c r="F1219" s="157"/>
      <c r="G1219" s="157"/>
      <c r="H1219" s="157"/>
      <c r="I1219" s="157"/>
      <c r="J1219" s="157"/>
      <c r="K1219" s="157"/>
      <c r="L1219" s="157"/>
      <c r="M1219" s="523"/>
      <c r="N1219" s="157"/>
      <c r="O1219" s="157"/>
    </row>
    <row r="1220" spans="3:15" ht="15" customHeight="1">
      <c r="C1220" s="498"/>
      <c r="D1220" s="256"/>
      <c r="E1220" s="195"/>
      <c r="F1220" s="157"/>
      <c r="G1220" s="157"/>
      <c r="H1220" s="157"/>
      <c r="I1220" s="157"/>
      <c r="J1220" s="157"/>
      <c r="K1220" s="157"/>
      <c r="L1220" s="157"/>
      <c r="M1220" s="523"/>
      <c r="N1220" s="157"/>
      <c r="O1220" s="157"/>
    </row>
    <row r="1221" spans="3:15" ht="15" customHeight="1">
      <c r="C1221" s="498"/>
      <c r="D1221" s="256"/>
      <c r="E1221" s="195"/>
      <c r="F1221" s="157"/>
      <c r="G1221" s="157"/>
      <c r="H1221" s="157"/>
      <c r="I1221" s="157"/>
      <c r="J1221" s="157"/>
      <c r="K1221" s="157"/>
      <c r="L1221" s="157"/>
      <c r="M1221" s="523"/>
      <c r="N1221" s="157"/>
      <c r="O1221" s="157"/>
    </row>
    <row r="1222" spans="3:15" ht="15" customHeight="1">
      <c r="C1222" s="498"/>
      <c r="D1222" s="256"/>
      <c r="E1222" s="195"/>
      <c r="F1222" s="157"/>
      <c r="G1222" s="157"/>
      <c r="H1222" s="157"/>
      <c r="I1222" s="157"/>
      <c r="J1222" s="157"/>
      <c r="K1222" s="157"/>
      <c r="L1222" s="157"/>
      <c r="M1222" s="523"/>
      <c r="N1222" s="157"/>
      <c r="O1222" s="157"/>
    </row>
    <row r="1223" spans="3:15" ht="15" customHeight="1">
      <c r="C1223" s="498"/>
      <c r="D1223" s="256"/>
      <c r="E1223" s="195"/>
      <c r="F1223" s="157"/>
      <c r="G1223" s="157"/>
      <c r="H1223" s="157"/>
      <c r="I1223" s="157"/>
      <c r="J1223" s="157"/>
      <c r="K1223" s="157"/>
      <c r="L1223" s="157"/>
      <c r="M1223" s="523"/>
      <c r="N1223" s="157"/>
      <c r="O1223" s="157"/>
    </row>
    <row r="1224" spans="3:15" ht="15" customHeight="1">
      <c r="C1224" s="498"/>
      <c r="D1224" s="256"/>
      <c r="E1224" s="195"/>
      <c r="F1224" s="157"/>
      <c r="G1224" s="157"/>
      <c r="H1224" s="157"/>
      <c r="I1224" s="157"/>
      <c r="J1224" s="157"/>
      <c r="K1224" s="157"/>
      <c r="L1224" s="157"/>
      <c r="M1224" s="523"/>
      <c r="N1224" s="157"/>
      <c r="O1224" s="157"/>
    </row>
    <row r="1225" spans="3:15" ht="15" customHeight="1">
      <c r="C1225" s="498"/>
      <c r="D1225" s="256"/>
      <c r="E1225" s="195"/>
      <c r="F1225" s="157"/>
      <c r="G1225" s="157"/>
      <c r="H1225" s="157"/>
      <c r="I1225" s="157"/>
      <c r="J1225" s="157"/>
      <c r="K1225" s="157"/>
      <c r="L1225" s="157"/>
      <c r="M1225" s="523"/>
      <c r="N1225" s="157"/>
      <c r="O1225" s="157"/>
    </row>
    <row r="1226" spans="3:15" ht="15" customHeight="1">
      <c r="C1226" s="498"/>
      <c r="D1226" s="256"/>
      <c r="E1226" s="195"/>
      <c r="F1226" s="157"/>
      <c r="G1226" s="157"/>
      <c r="H1226" s="157"/>
      <c r="I1226" s="157"/>
      <c r="J1226" s="157"/>
      <c r="K1226" s="157"/>
      <c r="L1226" s="157"/>
      <c r="M1226" s="523"/>
      <c r="N1226" s="157"/>
      <c r="O1226" s="157"/>
    </row>
    <row r="1227" spans="3:15" ht="15" customHeight="1">
      <c r="C1227" s="498"/>
      <c r="D1227" s="256"/>
      <c r="E1227" s="195"/>
      <c r="F1227" s="157"/>
      <c r="G1227" s="157"/>
      <c r="H1227" s="157"/>
      <c r="I1227" s="157"/>
      <c r="J1227" s="157"/>
      <c r="K1227" s="157"/>
      <c r="L1227" s="157"/>
      <c r="M1227" s="523"/>
      <c r="N1227" s="157"/>
      <c r="O1227" s="157"/>
    </row>
    <row r="1228" spans="3:15" ht="15" customHeight="1">
      <c r="C1228" s="498"/>
      <c r="D1228" s="256"/>
      <c r="E1228" s="195"/>
      <c r="F1228" s="157"/>
      <c r="G1228" s="157"/>
      <c r="H1228" s="157"/>
      <c r="I1228" s="157"/>
      <c r="J1228" s="157"/>
      <c r="K1228" s="157"/>
      <c r="L1228" s="157"/>
      <c r="M1228" s="523"/>
      <c r="N1228" s="157"/>
      <c r="O1228" s="157"/>
    </row>
    <row r="1229" spans="3:15" ht="15" customHeight="1">
      <c r="C1229" s="498"/>
      <c r="D1229" s="256"/>
      <c r="E1229" s="195"/>
      <c r="F1229" s="157"/>
      <c r="G1229" s="157"/>
      <c r="H1229" s="157"/>
      <c r="I1229" s="157"/>
      <c r="J1229" s="157"/>
      <c r="K1229" s="157"/>
      <c r="L1229" s="157"/>
      <c r="M1229" s="523"/>
      <c r="N1229" s="157"/>
      <c r="O1229" s="157"/>
    </row>
    <row r="1230" spans="3:15" ht="15" customHeight="1">
      <c r="C1230" s="498"/>
      <c r="D1230" s="256"/>
      <c r="E1230" s="195"/>
      <c r="F1230" s="157"/>
      <c r="G1230" s="157"/>
      <c r="H1230" s="157"/>
      <c r="I1230" s="157"/>
      <c r="J1230" s="157"/>
      <c r="K1230" s="157"/>
      <c r="L1230" s="157"/>
      <c r="M1230" s="523"/>
      <c r="N1230" s="157"/>
      <c r="O1230" s="157"/>
    </row>
    <row r="1231" spans="3:15" ht="15" customHeight="1">
      <c r="C1231" s="498"/>
      <c r="D1231" s="256"/>
      <c r="E1231" s="195"/>
      <c r="F1231" s="157"/>
      <c r="G1231" s="157"/>
      <c r="H1231" s="157"/>
      <c r="I1231" s="157"/>
      <c r="J1231" s="157"/>
      <c r="K1231" s="157"/>
      <c r="L1231" s="157"/>
      <c r="M1231" s="523"/>
      <c r="N1231" s="157"/>
      <c r="O1231" s="157"/>
    </row>
    <row r="1232" spans="3:15" ht="15" customHeight="1">
      <c r="C1232" s="498"/>
      <c r="D1232" s="256"/>
      <c r="E1232" s="195"/>
      <c r="F1232" s="157"/>
      <c r="G1232" s="157"/>
      <c r="H1232" s="157"/>
      <c r="I1232" s="157"/>
      <c r="J1232" s="157"/>
      <c r="K1232" s="157"/>
      <c r="L1232" s="157"/>
      <c r="M1232" s="523"/>
      <c r="N1232" s="157"/>
      <c r="O1232" s="157"/>
    </row>
    <row r="1233" spans="3:15" ht="15" customHeight="1">
      <c r="C1233" s="498"/>
      <c r="D1233" s="256"/>
      <c r="E1233" s="195"/>
      <c r="F1233" s="157"/>
      <c r="G1233" s="157"/>
      <c r="H1233" s="157"/>
      <c r="I1233" s="157"/>
      <c r="J1233" s="157"/>
      <c r="K1233" s="157"/>
      <c r="L1233" s="157"/>
      <c r="M1233" s="523"/>
      <c r="N1233" s="157"/>
      <c r="O1233" s="157"/>
    </row>
    <row r="1234" spans="3:15" ht="15" customHeight="1">
      <c r="C1234" s="498"/>
      <c r="D1234" s="256"/>
      <c r="E1234" s="195"/>
      <c r="F1234" s="157"/>
      <c r="G1234" s="157"/>
      <c r="H1234" s="157"/>
      <c r="I1234" s="157"/>
      <c r="J1234" s="157"/>
      <c r="K1234" s="157"/>
      <c r="L1234" s="157"/>
      <c r="M1234" s="523"/>
      <c r="N1234" s="157"/>
      <c r="O1234" s="157"/>
    </row>
    <row r="1235" spans="3:15" ht="15" customHeight="1">
      <c r="C1235" s="498"/>
      <c r="D1235" s="256"/>
      <c r="E1235" s="195"/>
      <c r="F1235" s="157"/>
      <c r="G1235" s="157"/>
      <c r="H1235" s="157"/>
      <c r="I1235" s="157"/>
      <c r="J1235" s="157"/>
      <c r="K1235" s="157"/>
      <c r="L1235" s="157"/>
      <c r="M1235" s="523"/>
      <c r="N1235" s="157"/>
      <c r="O1235" s="157"/>
    </row>
    <row r="1236" spans="3:15" ht="15" customHeight="1">
      <c r="C1236" s="498"/>
      <c r="D1236" s="256"/>
      <c r="E1236" s="195"/>
      <c r="F1236" s="157"/>
      <c r="G1236" s="157"/>
      <c r="H1236" s="157"/>
      <c r="I1236" s="157"/>
      <c r="J1236" s="157"/>
      <c r="K1236" s="157"/>
      <c r="L1236" s="157"/>
      <c r="M1236" s="523"/>
      <c r="N1236" s="157"/>
      <c r="O1236" s="157"/>
    </row>
    <row r="1237" spans="3:15" ht="15" customHeight="1">
      <c r="C1237" s="498"/>
      <c r="D1237" s="256"/>
      <c r="E1237" s="195"/>
      <c r="F1237" s="157"/>
      <c r="G1237" s="157"/>
      <c r="H1237" s="157"/>
      <c r="I1237" s="157"/>
      <c r="J1237" s="157"/>
      <c r="K1237" s="157"/>
      <c r="L1237" s="157"/>
      <c r="M1237" s="523"/>
      <c r="N1237" s="157"/>
      <c r="O1237" s="157"/>
    </row>
    <row r="1238" spans="3:15" ht="15" customHeight="1">
      <c r="C1238" s="498"/>
      <c r="D1238" s="256"/>
      <c r="E1238" s="195"/>
      <c r="F1238" s="157"/>
      <c r="G1238" s="157"/>
      <c r="H1238" s="157"/>
      <c r="I1238" s="157"/>
      <c r="J1238" s="157"/>
      <c r="K1238" s="157"/>
      <c r="L1238" s="157"/>
      <c r="M1238" s="523"/>
      <c r="N1238" s="157"/>
      <c r="O1238" s="157"/>
    </row>
    <row r="1239" spans="3:15" ht="15" customHeight="1">
      <c r="C1239" s="498"/>
      <c r="D1239" s="256"/>
      <c r="E1239" s="195"/>
      <c r="F1239" s="157"/>
      <c r="G1239" s="157"/>
      <c r="H1239" s="157"/>
      <c r="I1239" s="157"/>
      <c r="J1239" s="157"/>
      <c r="K1239" s="157"/>
      <c r="L1239" s="157"/>
      <c r="M1239" s="523"/>
      <c r="N1239" s="157"/>
      <c r="O1239" s="157"/>
    </row>
    <row r="1240" spans="3:15" ht="15" customHeight="1">
      <c r="C1240" s="498"/>
      <c r="D1240" s="256"/>
      <c r="E1240" s="195"/>
      <c r="F1240" s="157"/>
      <c r="G1240" s="157"/>
      <c r="H1240" s="157"/>
      <c r="I1240" s="157"/>
      <c r="J1240" s="157"/>
      <c r="K1240" s="157"/>
      <c r="L1240" s="157"/>
      <c r="M1240" s="523"/>
      <c r="N1240" s="157"/>
      <c r="O1240" s="157"/>
    </row>
    <row r="1241" spans="3:15" ht="15" customHeight="1">
      <c r="C1241" s="498"/>
      <c r="D1241" s="256"/>
      <c r="E1241" s="195"/>
      <c r="F1241" s="157"/>
      <c r="G1241" s="157"/>
      <c r="H1241" s="157"/>
      <c r="I1241" s="157"/>
      <c r="J1241" s="157"/>
      <c r="K1241" s="157"/>
      <c r="L1241" s="157"/>
      <c r="M1241" s="523"/>
      <c r="N1241" s="157"/>
      <c r="O1241" s="157"/>
    </row>
    <row r="1242" spans="3:15" ht="15" customHeight="1">
      <c r="C1242" s="498"/>
      <c r="D1242" s="256"/>
      <c r="E1242" s="195"/>
      <c r="F1242" s="157"/>
      <c r="G1242" s="157"/>
      <c r="H1242" s="157"/>
      <c r="I1242" s="157"/>
      <c r="J1242" s="157"/>
      <c r="K1242" s="157"/>
      <c r="L1242" s="157"/>
      <c r="M1242" s="523"/>
      <c r="N1242" s="157"/>
      <c r="O1242" s="157"/>
    </row>
    <row r="1243" spans="3:15" ht="15" customHeight="1">
      <c r="C1243" s="498"/>
      <c r="D1243" s="256"/>
      <c r="E1243" s="195"/>
      <c r="F1243" s="157"/>
      <c r="G1243" s="157"/>
      <c r="H1243" s="157"/>
      <c r="I1243" s="157"/>
      <c r="J1243" s="157"/>
      <c r="K1243" s="157"/>
      <c r="L1243" s="157"/>
      <c r="M1243" s="523"/>
      <c r="N1243" s="157"/>
      <c r="O1243" s="157"/>
    </row>
    <row r="1244" spans="3:15" ht="15" customHeight="1">
      <c r="C1244" s="498"/>
      <c r="D1244" s="256"/>
      <c r="E1244" s="195"/>
      <c r="F1244" s="157"/>
      <c r="G1244" s="157"/>
      <c r="H1244" s="157"/>
      <c r="I1244" s="157"/>
      <c r="J1244" s="157"/>
      <c r="K1244" s="157"/>
      <c r="L1244" s="157"/>
      <c r="M1244" s="523"/>
      <c r="N1244" s="157"/>
      <c r="O1244" s="157"/>
    </row>
    <row r="1245" spans="3:15" ht="15" customHeight="1">
      <c r="C1245" s="498"/>
      <c r="D1245" s="256"/>
      <c r="E1245" s="195"/>
      <c r="F1245" s="157"/>
      <c r="G1245" s="157"/>
      <c r="H1245" s="157"/>
      <c r="I1245" s="157"/>
      <c r="J1245" s="157"/>
      <c r="K1245" s="157"/>
      <c r="L1245" s="157"/>
      <c r="M1245" s="523"/>
      <c r="N1245" s="157"/>
      <c r="O1245" s="157"/>
    </row>
    <row r="1246" spans="3:15" ht="15" customHeight="1">
      <c r="C1246" s="498"/>
      <c r="D1246" s="256"/>
      <c r="E1246" s="195"/>
      <c r="F1246" s="157"/>
      <c r="G1246" s="157"/>
      <c r="H1246" s="157"/>
      <c r="I1246" s="157"/>
      <c r="J1246" s="157"/>
      <c r="K1246" s="157"/>
      <c r="L1246" s="157"/>
      <c r="M1246" s="523"/>
      <c r="N1246" s="157"/>
      <c r="O1246" s="157"/>
    </row>
    <row r="1247" spans="3:15" ht="15" customHeight="1">
      <c r="C1247" s="498"/>
      <c r="D1247" s="256"/>
      <c r="E1247" s="195"/>
      <c r="F1247" s="157"/>
      <c r="G1247" s="157"/>
      <c r="H1247" s="157"/>
      <c r="I1247" s="157"/>
      <c r="J1247" s="157"/>
      <c r="K1247" s="157"/>
      <c r="L1247" s="157"/>
      <c r="M1247" s="523"/>
      <c r="N1247" s="157"/>
      <c r="O1247" s="157"/>
    </row>
    <row r="1248" spans="3:15" ht="15" customHeight="1">
      <c r="C1248" s="498"/>
      <c r="D1248" s="256"/>
      <c r="E1248" s="195"/>
      <c r="F1248" s="157"/>
      <c r="G1248" s="157"/>
      <c r="H1248" s="157"/>
      <c r="I1248" s="157"/>
      <c r="J1248" s="157"/>
      <c r="K1248" s="157"/>
      <c r="L1248" s="157"/>
      <c r="M1248" s="523"/>
      <c r="N1248" s="157"/>
      <c r="O1248" s="157"/>
    </row>
    <row r="1249" spans="3:15" ht="15" customHeight="1">
      <c r="C1249" s="498"/>
      <c r="D1249" s="256"/>
      <c r="E1249" s="195"/>
      <c r="F1249" s="157"/>
      <c r="G1249" s="157"/>
      <c r="H1249" s="157"/>
      <c r="I1249" s="157"/>
      <c r="J1249" s="157"/>
      <c r="K1249" s="157"/>
      <c r="L1249" s="157"/>
      <c r="M1249" s="523"/>
      <c r="N1249" s="157"/>
      <c r="O1249" s="157"/>
    </row>
    <row r="1250" spans="3:15" ht="15" customHeight="1">
      <c r="C1250" s="498"/>
      <c r="D1250" s="256"/>
      <c r="E1250" s="195"/>
      <c r="F1250" s="157"/>
      <c r="G1250" s="157"/>
      <c r="H1250" s="157"/>
      <c r="I1250" s="157"/>
      <c r="J1250" s="157"/>
      <c r="K1250" s="157"/>
      <c r="L1250" s="157"/>
      <c r="M1250" s="523"/>
      <c r="N1250" s="157"/>
      <c r="O1250" s="157"/>
    </row>
    <row r="1251" spans="3:15" ht="15" customHeight="1">
      <c r="C1251" s="498"/>
      <c r="D1251" s="256"/>
      <c r="E1251" s="195"/>
      <c r="F1251" s="157"/>
      <c r="G1251" s="157"/>
      <c r="H1251" s="157"/>
      <c r="I1251" s="157"/>
      <c r="J1251" s="157"/>
      <c r="K1251" s="157"/>
      <c r="L1251" s="157"/>
      <c r="M1251" s="523"/>
      <c r="N1251" s="157"/>
      <c r="O1251" s="157"/>
    </row>
    <row r="1252" spans="3:15" ht="15" customHeight="1">
      <c r="C1252" s="498"/>
      <c r="D1252" s="256"/>
      <c r="E1252" s="195"/>
      <c r="F1252" s="157"/>
      <c r="G1252" s="157"/>
      <c r="H1252" s="157"/>
      <c r="I1252" s="157"/>
      <c r="J1252" s="157"/>
      <c r="K1252" s="157"/>
      <c r="L1252" s="157"/>
      <c r="M1252" s="523"/>
      <c r="N1252" s="157"/>
      <c r="O1252" s="157"/>
    </row>
    <row r="1253" spans="3:15" ht="15" customHeight="1">
      <c r="C1253" s="498"/>
      <c r="D1253" s="256"/>
      <c r="E1253" s="195"/>
      <c r="F1253" s="157"/>
      <c r="G1253" s="157"/>
      <c r="H1253" s="157"/>
      <c r="I1253" s="157"/>
      <c r="J1253" s="157"/>
      <c r="K1253" s="157"/>
      <c r="L1253" s="157"/>
      <c r="M1253" s="523"/>
      <c r="N1253" s="157"/>
      <c r="O1253" s="157"/>
    </row>
    <row r="1254" spans="3:15" ht="15" customHeight="1">
      <c r="C1254" s="498"/>
      <c r="D1254" s="256"/>
      <c r="E1254" s="195"/>
      <c r="F1254" s="157"/>
      <c r="G1254" s="157"/>
      <c r="H1254" s="157"/>
      <c r="I1254" s="157"/>
      <c r="J1254" s="157"/>
      <c r="K1254" s="157"/>
      <c r="L1254" s="157"/>
      <c r="M1254" s="523"/>
      <c r="N1254" s="157"/>
      <c r="O1254" s="157"/>
    </row>
    <row r="1255" spans="3:15" ht="15" customHeight="1">
      <c r="C1255" s="498"/>
      <c r="D1255" s="256"/>
      <c r="E1255" s="195"/>
      <c r="F1255" s="157"/>
      <c r="G1255" s="157"/>
      <c r="H1255" s="157"/>
      <c r="I1255" s="157"/>
      <c r="J1255" s="157"/>
      <c r="K1255" s="157"/>
      <c r="L1255" s="157"/>
      <c r="M1255" s="523"/>
      <c r="N1255" s="157"/>
      <c r="O1255" s="157"/>
    </row>
    <row r="1256" spans="3:15" ht="15" customHeight="1">
      <c r="C1256" s="498"/>
      <c r="D1256" s="256"/>
      <c r="E1256" s="195"/>
      <c r="F1256" s="157"/>
      <c r="G1256" s="157"/>
      <c r="H1256" s="157"/>
      <c r="I1256" s="157"/>
      <c r="J1256" s="157"/>
      <c r="K1256" s="157"/>
      <c r="L1256" s="157"/>
      <c r="M1256" s="523"/>
      <c r="N1256" s="157"/>
      <c r="O1256" s="157"/>
    </row>
    <row r="1257" spans="3:15" ht="15" customHeight="1">
      <c r="C1257" s="498"/>
      <c r="D1257" s="256"/>
      <c r="E1257" s="195"/>
      <c r="F1257" s="157"/>
      <c r="G1257" s="157"/>
      <c r="H1257" s="157"/>
      <c r="I1257" s="157"/>
      <c r="J1257" s="157"/>
      <c r="K1257" s="157"/>
      <c r="L1257" s="157"/>
      <c r="M1257" s="523"/>
      <c r="N1257" s="157"/>
      <c r="O1257" s="157"/>
    </row>
    <row r="1258" spans="3:15" ht="15" customHeight="1">
      <c r="C1258" s="498"/>
      <c r="D1258" s="256"/>
      <c r="E1258" s="195"/>
      <c r="F1258" s="157"/>
      <c r="G1258" s="157"/>
      <c r="H1258" s="157"/>
      <c r="I1258" s="157"/>
      <c r="J1258" s="157"/>
      <c r="K1258" s="157"/>
      <c r="L1258" s="157"/>
      <c r="M1258" s="523"/>
      <c r="N1258" s="157"/>
      <c r="O1258" s="157"/>
    </row>
    <row r="1259" spans="3:15" ht="15" customHeight="1">
      <c r="C1259" s="498"/>
      <c r="D1259" s="256"/>
      <c r="E1259" s="195"/>
      <c r="F1259" s="157"/>
      <c r="G1259" s="157"/>
      <c r="H1259" s="157"/>
      <c r="I1259" s="157"/>
      <c r="J1259" s="157"/>
      <c r="K1259" s="157"/>
      <c r="L1259" s="157"/>
      <c r="M1259" s="523"/>
      <c r="N1259" s="157"/>
      <c r="O1259" s="157"/>
    </row>
    <row r="1260" spans="3:15" ht="15" customHeight="1">
      <c r="C1260" s="498"/>
      <c r="D1260" s="256"/>
      <c r="E1260" s="195"/>
      <c r="F1260" s="157"/>
      <c r="G1260" s="157"/>
      <c r="H1260" s="157"/>
      <c r="I1260" s="157"/>
      <c r="J1260" s="157"/>
      <c r="K1260" s="157"/>
      <c r="L1260" s="157"/>
      <c r="M1260" s="523"/>
      <c r="N1260" s="157"/>
      <c r="O1260" s="157"/>
    </row>
    <row r="1261" spans="3:15" ht="15" customHeight="1">
      <c r="C1261" s="498"/>
      <c r="D1261" s="256"/>
      <c r="E1261" s="195"/>
      <c r="F1261" s="157"/>
      <c r="G1261" s="157"/>
      <c r="H1261" s="157"/>
      <c r="I1261" s="157"/>
      <c r="J1261" s="157"/>
      <c r="K1261" s="157"/>
      <c r="L1261" s="157"/>
      <c r="M1261" s="523"/>
      <c r="N1261" s="157"/>
      <c r="O1261" s="157"/>
    </row>
    <row r="1262" spans="3:15" ht="15" customHeight="1">
      <c r="C1262" s="498"/>
      <c r="D1262" s="256"/>
      <c r="E1262" s="195"/>
      <c r="F1262" s="157"/>
      <c r="G1262" s="157"/>
      <c r="H1262" s="157"/>
      <c r="I1262" s="157"/>
      <c r="J1262" s="157"/>
      <c r="K1262" s="157"/>
      <c r="L1262" s="157"/>
      <c r="M1262" s="523"/>
      <c r="N1262" s="157"/>
      <c r="O1262" s="157"/>
    </row>
    <row r="1263" spans="3:15" ht="15" customHeight="1">
      <c r="C1263" s="498"/>
      <c r="D1263" s="256"/>
      <c r="E1263" s="195"/>
      <c r="F1263" s="157"/>
      <c r="G1263" s="157"/>
      <c r="H1263" s="157"/>
      <c r="I1263" s="157"/>
      <c r="J1263" s="157"/>
      <c r="K1263" s="157"/>
      <c r="L1263" s="157"/>
      <c r="M1263" s="523"/>
      <c r="N1263" s="157"/>
      <c r="O1263" s="157"/>
    </row>
    <row r="1264" spans="3:15" ht="15" customHeight="1">
      <c r="C1264" s="498"/>
      <c r="D1264" s="256"/>
      <c r="E1264" s="195"/>
      <c r="F1264" s="157"/>
      <c r="G1264" s="157"/>
      <c r="H1264" s="157"/>
      <c r="I1264" s="157"/>
      <c r="J1264" s="157"/>
      <c r="K1264" s="157"/>
      <c r="L1264" s="157"/>
      <c r="M1264" s="523"/>
      <c r="N1264" s="157"/>
      <c r="O1264" s="157"/>
    </row>
    <row r="1265" spans="3:15" ht="15" customHeight="1">
      <c r="C1265" s="498"/>
      <c r="D1265" s="256"/>
      <c r="E1265" s="195"/>
      <c r="F1265" s="157"/>
      <c r="G1265" s="157"/>
      <c r="H1265" s="157"/>
      <c r="I1265" s="157"/>
      <c r="J1265" s="157"/>
      <c r="K1265" s="157"/>
      <c r="L1265" s="157"/>
      <c r="M1265" s="523"/>
      <c r="N1265" s="157"/>
      <c r="O1265" s="157"/>
    </row>
    <row r="1266" spans="3:15" ht="15" customHeight="1">
      <c r="C1266" s="498"/>
      <c r="D1266" s="256"/>
      <c r="E1266" s="195"/>
      <c r="F1266" s="157"/>
      <c r="G1266" s="157"/>
      <c r="H1266" s="157"/>
      <c r="I1266" s="157"/>
      <c r="J1266" s="157"/>
      <c r="K1266" s="157"/>
      <c r="L1266" s="157"/>
      <c r="M1266" s="523"/>
      <c r="N1266" s="157"/>
      <c r="O1266" s="157"/>
    </row>
    <row r="1267" spans="3:15" ht="15" customHeight="1">
      <c r="C1267" s="498"/>
      <c r="D1267" s="256"/>
      <c r="E1267" s="195"/>
      <c r="F1267" s="157"/>
      <c r="G1267" s="157"/>
      <c r="H1267" s="157"/>
      <c r="I1267" s="157"/>
      <c r="J1267" s="157"/>
      <c r="K1267" s="157"/>
      <c r="L1267" s="157"/>
      <c r="M1267" s="523"/>
      <c r="N1267" s="157"/>
      <c r="O1267" s="157"/>
    </row>
    <row r="1268" spans="3:15" ht="15" customHeight="1">
      <c r="C1268" s="498"/>
      <c r="D1268" s="256"/>
      <c r="E1268" s="195"/>
      <c r="F1268" s="157"/>
      <c r="G1268" s="157"/>
      <c r="H1268" s="157"/>
      <c r="I1268" s="157"/>
      <c r="J1268" s="157"/>
      <c r="K1268" s="157"/>
      <c r="L1268" s="157"/>
      <c r="M1268" s="523"/>
      <c r="N1268" s="157"/>
      <c r="O1268" s="157"/>
    </row>
    <row r="1269" spans="3:15" ht="15" customHeight="1">
      <c r="C1269" s="498"/>
      <c r="D1269" s="256"/>
      <c r="E1269" s="195"/>
      <c r="F1269" s="157"/>
      <c r="G1269" s="157"/>
      <c r="H1269" s="157"/>
      <c r="I1269" s="157"/>
      <c r="J1269" s="157"/>
      <c r="K1269" s="157"/>
      <c r="L1269" s="157"/>
      <c r="M1269" s="523"/>
      <c r="N1269" s="157"/>
      <c r="O1269" s="157"/>
    </row>
    <row r="1270" spans="3:15" ht="15" customHeight="1">
      <c r="C1270" s="498"/>
      <c r="D1270" s="256"/>
      <c r="E1270" s="195"/>
      <c r="F1270" s="157"/>
      <c r="G1270" s="157"/>
      <c r="H1270" s="157"/>
      <c r="I1270" s="157"/>
      <c r="J1270" s="157"/>
      <c r="K1270" s="157"/>
      <c r="L1270" s="157"/>
      <c r="M1270" s="523"/>
      <c r="N1270" s="157"/>
      <c r="O1270" s="157"/>
    </row>
    <row r="1271" spans="3:15" ht="15" customHeight="1">
      <c r="C1271" s="498"/>
      <c r="D1271" s="256"/>
      <c r="E1271" s="195"/>
      <c r="F1271" s="157"/>
      <c r="G1271" s="157"/>
      <c r="H1271" s="157"/>
      <c r="I1271" s="157"/>
      <c r="J1271" s="157"/>
      <c r="K1271" s="157"/>
      <c r="L1271" s="157"/>
      <c r="M1271" s="523"/>
      <c r="N1271" s="157"/>
      <c r="O1271" s="157"/>
    </row>
    <row r="1272" spans="3:15" ht="15" customHeight="1">
      <c r="C1272" s="498"/>
      <c r="D1272" s="256"/>
      <c r="E1272" s="195"/>
      <c r="F1272" s="157"/>
      <c r="G1272" s="157"/>
      <c r="H1272" s="157"/>
      <c r="I1272" s="157"/>
      <c r="J1272" s="157"/>
      <c r="K1272" s="157"/>
      <c r="L1272" s="157"/>
      <c r="M1272" s="523"/>
      <c r="N1272" s="157"/>
      <c r="O1272" s="157"/>
    </row>
    <row r="1273" spans="3:15" ht="15" customHeight="1">
      <c r="C1273" s="498"/>
      <c r="D1273" s="256"/>
      <c r="E1273" s="195"/>
      <c r="F1273" s="157"/>
      <c r="G1273" s="157"/>
      <c r="H1273" s="157"/>
      <c r="I1273" s="157"/>
      <c r="J1273" s="157"/>
      <c r="K1273" s="157"/>
      <c r="L1273" s="157"/>
      <c r="M1273" s="523"/>
      <c r="N1273" s="157"/>
      <c r="O1273" s="157"/>
    </row>
    <row r="1274" spans="3:15" ht="15" customHeight="1">
      <c r="C1274" s="498"/>
      <c r="D1274" s="256"/>
      <c r="E1274" s="195"/>
      <c r="F1274" s="157"/>
      <c r="G1274" s="157"/>
      <c r="H1274" s="157"/>
      <c r="I1274" s="157"/>
      <c r="J1274" s="157"/>
      <c r="K1274" s="157"/>
      <c r="L1274" s="157"/>
      <c r="M1274" s="523"/>
      <c r="N1274" s="157"/>
      <c r="O1274" s="157"/>
    </row>
    <row r="1275" spans="3:15" ht="15" customHeight="1">
      <c r="C1275" s="498"/>
      <c r="D1275" s="256"/>
      <c r="E1275" s="195"/>
      <c r="F1275" s="157"/>
      <c r="G1275" s="157"/>
      <c r="H1275" s="157"/>
      <c r="I1275" s="157"/>
      <c r="J1275" s="157"/>
      <c r="K1275" s="157"/>
      <c r="L1275" s="157"/>
      <c r="M1275" s="523"/>
      <c r="N1275" s="157"/>
      <c r="O1275" s="157"/>
    </row>
    <row r="1276" spans="3:15" ht="15" customHeight="1">
      <c r="C1276" s="498"/>
      <c r="D1276" s="256"/>
      <c r="E1276" s="195"/>
      <c r="F1276" s="157"/>
      <c r="G1276" s="157"/>
      <c r="H1276" s="157"/>
      <c r="I1276" s="157"/>
      <c r="J1276" s="157"/>
      <c r="K1276" s="157"/>
      <c r="L1276" s="157"/>
      <c r="M1276" s="523"/>
      <c r="N1276" s="157"/>
      <c r="O1276" s="157"/>
    </row>
    <row r="1277" spans="3:15" ht="15" customHeight="1">
      <c r="C1277" s="498"/>
      <c r="D1277" s="256"/>
      <c r="E1277" s="195"/>
      <c r="F1277" s="157"/>
      <c r="G1277" s="157"/>
      <c r="H1277" s="157"/>
      <c r="I1277" s="157"/>
      <c r="J1277" s="157"/>
      <c r="K1277" s="157"/>
      <c r="L1277" s="157"/>
      <c r="M1277" s="523"/>
      <c r="N1277" s="157"/>
      <c r="O1277" s="157"/>
    </row>
    <row r="1278" spans="3:15" ht="15" customHeight="1">
      <c r="C1278" s="498"/>
      <c r="D1278" s="256"/>
      <c r="E1278" s="195"/>
      <c r="F1278" s="157"/>
      <c r="G1278" s="157"/>
      <c r="H1278" s="157"/>
      <c r="I1278" s="157"/>
      <c r="J1278" s="157"/>
      <c r="K1278" s="157"/>
      <c r="L1278" s="157"/>
      <c r="M1278" s="523"/>
      <c r="N1278" s="157"/>
      <c r="O1278" s="157"/>
    </row>
    <row r="1279" spans="3:15" ht="15" customHeight="1">
      <c r="C1279" s="498"/>
      <c r="D1279" s="256"/>
      <c r="E1279" s="195"/>
      <c r="F1279" s="157"/>
      <c r="G1279" s="157"/>
      <c r="H1279" s="157"/>
      <c r="I1279" s="157"/>
      <c r="J1279" s="157"/>
      <c r="K1279" s="157"/>
      <c r="L1279" s="157"/>
      <c r="M1279" s="523"/>
      <c r="N1279" s="157"/>
      <c r="O1279" s="157"/>
    </row>
    <row r="1280" spans="3:15" ht="15" customHeight="1">
      <c r="C1280" s="498"/>
      <c r="D1280" s="256"/>
      <c r="E1280" s="195"/>
      <c r="F1280" s="157"/>
      <c r="G1280" s="157"/>
      <c r="H1280" s="157"/>
      <c r="I1280" s="157"/>
      <c r="J1280" s="157"/>
      <c r="K1280" s="157"/>
      <c r="L1280" s="157"/>
      <c r="M1280" s="523"/>
      <c r="N1280" s="157"/>
      <c r="O1280" s="157"/>
    </row>
    <row r="1281" spans="3:15" ht="15" customHeight="1">
      <c r="C1281" s="498"/>
      <c r="D1281" s="256"/>
      <c r="E1281" s="195"/>
      <c r="F1281" s="157"/>
      <c r="G1281" s="157"/>
      <c r="H1281" s="157"/>
      <c r="I1281" s="157"/>
      <c r="J1281" s="157"/>
      <c r="K1281" s="157"/>
      <c r="L1281" s="157"/>
      <c r="M1281" s="523"/>
      <c r="N1281" s="157"/>
      <c r="O1281" s="157"/>
    </row>
    <row r="1282" spans="3:15" ht="15" customHeight="1">
      <c r="C1282" s="498"/>
      <c r="D1282" s="256"/>
      <c r="E1282" s="195"/>
      <c r="F1282" s="157"/>
      <c r="G1282" s="157"/>
      <c r="H1282" s="157"/>
      <c r="I1282" s="157"/>
      <c r="J1282" s="157"/>
      <c r="K1282" s="157"/>
      <c r="L1282" s="157"/>
      <c r="M1282" s="523"/>
      <c r="N1282" s="157"/>
      <c r="O1282" s="157"/>
    </row>
    <row r="1283" spans="3:15" ht="15" customHeight="1">
      <c r="C1283" s="498"/>
      <c r="D1283" s="256"/>
      <c r="E1283" s="195"/>
      <c r="F1283" s="157"/>
      <c r="G1283" s="157"/>
      <c r="H1283" s="157"/>
      <c r="I1283" s="157"/>
      <c r="J1283" s="157"/>
      <c r="K1283" s="157"/>
      <c r="L1283" s="157"/>
      <c r="M1283" s="523"/>
      <c r="N1283" s="157"/>
      <c r="O1283" s="157"/>
    </row>
    <row r="1284" spans="3:15" ht="15" customHeight="1">
      <c r="C1284" s="498"/>
      <c r="D1284" s="256"/>
      <c r="E1284" s="195"/>
      <c r="F1284" s="157"/>
      <c r="G1284" s="157"/>
      <c r="H1284" s="157"/>
      <c r="I1284" s="157"/>
      <c r="J1284" s="157"/>
      <c r="K1284" s="157"/>
      <c r="L1284" s="157"/>
      <c r="M1284" s="523"/>
      <c r="N1284" s="157"/>
      <c r="O1284" s="157"/>
    </row>
    <row r="1285" spans="3:15" ht="15" customHeight="1">
      <c r="C1285" s="498"/>
      <c r="D1285" s="256"/>
      <c r="E1285" s="195"/>
      <c r="F1285" s="157"/>
      <c r="G1285" s="157"/>
      <c r="H1285" s="157"/>
      <c r="I1285" s="157"/>
      <c r="J1285" s="157"/>
      <c r="K1285" s="157"/>
      <c r="L1285" s="157"/>
      <c r="M1285" s="523"/>
      <c r="N1285" s="157"/>
      <c r="O1285" s="157"/>
    </row>
    <row r="1286" spans="3:15" ht="15" customHeight="1">
      <c r="C1286" s="498"/>
      <c r="D1286" s="256"/>
      <c r="E1286" s="195"/>
      <c r="F1286" s="157"/>
      <c r="G1286" s="157"/>
      <c r="H1286" s="157"/>
      <c r="I1286" s="157"/>
      <c r="J1286" s="157"/>
      <c r="K1286" s="157"/>
      <c r="L1286" s="157"/>
      <c r="M1286" s="523"/>
      <c r="N1286" s="157"/>
      <c r="O1286" s="157"/>
    </row>
    <row r="1287" spans="3:15" ht="15" customHeight="1">
      <c r="C1287" s="498"/>
      <c r="D1287" s="256"/>
      <c r="E1287" s="195"/>
      <c r="F1287" s="157"/>
      <c r="G1287" s="157"/>
      <c r="H1287" s="157"/>
      <c r="I1287" s="157"/>
      <c r="J1287" s="157"/>
      <c r="K1287" s="157"/>
      <c r="L1287" s="157"/>
      <c r="M1287" s="523"/>
      <c r="N1287" s="157"/>
      <c r="O1287" s="157"/>
    </row>
    <row r="1288" spans="3:15" ht="15" customHeight="1">
      <c r="C1288" s="498"/>
      <c r="D1288" s="256"/>
      <c r="E1288" s="195"/>
      <c r="F1288" s="157"/>
      <c r="G1288" s="157"/>
      <c r="H1288" s="157"/>
      <c r="I1288" s="157"/>
      <c r="J1288" s="157"/>
      <c r="K1288" s="157"/>
      <c r="L1288" s="157"/>
      <c r="M1288" s="523"/>
      <c r="N1288" s="157"/>
      <c r="O1288" s="157"/>
    </row>
    <row r="1289" spans="3:15" ht="15" customHeight="1">
      <c r="C1289" s="498"/>
      <c r="D1289" s="256"/>
      <c r="E1289" s="195"/>
      <c r="F1289" s="157"/>
      <c r="G1289" s="157"/>
      <c r="H1289" s="157"/>
      <c r="I1289" s="157"/>
      <c r="J1289" s="157"/>
      <c r="K1289" s="157"/>
      <c r="L1289" s="157"/>
      <c r="M1289" s="523"/>
      <c r="N1289" s="157"/>
      <c r="O1289" s="157"/>
    </row>
    <row r="1290" spans="3:15" ht="15" customHeight="1">
      <c r="C1290" s="498"/>
      <c r="D1290" s="256"/>
      <c r="E1290" s="195"/>
      <c r="F1290" s="157"/>
      <c r="G1290" s="157"/>
      <c r="H1290" s="157"/>
      <c r="I1290" s="157"/>
      <c r="J1290" s="157"/>
      <c r="K1290" s="157"/>
      <c r="L1290" s="157"/>
      <c r="M1290" s="523"/>
      <c r="N1290" s="157"/>
      <c r="O1290" s="157"/>
    </row>
    <row r="1291" spans="3:15" ht="15" customHeight="1">
      <c r="C1291" s="498"/>
      <c r="D1291" s="256"/>
      <c r="E1291" s="195"/>
      <c r="F1291" s="157"/>
      <c r="G1291" s="157"/>
      <c r="H1291" s="157"/>
      <c r="I1291" s="157"/>
      <c r="J1291" s="157"/>
      <c r="K1291" s="157"/>
      <c r="L1291" s="157"/>
      <c r="M1291" s="523"/>
      <c r="N1291" s="157"/>
      <c r="O1291" s="157"/>
    </row>
    <row r="1292" spans="3:15" ht="15" customHeight="1">
      <c r="C1292" s="498"/>
      <c r="D1292" s="256"/>
      <c r="E1292" s="195"/>
      <c r="F1292" s="157"/>
      <c r="G1292" s="157"/>
      <c r="H1292" s="157"/>
      <c r="I1292" s="157"/>
      <c r="J1292" s="157"/>
      <c r="K1292" s="157"/>
      <c r="L1292" s="157"/>
      <c r="M1292" s="523"/>
      <c r="N1292" s="157"/>
      <c r="O1292" s="157"/>
    </row>
    <row r="1293" spans="3:15" ht="15" customHeight="1">
      <c r="C1293" s="498"/>
      <c r="D1293" s="256"/>
      <c r="E1293" s="195"/>
      <c r="F1293" s="157"/>
      <c r="G1293" s="157"/>
      <c r="H1293" s="157"/>
      <c r="I1293" s="157"/>
      <c r="J1293" s="157"/>
      <c r="K1293" s="157"/>
      <c r="L1293" s="157"/>
      <c r="M1293" s="523"/>
      <c r="N1293" s="157"/>
      <c r="O1293" s="157"/>
    </row>
    <row r="1294" spans="3:15" ht="15" customHeight="1">
      <c r="C1294" s="498"/>
      <c r="D1294" s="256"/>
      <c r="E1294" s="195"/>
      <c r="F1294" s="157"/>
      <c r="G1294" s="157"/>
      <c r="H1294" s="157"/>
      <c r="I1294" s="157"/>
      <c r="J1294" s="157"/>
      <c r="K1294" s="157"/>
      <c r="L1294" s="157"/>
      <c r="M1294" s="523"/>
      <c r="N1294" s="157"/>
      <c r="O1294" s="157"/>
    </row>
    <row r="1295" spans="3:15" ht="15" customHeight="1">
      <c r="C1295" s="498"/>
      <c r="D1295" s="256"/>
      <c r="E1295" s="195"/>
      <c r="F1295" s="157"/>
      <c r="G1295" s="157"/>
      <c r="H1295" s="157"/>
      <c r="I1295" s="157"/>
      <c r="J1295" s="157"/>
      <c r="K1295" s="157"/>
      <c r="L1295" s="157"/>
      <c r="M1295" s="523"/>
      <c r="N1295" s="157"/>
      <c r="O1295" s="157"/>
    </row>
    <row r="1296" spans="3:15" ht="15" customHeight="1">
      <c r="C1296" s="498"/>
      <c r="D1296" s="256"/>
      <c r="E1296" s="195"/>
      <c r="F1296" s="157"/>
      <c r="G1296" s="157"/>
      <c r="H1296" s="157"/>
      <c r="I1296" s="157"/>
      <c r="J1296" s="157"/>
      <c r="K1296" s="157"/>
      <c r="L1296" s="157"/>
      <c r="M1296" s="523"/>
      <c r="N1296" s="157"/>
      <c r="O1296" s="157"/>
    </row>
    <row r="1297" spans="3:15" ht="15" customHeight="1">
      <c r="C1297" s="498"/>
      <c r="D1297" s="256"/>
      <c r="E1297" s="195"/>
      <c r="F1297" s="157"/>
      <c r="G1297" s="157"/>
      <c r="H1297" s="157"/>
      <c r="I1297" s="157"/>
      <c r="J1297" s="157"/>
      <c r="K1297" s="157"/>
      <c r="L1297" s="157"/>
      <c r="M1297" s="523"/>
      <c r="N1297" s="157"/>
      <c r="O1297" s="157"/>
    </row>
    <row r="1298" spans="3:15" ht="15" customHeight="1">
      <c r="C1298" s="498"/>
      <c r="D1298" s="256"/>
      <c r="E1298" s="195"/>
      <c r="F1298" s="157"/>
      <c r="G1298" s="157"/>
      <c r="H1298" s="157"/>
      <c r="I1298" s="157"/>
      <c r="J1298" s="157"/>
      <c r="K1298" s="157"/>
      <c r="L1298" s="157"/>
      <c r="M1298" s="523"/>
      <c r="N1298" s="157"/>
      <c r="O1298" s="157"/>
    </row>
    <row r="1299" spans="3:15" ht="15" customHeight="1">
      <c r="C1299" s="498"/>
      <c r="D1299" s="256"/>
      <c r="E1299" s="195"/>
      <c r="F1299" s="157"/>
      <c r="G1299" s="157"/>
      <c r="H1299" s="157"/>
      <c r="I1299" s="157"/>
      <c r="J1299" s="157"/>
      <c r="K1299" s="157"/>
      <c r="L1299" s="157"/>
      <c r="M1299" s="523"/>
      <c r="N1299" s="157"/>
      <c r="O1299" s="157"/>
    </row>
    <row r="1300" spans="3:15" ht="15" customHeight="1">
      <c r="C1300" s="498"/>
      <c r="D1300" s="256"/>
      <c r="E1300" s="195"/>
      <c r="F1300" s="157"/>
      <c r="G1300" s="157"/>
      <c r="H1300" s="157"/>
      <c r="I1300" s="157"/>
      <c r="J1300" s="157"/>
      <c r="K1300" s="157"/>
      <c r="L1300" s="157"/>
      <c r="M1300" s="523"/>
      <c r="N1300" s="157"/>
      <c r="O1300" s="157"/>
    </row>
    <row r="1301" spans="3:15" ht="15" customHeight="1">
      <c r="C1301" s="498"/>
      <c r="D1301" s="256"/>
      <c r="E1301" s="195"/>
      <c r="F1301" s="157"/>
      <c r="G1301" s="157"/>
      <c r="H1301" s="157"/>
      <c r="I1301" s="157"/>
      <c r="J1301" s="157"/>
      <c r="K1301" s="157"/>
      <c r="L1301" s="157"/>
      <c r="M1301" s="523"/>
      <c r="N1301" s="157"/>
      <c r="O1301" s="157"/>
    </row>
    <row r="1302" spans="3:15" ht="15" customHeight="1">
      <c r="C1302" s="498"/>
      <c r="D1302" s="256"/>
      <c r="E1302" s="195"/>
      <c r="F1302" s="157"/>
      <c r="G1302" s="157"/>
      <c r="H1302" s="157"/>
      <c r="I1302" s="157"/>
      <c r="J1302" s="157"/>
      <c r="K1302" s="157"/>
      <c r="L1302" s="157"/>
      <c r="M1302" s="523"/>
      <c r="N1302" s="157"/>
      <c r="O1302" s="157"/>
    </row>
    <row r="1303" spans="3:15" ht="15" customHeight="1">
      <c r="C1303" s="498"/>
      <c r="D1303" s="256"/>
      <c r="E1303" s="195"/>
      <c r="F1303" s="157"/>
      <c r="G1303" s="157"/>
      <c r="H1303" s="157"/>
      <c r="I1303" s="157"/>
      <c r="J1303" s="157"/>
      <c r="K1303" s="157"/>
      <c r="L1303" s="157"/>
      <c r="M1303" s="523"/>
      <c r="N1303" s="157"/>
      <c r="O1303" s="157"/>
    </row>
    <row r="1304" spans="3:15" ht="15" customHeight="1">
      <c r="C1304" s="498"/>
      <c r="D1304" s="256"/>
      <c r="E1304" s="195"/>
      <c r="F1304" s="157"/>
      <c r="G1304" s="157"/>
      <c r="H1304" s="157"/>
      <c r="I1304" s="157"/>
      <c r="J1304" s="157"/>
      <c r="K1304" s="157"/>
      <c r="L1304" s="157"/>
      <c r="M1304" s="523"/>
      <c r="N1304" s="157"/>
      <c r="O1304" s="157"/>
    </row>
    <row r="1305" spans="3:15" ht="15" customHeight="1">
      <c r="C1305" s="498"/>
      <c r="D1305" s="256"/>
      <c r="E1305" s="195"/>
      <c r="F1305" s="157"/>
      <c r="G1305" s="157"/>
      <c r="H1305" s="157"/>
      <c r="I1305" s="157"/>
      <c r="J1305" s="157"/>
      <c r="K1305" s="157"/>
      <c r="L1305" s="157"/>
      <c r="M1305" s="523"/>
      <c r="N1305" s="157"/>
      <c r="O1305" s="157"/>
    </row>
    <row r="1306" spans="3:15" ht="15" customHeight="1">
      <c r="C1306" s="498"/>
      <c r="D1306" s="256"/>
      <c r="E1306" s="195"/>
      <c r="F1306" s="157"/>
      <c r="G1306" s="157"/>
      <c r="H1306" s="157"/>
      <c r="I1306" s="157"/>
      <c r="J1306" s="157"/>
      <c r="K1306" s="157"/>
      <c r="L1306" s="157"/>
      <c r="M1306" s="523"/>
      <c r="N1306" s="157"/>
      <c r="O1306" s="157"/>
    </row>
    <row r="1307" spans="3:15" ht="15" customHeight="1">
      <c r="C1307" s="498"/>
      <c r="D1307" s="256"/>
      <c r="E1307" s="195"/>
      <c r="F1307" s="157"/>
      <c r="G1307" s="157"/>
      <c r="H1307" s="157"/>
      <c r="I1307" s="157"/>
      <c r="J1307" s="157"/>
      <c r="K1307" s="157"/>
      <c r="L1307" s="157"/>
      <c r="M1307" s="523"/>
      <c r="N1307" s="157"/>
      <c r="O1307" s="157"/>
    </row>
    <row r="1308" spans="3:15" ht="15" customHeight="1">
      <c r="C1308" s="498"/>
      <c r="D1308" s="256"/>
      <c r="E1308" s="195"/>
      <c r="F1308" s="157"/>
      <c r="G1308" s="157"/>
      <c r="H1308" s="157"/>
      <c r="I1308" s="157"/>
      <c r="J1308" s="157"/>
      <c r="K1308" s="157"/>
      <c r="L1308" s="157"/>
      <c r="M1308" s="523"/>
      <c r="N1308" s="157"/>
      <c r="O1308" s="157"/>
    </row>
    <row r="1309" spans="3:15" ht="15" customHeight="1">
      <c r="C1309" s="498"/>
      <c r="D1309" s="256"/>
      <c r="E1309" s="195"/>
      <c r="F1309" s="157"/>
      <c r="G1309" s="157"/>
      <c r="H1309" s="157"/>
      <c r="I1309" s="157"/>
      <c r="J1309" s="157"/>
      <c r="K1309" s="157"/>
      <c r="L1309" s="157"/>
      <c r="M1309" s="523"/>
      <c r="N1309" s="157"/>
      <c r="O1309" s="157"/>
    </row>
    <row r="1310" spans="3:15" ht="15" customHeight="1">
      <c r="C1310" s="498"/>
      <c r="D1310" s="256"/>
      <c r="E1310" s="195"/>
      <c r="F1310" s="157"/>
      <c r="G1310" s="157"/>
      <c r="H1310" s="157"/>
      <c r="I1310" s="157"/>
      <c r="J1310" s="157"/>
      <c r="K1310" s="157"/>
      <c r="L1310" s="157"/>
      <c r="M1310" s="523"/>
      <c r="N1310" s="157"/>
      <c r="O1310" s="157"/>
    </row>
    <row r="1311" spans="3:15" ht="15" customHeight="1">
      <c r="C1311" s="498"/>
      <c r="D1311" s="256"/>
      <c r="E1311" s="195"/>
      <c r="F1311" s="157"/>
      <c r="G1311" s="157"/>
      <c r="H1311" s="157"/>
      <c r="I1311" s="157"/>
      <c r="J1311" s="157"/>
      <c r="K1311" s="157"/>
      <c r="L1311" s="157"/>
      <c r="M1311" s="523"/>
      <c r="N1311" s="157"/>
      <c r="O1311" s="157"/>
    </row>
    <row r="1312" spans="3:15" ht="15" customHeight="1">
      <c r="C1312" s="498"/>
      <c r="D1312" s="256"/>
      <c r="E1312" s="195"/>
      <c r="F1312" s="157"/>
      <c r="G1312" s="157"/>
      <c r="H1312" s="157"/>
      <c r="I1312" s="157"/>
      <c r="J1312" s="157"/>
      <c r="K1312" s="157"/>
      <c r="L1312" s="157"/>
      <c r="M1312" s="523"/>
      <c r="N1312" s="157"/>
      <c r="O1312" s="157"/>
    </row>
    <row r="1313" spans="3:15" ht="15" customHeight="1">
      <c r="C1313" s="498"/>
      <c r="D1313" s="256"/>
      <c r="E1313" s="195"/>
      <c r="F1313" s="157"/>
      <c r="G1313" s="157"/>
      <c r="H1313" s="157"/>
      <c r="I1313" s="157"/>
      <c r="J1313" s="157"/>
      <c r="K1313" s="157"/>
      <c r="L1313" s="157"/>
      <c r="M1313" s="523"/>
      <c r="N1313" s="157"/>
      <c r="O1313" s="157"/>
    </row>
    <row r="1314" spans="3:15" ht="15" customHeight="1">
      <c r="C1314" s="498"/>
      <c r="D1314" s="256"/>
      <c r="E1314" s="195"/>
      <c r="F1314" s="157"/>
      <c r="G1314" s="157"/>
      <c r="H1314" s="157"/>
      <c r="I1314" s="157"/>
      <c r="J1314" s="157"/>
      <c r="K1314" s="157"/>
      <c r="L1314" s="157"/>
      <c r="M1314" s="523"/>
      <c r="N1314" s="157"/>
      <c r="O1314" s="157"/>
    </row>
    <row r="1315" spans="3:15" ht="15" customHeight="1">
      <c r="C1315" s="498"/>
      <c r="D1315" s="256"/>
      <c r="E1315" s="195"/>
      <c r="F1315" s="157"/>
      <c r="G1315" s="157"/>
      <c r="H1315" s="157"/>
      <c r="I1315" s="157"/>
      <c r="J1315" s="157"/>
      <c r="K1315" s="157"/>
      <c r="L1315" s="157"/>
      <c r="M1315" s="523"/>
      <c r="N1315" s="157"/>
      <c r="O1315" s="157"/>
    </row>
    <row r="1316" spans="3:15" ht="15" customHeight="1">
      <c r="C1316" s="498"/>
      <c r="D1316" s="256"/>
      <c r="E1316" s="195"/>
      <c r="F1316" s="157"/>
      <c r="G1316" s="157"/>
      <c r="H1316" s="157"/>
      <c r="I1316" s="157"/>
      <c r="J1316" s="157"/>
      <c r="K1316" s="157"/>
      <c r="L1316" s="157"/>
      <c r="M1316" s="523"/>
      <c r="N1316" s="157"/>
      <c r="O1316" s="157"/>
    </row>
    <row r="1317" spans="3:15" ht="15" customHeight="1">
      <c r="C1317" s="498"/>
      <c r="D1317" s="256"/>
      <c r="E1317" s="195"/>
      <c r="F1317" s="157"/>
      <c r="G1317" s="157"/>
      <c r="H1317" s="157"/>
      <c r="I1317" s="157"/>
      <c r="J1317" s="157"/>
      <c r="K1317" s="157"/>
      <c r="L1317" s="157"/>
      <c r="M1317" s="523"/>
      <c r="N1317" s="157"/>
      <c r="O1317" s="157"/>
    </row>
    <row r="1318" spans="3:15" ht="15" customHeight="1">
      <c r="C1318" s="498"/>
      <c r="D1318" s="256"/>
      <c r="E1318" s="195"/>
      <c r="F1318" s="157"/>
      <c r="G1318" s="157"/>
      <c r="H1318" s="157"/>
      <c r="I1318" s="157"/>
      <c r="J1318" s="157"/>
      <c r="K1318" s="157"/>
      <c r="L1318" s="157"/>
      <c r="M1318" s="523"/>
      <c r="N1318" s="157"/>
      <c r="O1318" s="157"/>
    </row>
    <row r="1319" spans="3:15" ht="15" customHeight="1">
      <c r="C1319" s="498"/>
      <c r="D1319" s="256"/>
      <c r="E1319" s="195"/>
      <c r="F1319" s="157"/>
      <c r="G1319" s="157"/>
      <c r="H1319" s="157"/>
      <c r="I1319" s="157"/>
      <c r="J1319" s="157"/>
      <c r="K1319" s="157"/>
      <c r="L1319" s="157"/>
      <c r="M1319" s="523"/>
      <c r="N1319" s="157"/>
      <c r="O1319" s="157"/>
    </row>
    <row r="1320" spans="3:15" ht="15" customHeight="1">
      <c r="C1320" s="498"/>
      <c r="D1320" s="256"/>
      <c r="E1320" s="195"/>
      <c r="F1320" s="157"/>
      <c r="G1320" s="157"/>
      <c r="H1320" s="157"/>
      <c r="I1320" s="157"/>
      <c r="J1320" s="157"/>
      <c r="K1320" s="157"/>
      <c r="L1320" s="157"/>
      <c r="M1320" s="523"/>
      <c r="N1320" s="157"/>
      <c r="O1320" s="157"/>
    </row>
    <row r="1321" spans="3:15" ht="15" customHeight="1">
      <c r="C1321" s="498"/>
      <c r="D1321" s="256"/>
      <c r="E1321" s="195"/>
      <c r="F1321" s="157"/>
      <c r="G1321" s="157"/>
      <c r="H1321" s="157"/>
      <c r="I1321" s="157"/>
      <c r="J1321" s="157"/>
      <c r="K1321" s="157"/>
      <c r="L1321" s="157"/>
      <c r="M1321" s="523"/>
      <c r="N1321" s="157"/>
      <c r="O1321" s="157"/>
    </row>
    <row r="1322" spans="3:15" ht="15" customHeight="1">
      <c r="C1322" s="498"/>
      <c r="D1322" s="256"/>
      <c r="E1322" s="195"/>
      <c r="F1322" s="157"/>
      <c r="G1322" s="157"/>
      <c r="H1322" s="157"/>
      <c r="I1322" s="157"/>
      <c r="J1322" s="157"/>
      <c r="K1322" s="157"/>
      <c r="L1322" s="157"/>
      <c r="M1322" s="523"/>
      <c r="N1322" s="157"/>
      <c r="O1322" s="157"/>
    </row>
    <row r="1323" spans="3:15" ht="15" customHeight="1">
      <c r="C1323" s="498"/>
      <c r="D1323" s="256"/>
      <c r="E1323" s="195"/>
      <c r="F1323" s="157"/>
      <c r="G1323" s="157"/>
      <c r="H1323" s="157"/>
      <c r="I1323" s="157"/>
      <c r="J1323" s="157"/>
      <c r="K1323" s="157"/>
      <c r="L1323" s="157"/>
      <c r="M1323" s="523"/>
      <c r="N1323" s="157"/>
      <c r="O1323" s="157"/>
    </row>
    <row r="1324" spans="3:15" ht="15" customHeight="1">
      <c r="C1324" s="498"/>
      <c r="D1324" s="256"/>
      <c r="E1324" s="195"/>
      <c r="F1324" s="157"/>
      <c r="G1324" s="157"/>
      <c r="H1324" s="157"/>
      <c r="I1324" s="157"/>
      <c r="J1324" s="157"/>
      <c r="K1324" s="157"/>
      <c r="L1324" s="157"/>
      <c r="M1324" s="523"/>
      <c r="N1324" s="157"/>
      <c r="O1324" s="157"/>
    </row>
    <row r="1325" spans="3:15" ht="15" customHeight="1">
      <c r="C1325" s="498"/>
      <c r="D1325" s="256"/>
      <c r="E1325" s="195"/>
      <c r="F1325" s="157"/>
      <c r="G1325" s="157"/>
      <c r="H1325" s="157"/>
      <c r="I1325" s="157"/>
      <c r="J1325" s="157"/>
      <c r="K1325" s="157"/>
      <c r="L1325" s="157"/>
      <c r="M1325" s="523"/>
      <c r="N1325" s="157"/>
      <c r="O1325" s="157"/>
    </row>
    <row r="1326" spans="3:15" ht="15" customHeight="1">
      <c r="C1326" s="498"/>
      <c r="D1326" s="256"/>
      <c r="E1326" s="195"/>
      <c r="F1326" s="157"/>
      <c r="G1326" s="157"/>
      <c r="H1326" s="157"/>
      <c r="I1326" s="157"/>
      <c r="J1326" s="157"/>
      <c r="K1326" s="157"/>
      <c r="L1326" s="157"/>
      <c r="M1326" s="523"/>
      <c r="N1326" s="157"/>
      <c r="O1326" s="157"/>
    </row>
    <row r="1327" spans="3:15" ht="15" customHeight="1">
      <c r="C1327" s="498"/>
      <c r="D1327" s="256"/>
      <c r="E1327" s="195"/>
      <c r="F1327" s="157"/>
      <c r="G1327" s="157"/>
      <c r="H1327" s="157"/>
      <c r="I1327" s="157"/>
      <c r="J1327" s="157"/>
      <c r="K1327" s="157"/>
      <c r="L1327" s="157"/>
      <c r="M1327" s="523"/>
      <c r="N1327" s="157"/>
      <c r="O1327" s="157"/>
    </row>
    <row r="1328" spans="3:15" ht="15" customHeight="1">
      <c r="C1328" s="498"/>
      <c r="D1328" s="256"/>
      <c r="E1328" s="195"/>
      <c r="F1328" s="157"/>
      <c r="G1328" s="157"/>
      <c r="H1328" s="157"/>
      <c r="I1328" s="157"/>
      <c r="J1328" s="157"/>
      <c r="K1328" s="157"/>
      <c r="L1328" s="157"/>
      <c r="M1328" s="523"/>
      <c r="N1328" s="157"/>
      <c r="O1328" s="157"/>
    </row>
    <row r="1329" spans="3:15" ht="15" customHeight="1">
      <c r="C1329" s="498"/>
      <c r="D1329" s="256"/>
      <c r="E1329" s="195"/>
      <c r="F1329" s="157"/>
      <c r="G1329" s="157"/>
      <c r="H1329" s="157"/>
      <c r="I1329" s="157"/>
      <c r="J1329" s="157"/>
      <c r="K1329" s="157"/>
      <c r="L1329" s="157"/>
      <c r="M1329" s="523"/>
      <c r="N1329" s="157"/>
      <c r="O1329" s="157"/>
    </row>
    <row r="1330" spans="3:15" ht="15" customHeight="1">
      <c r="C1330" s="498"/>
      <c r="D1330" s="256"/>
      <c r="E1330" s="195"/>
      <c r="F1330" s="157"/>
      <c r="G1330" s="157"/>
      <c r="H1330" s="157"/>
      <c r="I1330" s="157"/>
      <c r="J1330" s="157"/>
      <c r="K1330" s="157"/>
      <c r="L1330" s="157"/>
      <c r="M1330" s="523"/>
      <c r="N1330" s="157"/>
      <c r="O1330" s="157"/>
    </row>
    <row r="1331" spans="3:15" ht="15" customHeight="1">
      <c r="C1331" s="498"/>
      <c r="D1331" s="256"/>
      <c r="E1331" s="195"/>
      <c r="F1331" s="157"/>
      <c r="G1331" s="157"/>
      <c r="H1331" s="157"/>
      <c r="I1331" s="157"/>
      <c r="J1331" s="157"/>
      <c r="K1331" s="157"/>
      <c r="L1331" s="157"/>
      <c r="M1331" s="523"/>
      <c r="N1331" s="157"/>
      <c r="O1331" s="157"/>
    </row>
    <row r="1332" spans="3:15" ht="15" customHeight="1">
      <c r="C1332" s="498"/>
      <c r="D1332" s="256"/>
      <c r="E1332" s="195"/>
      <c r="F1332" s="157"/>
      <c r="G1332" s="157"/>
      <c r="H1332" s="157"/>
      <c r="I1332" s="157"/>
      <c r="J1332" s="157"/>
      <c r="K1332" s="157"/>
      <c r="L1332" s="157"/>
      <c r="M1332" s="523"/>
      <c r="N1332" s="157"/>
      <c r="O1332" s="157"/>
    </row>
    <row r="1333" spans="3:15" ht="15" customHeight="1">
      <c r="C1333" s="498"/>
      <c r="D1333" s="256"/>
      <c r="E1333" s="195"/>
      <c r="F1333" s="157"/>
      <c r="G1333" s="157"/>
      <c r="H1333" s="157"/>
      <c r="I1333" s="157"/>
      <c r="J1333" s="157"/>
      <c r="K1333" s="157"/>
      <c r="L1333" s="157"/>
      <c r="M1333" s="523"/>
      <c r="N1333" s="157"/>
      <c r="O1333" s="157"/>
    </row>
    <row r="1334" spans="3:15" ht="15" customHeight="1">
      <c r="C1334" s="498"/>
      <c r="D1334" s="256"/>
      <c r="E1334" s="195"/>
      <c r="F1334" s="157"/>
      <c r="G1334" s="157"/>
      <c r="H1334" s="157"/>
      <c r="I1334" s="157"/>
      <c r="J1334" s="157"/>
      <c r="K1334" s="157"/>
      <c r="L1334" s="157"/>
      <c r="M1334" s="523"/>
      <c r="N1334" s="157"/>
      <c r="O1334" s="157"/>
    </row>
    <row r="1335" spans="3:15" ht="15" customHeight="1">
      <c r="C1335" s="498"/>
      <c r="D1335" s="256"/>
      <c r="E1335" s="195"/>
      <c r="F1335" s="157"/>
      <c r="G1335" s="157"/>
      <c r="H1335" s="157"/>
      <c r="I1335" s="157"/>
      <c r="J1335" s="157"/>
      <c r="K1335" s="157"/>
      <c r="L1335" s="157"/>
      <c r="M1335" s="523"/>
      <c r="N1335" s="157"/>
      <c r="O1335" s="157"/>
    </row>
    <row r="1336" spans="3:15" ht="15" customHeight="1">
      <c r="C1336" s="498"/>
      <c r="D1336" s="256"/>
      <c r="E1336" s="195"/>
      <c r="F1336" s="157"/>
      <c r="G1336" s="157"/>
      <c r="H1336" s="157"/>
      <c r="I1336" s="157"/>
      <c r="J1336" s="157"/>
      <c r="K1336" s="157"/>
      <c r="L1336" s="157"/>
      <c r="M1336" s="523"/>
      <c r="N1336" s="157"/>
      <c r="O1336" s="157"/>
    </row>
    <row r="1337" spans="3:15" ht="15" customHeight="1">
      <c r="C1337" s="498"/>
      <c r="D1337" s="256"/>
      <c r="E1337" s="195"/>
      <c r="F1337" s="157"/>
      <c r="G1337" s="157"/>
      <c r="H1337" s="157"/>
      <c r="I1337" s="157"/>
      <c r="J1337" s="157"/>
      <c r="K1337" s="157"/>
      <c r="L1337" s="157"/>
      <c r="M1337" s="523"/>
      <c r="N1337" s="157"/>
      <c r="O1337" s="157"/>
    </row>
    <row r="1338" spans="3:15" ht="15" customHeight="1">
      <c r="C1338" s="498"/>
      <c r="D1338" s="256"/>
      <c r="E1338" s="195"/>
      <c r="F1338" s="157"/>
      <c r="G1338" s="157"/>
      <c r="H1338" s="157"/>
      <c r="I1338" s="157"/>
      <c r="J1338" s="157"/>
      <c r="K1338" s="157"/>
      <c r="L1338" s="157"/>
      <c r="M1338" s="523"/>
      <c r="N1338" s="157"/>
      <c r="O1338" s="157"/>
    </row>
    <row r="1339" spans="3:15" ht="15" customHeight="1">
      <c r="C1339" s="498"/>
      <c r="D1339" s="256"/>
      <c r="E1339" s="195"/>
      <c r="F1339" s="157"/>
      <c r="G1339" s="157"/>
      <c r="H1339" s="157"/>
      <c r="I1339" s="157"/>
      <c r="J1339" s="157"/>
      <c r="K1339" s="157"/>
      <c r="L1339" s="157"/>
      <c r="M1339" s="523"/>
      <c r="N1339" s="157"/>
      <c r="O1339" s="157"/>
    </row>
    <row r="1340" spans="3:15" ht="15" customHeight="1">
      <c r="C1340" s="498"/>
      <c r="D1340" s="256"/>
      <c r="E1340" s="195"/>
      <c r="F1340" s="157"/>
      <c r="G1340" s="157"/>
      <c r="H1340" s="157"/>
      <c r="I1340" s="157"/>
      <c r="J1340" s="157"/>
      <c r="K1340" s="157"/>
      <c r="L1340" s="157"/>
      <c r="M1340" s="523"/>
      <c r="N1340" s="157"/>
      <c r="O1340" s="157"/>
    </row>
    <row r="1341" spans="3:15" ht="15" customHeight="1">
      <c r="C1341" s="498"/>
      <c r="D1341" s="256"/>
      <c r="E1341" s="195"/>
      <c r="F1341" s="157"/>
      <c r="G1341" s="157"/>
      <c r="H1341" s="157"/>
      <c r="I1341" s="157"/>
      <c r="J1341" s="157"/>
      <c r="K1341" s="157"/>
      <c r="L1341" s="157"/>
      <c r="M1341" s="523"/>
      <c r="N1341" s="157"/>
      <c r="O1341" s="157"/>
    </row>
    <row r="1342" spans="3:15" ht="15" customHeight="1">
      <c r="C1342" s="498"/>
      <c r="D1342" s="256"/>
      <c r="E1342" s="195"/>
      <c r="F1342" s="157"/>
      <c r="G1342" s="157"/>
      <c r="H1342" s="157"/>
      <c r="I1342" s="157"/>
      <c r="J1342" s="157"/>
      <c r="K1342" s="157"/>
      <c r="L1342" s="157"/>
      <c r="M1342" s="523"/>
      <c r="N1342" s="157"/>
      <c r="O1342" s="157"/>
    </row>
    <row r="1343" spans="3:15" ht="15" customHeight="1">
      <c r="C1343" s="498"/>
      <c r="D1343" s="256"/>
      <c r="E1343" s="195"/>
      <c r="F1343" s="157"/>
      <c r="G1343" s="157"/>
      <c r="H1343" s="157"/>
      <c r="I1343" s="157"/>
      <c r="J1343" s="157"/>
      <c r="K1343" s="157"/>
      <c r="L1343" s="157"/>
      <c r="M1343" s="523"/>
      <c r="N1343" s="157"/>
      <c r="O1343" s="157"/>
    </row>
    <row r="1344" spans="3:15" ht="15" customHeight="1">
      <c r="C1344" s="498"/>
      <c r="D1344" s="256"/>
      <c r="E1344" s="195"/>
      <c r="F1344" s="157"/>
      <c r="G1344" s="157"/>
      <c r="H1344" s="157"/>
      <c r="I1344" s="157"/>
      <c r="J1344" s="157"/>
      <c r="K1344" s="157"/>
      <c r="L1344" s="157"/>
      <c r="M1344" s="523"/>
      <c r="N1344" s="157"/>
      <c r="O1344" s="157"/>
    </row>
    <row r="1345" spans="3:15" ht="15" customHeight="1">
      <c r="C1345" s="498"/>
      <c r="D1345" s="256"/>
      <c r="E1345" s="195"/>
      <c r="F1345" s="157"/>
      <c r="G1345" s="157"/>
      <c r="H1345" s="157"/>
      <c r="I1345" s="157"/>
      <c r="J1345" s="157"/>
      <c r="K1345" s="157"/>
      <c r="L1345" s="157"/>
      <c r="M1345" s="523"/>
      <c r="N1345" s="157"/>
      <c r="O1345" s="157"/>
    </row>
    <row r="1346" spans="3:15" ht="15" customHeight="1">
      <c r="C1346" s="498"/>
      <c r="D1346" s="256"/>
      <c r="E1346" s="195"/>
      <c r="F1346" s="157"/>
      <c r="G1346" s="157"/>
      <c r="H1346" s="157"/>
      <c r="I1346" s="157"/>
      <c r="J1346" s="157"/>
      <c r="K1346" s="157"/>
      <c r="L1346" s="157"/>
      <c r="M1346" s="523"/>
      <c r="N1346" s="157"/>
      <c r="O1346" s="157"/>
    </row>
    <row r="1347" spans="3:15" ht="15" customHeight="1">
      <c r="C1347" s="498"/>
      <c r="D1347" s="256"/>
      <c r="E1347" s="195"/>
      <c r="F1347" s="157"/>
      <c r="G1347" s="157"/>
      <c r="H1347" s="157"/>
      <c r="I1347" s="157"/>
      <c r="J1347" s="157"/>
      <c r="K1347" s="157"/>
      <c r="L1347" s="157"/>
      <c r="M1347" s="523"/>
      <c r="N1347" s="157"/>
      <c r="O1347" s="157"/>
    </row>
    <row r="1348" spans="3:15" ht="15" customHeight="1">
      <c r="C1348" s="498"/>
      <c r="D1348" s="256"/>
      <c r="E1348" s="195"/>
      <c r="F1348" s="157"/>
      <c r="G1348" s="157"/>
      <c r="H1348" s="157"/>
      <c r="I1348" s="157"/>
      <c r="J1348" s="157"/>
      <c r="K1348" s="157"/>
      <c r="L1348" s="157"/>
      <c r="M1348" s="523"/>
      <c r="N1348" s="157"/>
      <c r="O1348" s="157"/>
    </row>
    <row r="1349" spans="3:15" ht="15" customHeight="1">
      <c r="C1349" s="498"/>
      <c r="D1349" s="256"/>
      <c r="E1349" s="195"/>
      <c r="F1349" s="157"/>
      <c r="G1349" s="157"/>
      <c r="H1349" s="157"/>
      <c r="I1349" s="157"/>
      <c r="J1349" s="157"/>
      <c r="K1349" s="157"/>
      <c r="L1349" s="157"/>
      <c r="M1349" s="523"/>
      <c r="N1349" s="157"/>
      <c r="O1349" s="157"/>
    </row>
    <row r="1350" spans="3:15" ht="15" customHeight="1">
      <c r="C1350" s="498"/>
      <c r="D1350" s="256"/>
      <c r="E1350" s="195"/>
      <c r="F1350" s="157"/>
      <c r="G1350" s="157"/>
      <c r="H1350" s="157"/>
      <c r="I1350" s="157"/>
      <c r="J1350" s="157"/>
      <c r="K1350" s="157"/>
      <c r="L1350" s="157"/>
      <c r="M1350" s="523"/>
      <c r="N1350" s="157"/>
      <c r="O1350" s="157"/>
    </row>
    <row r="1351" spans="3:15" ht="15" customHeight="1">
      <c r="C1351" s="498"/>
      <c r="D1351" s="256"/>
      <c r="E1351" s="195"/>
      <c r="F1351" s="157"/>
      <c r="G1351" s="157"/>
      <c r="H1351" s="157"/>
      <c r="I1351" s="157"/>
      <c r="J1351" s="157"/>
      <c r="K1351" s="157"/>
      <c r="L1351" s="157"/>
      <c r="M1351" s="523"/>
      <c r="N1351" s="157"/>
      <c r="O1351" s="157"/>
    </row>
    <row r="1352" spans="3:15" ht="15" customHeight="1">
      <c r="C1352" s="498"/>
      <c r="D1352" s="256"/>
      <c r="E1352" s="195"/>
      <c r="F1352" s="157"/>
      <c r="G1352" s="157"/>
      <c r="H1352" s="157"/>
      <c r="I1352" s="157"/>
      <c r="J1352" s="157"/>
      <c r="K1352" s="157"/>
      <c r="L1352" s="157"/>
      <c r="M1352" s="523"/>
      <c r="N1352" s="157"/>
      <c r="O1352" s="157"/>
    </row>
    <row r="1353" spans="3:15" ht="15" customHeight="1">
      <c r="C1353" s="498"/>
      <c r="D1353" s="256"/>
      <c r="E1353" s="195"/>
      <c r="F1353" s="157"/>
      <c r="G1353" s="157"/>
      <c r="H1353" s="157"/>
      <c r="I1353" s="157"/>
      <c r="J1353" s="157"/>
      <c r="K1353" s="157"/>
      <c r="L1353" s="157"/>
      <c r="M1353" s="523"/>
      <c r="N1353" s="157"/>
      <c r="O1353" s="157"/>
    </row>
    <row r="1354" spans="3:15" ht="15" customHeight="1">
      <c r="C1354" s="498"/>
      <c r="D1354" s="256"/>
      <c r="E1354" s="195"/>
      <c r="F1354" s="157"/>
      <c r="G1354" s="157"/>
      <c r="H1354" s="157"/>
      <c r="I1354" s="157"/>
      <c r="J1354" s="157"/>
      <c r="K1354" s="157"/>
      <c r="L1354" s="157"/>
      <c r="M1354" s="523"/>
      <c r="N1354" s="157"/>
      <c r="O1354" s="157"/>
    </row>
    <row r="1355" spans="3:15" ht="15" customHeight="1">
      <c r="C1355" s="498"/>
      <c r="D1355" s="256"/>
      <c r="E1355" s="195"/>
      <c r="F1355" s="157"/>
      <c r="G1355" s="157"/>
      <c r="H1355" s="157"/>
      <c r="I1355" s="157"/>
      <c r="J1355" s="157"/>
      <c r="K1355" s="157"/>
      <c r="L1355" s="157"/>
      <c r="M1355" s="523"/>
      <c r="N1355" s="157"/>
      <c r="O1355" s="157"/>
    </row>
    <row r="1356" spans="3:15" ht="15" customHeight="1">
      <c r="C1356" s="498"/>
      <c r="D1356" s="256"/>
      <c r="E1356" s="195"/>
      <c r="F1356" s="157"/>
      <c r="G1356" s="157"/>
      <c r="H1356" s="157"/>
      <c r="I1356" s="157"/>
      <c r="J1356" s="157"/>
      <c r="K1356" s="157"/>
      <c r="L1356" s="157"/>
      <c r="M1356" s="523"/>
      <c r="N1356" s="157"/>
      <c r="O1356" s="157"/>
    </row>
    <row r="1357" spans="3:15" ht="15" customHeight="1">
      <c r="C1357" s="498"/>
      <c r="D1357" s="256"/>
      <c r="E1357" s="195"/>
      <c r="F1357" s="157"/>
      <c r="G1357" s="157"/>
      <c r="H1357" s="157"/>
      <c r="I1357" s="157"/>
      <c r="J1357" s="157"/>
      <c r="K1357" s="157"/>
      <c r="L1357" s="157"/>
      <c r="M1357" s="523"/>
      <c r="N1357" s="157"/>
      <c r="O1357" s="157"/>
    </row>
    <row r="1358" spans="3:15" ht="15" customHeight="1">
      <c r="C1358" s="498"/>
      <c r="D1358" s="256"/>
      <c r="E1358" s="195"/>
      <c r="F1358" s="157"/>
      <c r="G1358" s="157"/>
      <c r="H1358" s="157"/>
      <c r="I1358" s="157"/>
      <c r="J1358" s="157"/>
      <c r="K1358" s="157"/>
      <c r="L1358" s="157"/>
      <c r="M1358" s="523"/>
      <c r="N1358" s="157"/>
      <c r="O1358" s="157"/>
    </row>
    <row r="1359" spans="3:15" ht="15" customHeight="1">
      <c r="C1359" s="498"/>
      <c r="D1359" s="256"/>
      <c r="E1359" s="195"/>
      <c r="F1359" s="157"/>
      <c r="G1359" s="157"/>
      <c r="H1359" s="157"/>
      <c r="I1359" s="157"/>
      <c r="J1359" s="157"/>
      <c r="K1359" s="157"/>
      <c r="L1359" s="157"/>
      <c r="M1359" s="523"/>
      <c r="N1359" s="157"/>
      <c r="O1359" s="157"/>
    </row>
    <row r="1360" spans="3:15" ht="15" customHeight="1">
      <c r="C1360" s="498"/>
      <c r="D1360" s="256"/>
      <c r="E1360" s="195"/>
      <c r="F1360" s="157"/>
      <c r="G1360" s="157"/>
      <c r="H1360" s="157"/>
      <c r="I1360" s="157"/>
      <c r="J1360" s="157"/>
      <c r="K1360" s="157"/>
      <c r="L1360" s="157"/>
      <c r="M1360" s="523"/>
      <c r="N1360" s="157"/>
      <c r="O1360" s="157"/>
    </row>
    <row r="1361" spans="3:15" ht="15" customHeight="1">
      <c r="C1361" s="498"/>
      <c r="D1361" s="256"/>
      <c r="E1361" s="195"/>
      <c r="F1361" s="157"/>
      <c r="G1361" s="157"/>
      <c r="H1361" s="157"/>
      <c r="I1361" s="157"/>
      <c r="J1361" s="157"/>
      <c r="K1361" s="157"/>
      <c r="L1361" s="157"/>
      <c r="M1361" s="523"/>
      <c r="N1361" s="157"/>
      <c r="O1361" s="157"/>
    </row>
    <row r="1362" spans="3:15" ht="15" customHeight="1">
      <c r="C1362" s="498"/>
      <c r="D1362" s="256"/>
      <c r="E1362" s="195"/>
      <c r="F1362" s="157"/>
      <c r="G1362" s="157"/>
      <c r="H1362" s="157"/>
      <c r="I1362" s="157"/>
      <c r="J1362" s="157"/>
      <c r="K1362" s="157"/>
      <c r="L1362" s="157"/>
      <c r="M1362" s="523"/>
      <c r="N1362" s="157"/>
      <c r="O1362" s="157"/>
    </row>
    <row r="1363" spans="3:15" ht="15" customHeight="1">
      <c r="C1363" s="498"/>
      <c r="D1363" s="256"/>
      <c r="E1363" s="195"/>
      <c r="F1363" s="157"/>
      <c r="G1363" s="157"/>
      <c r="H1363" s="157"/>
      <c r="I1363" s="157"/>
      <c r="J1363" s="157"/>
      <c r="K1363" s="157"/>
      <c r="L1363" s="157"/>
      <c r="M1363" s="523"/>
      <c r="N1363" s="157"/>
      <c r="O1363" s="157"/>
    </row>
    <row r="1364" spans="3:15" ht="15" customHeight="1">
      <c r="C1364" s="498"/>
      <c r="D1364" s="256"/>
      <c r="E1364" s="195"/>
      <c r="F1364" s="157"/>
      <c r="G1364" s="157"/>
      <c r="H1364" s="157"/>
      <c r="I1364" s="157"/>
      <c r="J1364" s="157"/>
      <c r="K1364" s="157"/>
      <c r="L1364" s="157"/>
      <c r="M1364" s="523"/>
      <c r="N1364" s="157"/>
      <c r="O1364" s="157"/>
    </row>
    <row r="1365" spans="3:15" ht="15" customHeight="1">
      <c r="C1365" s="498"/>
      <c r="D1365" s="256"/>
      <c r="E1365" s="195"/>
      <c r="F1365" s="157"/>
      <c r="G1365" s="157"/>
      <c r="H1365" s="157"/>
      <c r="I1365" s="157"/>
      <c r="J1365" s="157"/>
      <c r="K1365" s="157"/>
      <c r="L1365" s="157"/>
      <c r="M1365" s="523"/>
      <c r="N1365" s="157"/>
      <c r="O1365" s="157"/>
    </row>
    <row r="1366" spans="3:15" ht="15" customHeight="1">
      <c r="C1366" s="498"/>
      <c r="D1366" s="256"/>
      <c r="E1366" s="195"/>
      <c r="F1366" s="157"/>
      <c r="G1366" s="157"/>
      <c r="H1366" s="157"/>
      <c r="I1366" s="157"/>
      <c r="J1366" s="157"/>
      <c r="K1366" s="157"/>
      <c r="L1366" s="157"/>
      <c r="M1366" s="523"/>
      <c r="N1366" s="157"/>
      <c r="O1366" s="157"/>
    </row>
    <row r="1367" spans="3:15" ht="15" customHeight="1">
      <c r="C1367" s="498"/>
      <c r="D1367" s="256"/>
      <c r="E1367" s="195"/>
      <c r="F1367" s="157"/>
      <c r="G1367" s="157"/>
      <c r="H1367" s="157"/>
      <c r="I1367" s="157"/>
      <c r="J1367" s="157"/>
      <c r="K1367" s="157"/>
      <c r="L1367" s="157"/>
      <c r="M1367" s="523"/>
      <c r="N1367" s="157"/>
      <c r="O1367" s="157"/>
    </row>
    <row r="1368" spans="3:15" ht="15" customHeight="1">
      <c r="C1368" s="498"/>
      <c r="D1368" s="256"/>
      <c r="E1368" s="195"/>
      <c r="F1368" s="157"/>
      <c r="G1368" s="157"/>
      <c r="H1368" s="157"/>
      <c r="I1368" s="157"/>
      <c r="J1368" s="157"/>
      <c r="K1368" s="157"/>
      <c r="L1368" s="157"/>
      <c r="M1368" s="523"/>
      <c r="N1368" s="157"/>
      <c r="O1368" s="157"/>
    </row>
    <row r="1369" spans="3:15" ht="15" customHeight="1">
      <c r="C1369" s="498"/>
      <c r="D1369" s="256"/>
      <c r="E1369" s="195"/>
      <c r="F1369" s="157"/>
      <c r="G1369" s="157"/>
      <c r="H1369" s="157"/>
      <c r="I1369" s="157"/>
      <c r="J1369" s="157"/>
      <c r="K1369" s="157"/>
      <c r="L1369" s="157"/>
      <c r="M1369" s="523"/>
      <c r="N1369" s="157"/>
      <c r="O1369" s="157"/>
    </row>
    <row r="1370" spans="3:15" ht="15" customHeight="1">
      <c r="C1370" s="498"/>
      <c r="D1370" s="256"/>
      <c r="E1370" s="195"/>
      <c r="F1370" s="157"/>
      <c r="G1370" s="157"/>
      <c r="H1370" s="157"/>
      <c r="I1370" s="157"/>
      <c r="J1370" s="157"/>
      <c r="K1370" s="157"/>
      <c r="L1370" s="157"/>
      <c r="M1370" s="523"/>
      <c r="N1370" s="157"/>
      <c r="O1370" s="157"/>
    </row>
    <row r="1371" spans="3:15" ht="15" customHeight="1">
      <c r="C1371" s="498"/>
      <c r="D1371" s="256"/>
      <c r="E1371" s="195"/>
      <c r="F1371" s="157"/>
      <c r="G1371" s="157"/>
      <c r="H1371" s="157"/>
      <c r="I1371" s="157"/>
      <c r="J1371" s="157"/>
      <c r="K1371" s="157"/>
      <c r="L1371" s="157"/>
      <c r="M1371" s="523"/>
      <c r="N1371" s="157"/>
      <c r="O1371" s="157"/>
    </row>
    <row r="1372" spans="3:15" ht="15" customHeight="1">
      <c r="C1372" s="498"/>
      <c r="D1372" s="256"/>
      <c r="E1372" s="195"/>
      <c r="F1372" s="157"/>
      <c r="G1372" s="157"/>
      <c r="H1372" s="157"/>
      <c r="I1372" s="157"/>
      <c r="J1372" s="157"/>
      <c r="K1372" s="157"/>
      <c r="L1372" s="157"/>
      <c r="M1372" s="523"/>
      <c r="N1372" s="157"/>
      <c r="O1372" s="157"/>
    </row>
    <row r="1373" spans="3:15" ht="15" customHeight="1">
      <c r="C1373" s="498"/>
      <c r="D1373" s="256"/>
      <c r="E1373" s="195"/>
      <c r="F1373" s="157"/>
      <c r="G1373" s="157"/>
      <c r="H1373" s="157"/>
      <c r="I1373" s="157"/>
      <c r="J1373" s="157"/>
      <c r="K1373" s="157"/>
      <c r="L1373" s="157"/>
      <c r="M1373" s="523"/>
      <c r="N1373" s="157"/>
      <c r="O1373" s="157"/>
    </row>
    <row r="1374" spans="3:15" ht="15" customHeight="1">
      <c r="C1374" s="498"/>
      <c r="D1374" s="256"/>
      <c r="E1374" s="195"/>
      <c r="F1374" s="157"/>
      <c r="G1374" s="157"/>
      <c r="H1374" s="157"/>
      <c r="I1374" s="157"/>
      <c r="J1374" s="157"/>
      <c r="K1374" s="157"/>
      <c r="L1374" s="157"/>
      <c r="M1374" s="523"/>
      <c r="N1374" s="157"/>
      <c r="O1374" s="157"/>
    </row>
    <row r="1375" spans="3:15" ht="15" customHeight="1">
      <c r="C1375" s="498"/>
      <c r="D1375" s="256"/>
      <c r="E1375" s="195"/>
      <c r="F1375" s="157"/>
      <c r="G1375" s="157"/>
      <c r="H1375" s="157"/>
      <c r="I1375" s="157"/>
      <c r="J1375" s="157"/>
      <c r="K1375" s="157"/>
      <c r="L1375" s="157"/>
      <c r="M1375" s="523"/>
      <c r="N1375" s="157"/>
      <c r="O1375" s="157"/>
    </row>
    <row r="1376" spans="3:15" ht="15" customHeight="1">
      <c r="C1376" s="498"/>
      <c r="D1376" s="256"/>
      <c r="E1376" s="195"/>
      <c r="F1376" s="157"/>
      <c r="G1376" s="157"/>
      <c r="H1376" s="157"/>
      <c r="I1376" s="157"/>
      <c r="J1376" s="157"/>
      <c r="K1376" s="157"/>
      <c r="L1376" s="157"/>
      <c r="M1376" s="523"/>
      <c r="N1376" s="157"/>
      <c r="O1376" s="157"/>
    </row>
    <row r="1377" spans="3:15" ht="15" customHeight="1">
      <c r="C1377" s="498"/>
      <c r="D1377" s="256"/>
      <c r="E1377" s="195"/>
      <c r="F1377" s="157"/>
      <c r="G1377" s="157"/>
      <c r="H1377" s="157"/>
      <c r="I1377" s="157"/>
      <c r="J1377" s="157"/>
      <c r="K1377" s="157"/>
      <c r="L1377" s="157"/>
      <c r="M1377" s="523"/>
      <c r="N1377" s="157"/>
      <c r="O1377" s="157"/>
    </row>
    <row r="1378" spans="3:15" ht="15" customHeight="1">
      <c r="C1378" s="498"/>
      <c r="D1378" s="256"/>
      <c r="E1378" s="195"/>
      <c r="F1378" s="157"/>
      <c r="G1378" s="157"/>
      <c r="H1378" s="157"/>
      <c r="I1378" s="157"/>
      <c r="J1378" s="157"/>
      <c r="K1378" s="157"/>
      <c r="L1378" s="157"/>
      <c r="M1378" s="523"/>
      <c r="N1378" s="157"/>
      <c r="O1378" s="157"/>
    </row>
    <row r="1379" spans="3:15" ht="15" customHeight="1">
      <c r="C1379" s="498"/>
      <c r="D1379" s="256"/>
      <c r="E1379" s="195"/>
      <c r="F1379" s="157"/>
      <c r="G1379" s="157"/>
      <c r="H1379" s="157"/>
      <c r="I1379" s="157"/>
      <c r="J1379" s="157"/>
      <c r="K1379" s="157"/>
      <c r="L1379" s="157"/>
      <c r="M1379" s="523"/>
      <c r="N1379" s="157"/>
      <c r="O1379" s="157"/>
    </row>
    <row r="1380" spans="3:15" ht="15" customHeight="1">
      <c r="C1380" s="498"/>
      <c r="D1380" s="256"/>
      <c r="E1380" s="195"/>
      <c r="F1380" s="157"/>
      <c r="G1380" s="157"/>
      <c r="H1380" s="157"/>
      <c r="I1380" s="157"/>
      <c r="J1380" s="157"/>
      <c r="K1380" s="157"/>
      <c r="L1380" s="157"/>
      <c r="M1380" s="523"/>
      <c r="N1380" s="157"/>
      <c r="O1380" s="157"/>
    </row>
    <row r="1381" spans="3:15" ht="15" customHeight="1">
      <c r="C1381" s="498"/>
      <c r="D1381" s="256"/>
      <c r="E1381" s="195"/>
      <c r="F1381" s="157"/>
      <c r="G1381" s="157"/>
      <c r="H1381" s="157"/>
      <c r="I1381" s="157"/>
      <c r="J1381" s="157"/>
      <c r="K1381" s="157"/>
      <c r="L1381" s="157"/>
      <c r="M1381" s="523"/>
      <c r="N1381" s="157"/>
      <c r="O1381" s="157"/>
    </row>
    <row r="1382" spans="3:15" ht="15" customHeight="1">
      <c r="C1382" s="498"/>
      <c r="D1382" s="256"/>
      <c r="E1382" s="195"/>
      <c r="F1382" s="157"/>
      <c r="G1382" s="157"/>
      <c r="H1382" s="157"/>
      <c r="I1382" s="157"/>
      <c r="J1382" s="157"/>
      <c r="K1382" s="157"/>
      <c r="L1382" s="157"/>
      <c r="M1382" s="523"/>
      <c r="N1382" s="157"/>
      <c r="O1382" s="157"/>
    </row>
    <row r="1383" spans="3:15" ht="15" customHeight="1">
      <c r="C1383" s="498"/>
      <c r="D1383" s="256"/>
      <c r="E1383" s="195"/>
      <c r="F1383" s="157"/>
      <c r="G1383" s="157"/>
      <c r="H1383" s="157"/>
      <c r="I1383" s="157"/>
      <c r="J1383" s="157"/>
      <c r="K1383" s="157"/>
      <c r="L1383" s="157"/>
      <c r="M1383" s="523"/>
      <c r="N1383" s="157"/>
      <c r="O1383" s="157"/>
    </row>
    <row r="1384" spans="3:15" ht="15" customHeight="1">
      <c r="C1384" s="498"/>
      <c r="D1384" s="256"/>
      <c r="E1384" s="195"/>
      <c r="F1384" s="157"/>
      <c r="G1384" s="157"/>
      <c r="H1384" s="157"/>
      <c r="I1384" s="157"/>
      <c r="J1384" s="157"/>
      <c r="K1384" s="157"/>
      <c r="L1384" s="157"/>
      <c r="M1384" s="523"/>
      <c r="N1384" s="157"/>
      <c r="O1384" s="157"/>
    </row>
    <row r="1385" spans="3:15" ht="15" customHeight="1">
      <c r="C1385" s="498"/>
      <c r="D1385" s="256"/>
      <c r="E1385" s="195"/>
      <c r="F1385" s="157"/>
      <c r="G1385" s="157"/>
      <c r="H1385" s="157"/>
      <c r="I1385" s="157"/>
      <c r="J1385" s="157"/>
      <c r="K1385" s="157"/>
      <c r="L1385" s="157"/>
      <c r="M1385" s="523"/>
      <c r="N1385" s="157"/>
      <c r="O1385" s="157"/>
    </row>
    <row r="1386" spans="3:15" ht="15" customHeight="1">
      <c r="C1386" s="498"/>
      <c r="D1386" s="256"/>
      <c r="E1386" s="195"/>
      <c r="F1386" s="157"/>
      <c r="G1386" s="157"/>
      <c r="H1386" s="157"/>
      <c r="I1386" s="157"/>
      <c r="J1386" s="157"/>
      <c r="K1386" s="157"/>
      <c r="L1386" s="157"/>
      <c r="M1386" s="523"/>
      <c r="N1386" s="157"/>
      <c r="O1386" s="157"/>
    </row>
    <row r="1387" spans="3:15" ht="15" customHeight="1">
      <c r="C1387" s="498"/>
      <c r="D1387" s="256"/>
      <c r="E1387" s="195"/>
      <c r="F1387" s="157"/>
      <c r="G1387" s="157"/>
      <c r="H1387" s="157"/>
      <c r="I1387" s="157"/>
      <c r="J1387" s="157"/>
      <c r="K1387" s="157"/>
      <c r="L1387" s="157"/>
      <c r="M1387" s="523"/>
      <c r="N1387" s="157"/>
      <c r="O1387" s="157"/>
    </row>
    <row r="1388" spans="3:15" ht="15" customHeight="1">
      <c r="C1388" s="498"/>
      <c r="D1388" s="256"/>
      <c r="E1388" s="195"/>
      <c r="F1388" s="157"/>
      <c r="G1388" s="157"/>
      <c r="H1388" s="157"/>
      <c r="I1388" s="157"/>
      <c r="J1388" s="157"/>
      <c r="K1388" s="157"/>
      <c r="L1388" s="157"/>
      <c r="M1388" s="523"/>
      <c r="N1388" s="157"/>
      <c r="O1388" s="157"/>
    </row>
    <row r="1389" spans="3:15" ht="15" customHeight="1">
      <c r="C1389" s="498"/>
      <c r="D1389" s="256"/>
      <c r="E1389" s="195"/>
      <c r="F1389" s="157"/>
      <c r="G1389" s="157"/>
      <c r="H1389" s="157"/>
      <c r="I1389" s="157"/>
      <c r="J1389" s="157"/>
      <c r="K1389" s="157"/>
      <c r="L1389" s="157"/>
      <c r="M1389" s="523"/>
      <c r="N1389" s="157"/>
      <c r="O1389" s="157"/>
    </row>
    <row r="1390" spans="3:15" ht="15" customHeight="1">
      <c r="C1390" s="498"/>
      <c r="D1390" s="256"/>
      <c r="E1390" s="195"/>
      <c r="F1390" s="157"/>
      <c r="G1390" s="157"/>
      <c r="H1390" s="157"/>
      <c r="I1390" s="157"/>
      <c r="J1390" s="157"/>
      <c r="K1390" s="157"/>
      <c r="L1390" s="157"/>
      <c r="M1390" s="523"/>
      <c r="N1390" s="157"/>
      <c r="O1390" s="157"/>
    </row>
    <row r="1391" spans="3:15" ht="15" customHeight="1">
      <c r="C1391" s="498"/>
      <c r="D1391" s="256"/>
      <c r="E1391" s="195"/>
      <c r="F1391" s="157"/>
      <c r="G1391" s="157"/>
      <c r="H1391" s="157"/>
      <c r="I1391" s="157"/>
      <c r="J1391" s="157"/>
      <c r="K1391" s="157"/>
      <c r="L1391" s="157"/>
      <c r="M1391" s="523"/>
      <c r="N1391" s="157"/>
      <c r="O1391" s="157"/>
    </row>
    <row r="1392" spans="3:15" ht="15" customHeight="1">
      <c r="C1392" s="498"/>
      <c r="D1392" s="256"/>
      <c r="E1392" s="195"/>
      <c r="F1392" s="157"/>
      <c r="G1392" s="157"/>
      <c r="H1392" s="157"/>
      <c r="I1392" s="157"/>
      <c r="J1392" s="157"/>
      <c r="K1392" s="157"/>
      <c r="L1392" s="157"/>
      <c r="M1392" s="523"/>
      <c r="N1392" s="157"/>
      <c r="O1392" s="157"/>
    </row>
    <row r="1393" spans="3:15" ht="15" customHeight="1">
      <c r="C1393" s="498"/>
      <c r="D1393" s="256"/>
      <c r="E1393" s="195"/>
      <c r="F1393" s="157"/>
      <c r="G1393" s="157"/>
      <c r="H1393" s="157"/>
      <c r="I1393" s="157"/>
      <c r="J1393" s="157"/>
      <c r="K1393" s="157"/>
      <c r="L1393" s="157"/>
      <c r="M1393" s="523"/>
      <c r="N1393" s="157"/>
      <c r="O1393" s="157"/>
    </row>
    <row r="1394" spans="3:15" ht="15" customHeight="1">
      <c r="C1394" s="498"/>
      <c r="D1394" s="256"/>
      <c r="E1394" s="195"/>
      <c r="F1394" s="157"/>
      <c r="G1394" s="157"/>
      <c r="H1394" s="157"/>
      <c r="I1394" s="157"/>
      <c r="J1394" s="157"/>
      <c r="K1394" s="157"/>
      <c r="L1394" s="157"/>
      <c r="M1394" s="523"/>
      <c r="N1394" s="157"/>
      <c r="O1394" s="157"/>
    </row>
    <row r="1395" spans="3:15" ht="15" customHeight="1">
      <c r="C1395" s="498"/>
      <c r="D1395" s="256"/>
      <c r="E1395" s="195"/>
      <c r="F1395" s="157"/>
      <c r="G1395" s="157"/>
      <c r="H1395" s="157"/>
      <c r="I1395" s="157"/>
      <c r="J1395" s="157"/>
      <c r="K1395" s="157"/>
      <c r="L1395" s="157"/>
      <c r="M1395" s="523"/>
      <c r="N1395" s="157"/>
      <c r="O1395" s="157"/>
    </row>
    <row r="1396" spans="3:15" ht="15" customHeight="1">
      <c r="C1396" s="498"/>
      <c r="D1396" s="256"/>
      <c r="E1396" s="195"/>
      <c r="F1396" s="157"/>
      <c r="G1396" s="157"/>
      <c r="H1396" s="157"/>
      <c r="I1396" s="157"/>
      <c r="J1396" s="157"/>
      <c r="K1396" s="157"/>
      <c r="L1396" s="157"/>
      <c r="M1396" s="523"/>
      <c r="N1396" s="157"/>
      <c r="O1396" s="157"/>
    </row>
    <row r="1397" spans="3:15" ht="15" customHeight="1">
      <c r="C1397" s="498"/>
      <c r="D1397" s="256"/>
      <c r="E1397" s="195"/>
      <c r="F1397" s="157"/>
      <c r="G1397" s="157"/>
      <c r="H1397" s="157"/>
      <c r="I1397" s="157"/>
      <c r="J1397" s="157"/>
      <c r="K1397" s="157"/>
      <c r="L1397" s="157"/>
      <c r="M1397" s="523"/>
      <c r="N1397" s="157"/>
      <c r="O1397" s="157"/>
    </row>
    <row r="1398" spans="3:15" ht="15" customHeight="1">
      <c r="C1398" s="498"/>
      <c r="D1398" s="256"/>
      <c r="E1398" s="195"/>
      <c r="F1398" s="157"/>
      <c r="G1398" s="157"/>
      <c r="H1398" s="157"/>
      <c r="I1398" s="157"/>
      <c r="J1398" s="157"/>
      <c r="K1398" s="157"/>
      <c r="L1398" s="157"/>
      <c r="M1398" s="523"/>
      <c r="N1398" s="157"/>
      <c r="O1398" s="157"/>
    </row>
    <row r="1399" spans="3:15" ht="15" customHeight="1">
      <c r="C1399" s="498"/>
      <c r="D1399" s="256"/>
      <c r="E1399" s="195"/>
      <c r="F1399" s="157"/>
      <c r="G1399" s="157"/>
      <c r="H1399" s="157"/>
      <c r="I1399" s="157"/>
      <c r="J1399" s="157"/>
      <c r="K1399" s="157"/>
      <c r="L1399" s="157"/>
      <c r="M1399" s="523"/>
      <c r="N1399" s="157"/>
      <c r="O1399" s="157"/>
    </row>
    <row r="1400" spans="3:15" ht="15" customHeight="1">
      <c r="C1400" s="498"/>
      <c r="D1400" s="256"/>
      <c r="E1400" s="195"/>
      <c r="F1400" s="157"/>
      <c r="G1400" s="157"/>
      <c r="H1400" s="157"/>
      <c r="I1400" s="157"/>
      <c r="J1400" s="157"/>
      <c r="K1400" s="157"/>
      <c r="L1400" s="157"/>
      <c r="M1400" s="523"/>
      <c r="N1400" s="157"/>
      <c r="O1400" s="157"/>
    </row>
    <row r="1401" spans="3:15" ht="15" customHeight="1">
      <c r="C1401" s="498"/>
      <c r="D1401" s="256"/>
      <c r="E1401" s="195"/>
      <c r="F1401" s="157"/>
      <c r="G1401" s="157"/>
      <c r="H1401" s="157"/>
      <c r="I1401" s="157"/>
      <c r="J1401" s="157"/>
      <c r="K1401" s="157"/>
      <c r="L1401" s="157"/>
      <c r="M1401" s="523"/>
      <c r="N1401" s="157"/>
      <c r="O1401" s="157"/>
    </row>
    <row r="1402" spans="3:15" ht="15" customHeight="1">
      <c r="C1402" s="498"/>
      <c r="D1402" s="256"/>
      <c r="E1402" s="195"/>
      <c r="F1402" s="157"/>
      <c r="G1402" s="157"/>
      <c r="H1402" s="157"/>
      <c r="I1402" s="157"/>
      <c r="J1402" s="157"/>
      <c r="K1402" s="157"/>
      <c r="L1402" s="157"/>
      <c r="M1402" s="523"/>
      <c r="N1402" s="157"/>
      <c r="O1402" s="157"/>
    </row>
    <row r="1403" spans="3:15" ht="15" customHeight="1">
      <c r="C1403" s="498"/>
      <c r="D1403" s="256"/>
      <c r="E1403" s="195"/>
      <c r="F1403" s="157"/>
      <c r="G1403" s="157"/>
      <c r="H1403" s="157"/>
      <c r="I1403" s="157"/>
      <c r="J1403" s="157"/>
      <c r="K1403" s="157"/>
      <c r="L1403" s="157"/>
      <c r="M1403" s="523"/>
      <c r="N1403" s="157"/>
      <c r="O1403" s="157"/>
    </row>
    <row r="1404" spans="3:15" ht="15" customHeight="1">
      <c r="C1404" s="498"/>
      <c r="D1404" s="256"/>
      <c r="E1404" s="195"/>
      <c r="F1404" s="157"/>
      <c r="G1404" s="157"/>
      <c r="H1404" s="157"/>
      <c r="I1404" s="157"/>
      <c r="J1404" s="157"/>
      <c r="K1404" s="157"/>
      <c r="L1404" s="157"/>
      <c r="M1404" s="523"/>
      <c r="N1404" s="157"/>
      <c r="O1404" s="157"/>
    </row>
    <row r="1405" spans="3:15" ht="15" customHeight="1">
      <c r="C1405" s="498"/>
      <c r="D1405" s="256"/>
      <c r="E1405" s="195"/>
      <c r="F1405" s="157"/>
      <c r="G1405" s="157"/>
      <c r="H1405" s="157"/>
      <c r="I1405" s="157"/>
      <c r="J1405" s="157"/>
      <c r="K1405" s="157"/>
      <c r="L1405" s="157"/>
      <c r="M1405" s="523"/>
      <c r="N1405" s="157"/>
      <c r="O1405" s="157"/>
    </row>
    <row r="1406" spans="3:15" ht="15" customHeight="1">
      <c r="C1406" s="498"/>
      <c r="D1406" s="256"/>
      <c r="E1406" s="195"/>
      <c r="F1406" s="157"/>
      <c r="G1406" s="157"/>
      <c r="H1406" s="157"/>
      <c r="I1406" s="157"/>
      <c r="J1406" s="157"/>
      <c r="K1406" s="157"/>
      <c r="L1406" s="157"/>
      <c r="M1406" s="523"/>
      <c r="N1406" s="157"/>
      <c r="O1406" s="157"/>
    </row>
    <row r="1407" spans="3:15" ht="15" customHeight="1">
      <c r="C1407" s="498"/>
      <c r="D1407" s="256"/>
      <c r="E1407" s="195"/>
      <c r="F1407" s="157"/>
      <c r="G1407" s="157"/>
      <c r="H1407" s="157"/>
      <c r="I1407" s="157"/>
      <c r="J1407" s="157"/>
      <c r="K1407" s="157"/>
      <c r="L1407" s="157"/>
      <c r="M1407" s="523"/>
      <c r="N1407" s="157"/>
      <c r="O1407" s="157"/>
    </row>
    <row r="1408" spans="3:15" ht="15" customHeight="1">
      <c r="C1408" s="498"/>
      <c r="D1408" s="256"/>
      <c r="E1408" s="195"/>
      <c r="F1408" s="157"/>
      <c r="G1408" s="157"/>
      <c r="H1408" s="157"/>
      <c r="I1408" s="157"/>
      <c r="J1408" s="157"/>
      <c r="K1408" s="157"/>
      <c r="L1408" s="157"/>
      <c r="M1408" s="523"/>
      <c r="N1408" s="157"/>
      <c r="O1408" s="157"/>
    </row>
    <row r="1409" spans="3:15" ht="15" customHeight="1">
      <c r="C1409" s="498"/>
      <c r="D1409" s="256"/>
      <c r="E1409" s="195"/>
      <c r="F1409" s="157"/>
      <c r="G1409" s="157"/>
      <c r="H1409" s="157"/>
      <c r="I1409" s="157"/>
      <c r="J1409" s="157"/>
      <c r="K1409" s="157"/>
      <c r="L1409" s="157"/>
      <c r="M1409" s="523"/>
      <c r="N1409" s="157"/>
      <c r="O1409" s="157"/>
    </row>
    <row r="1410" spans="3:15" ht="15" customHeight="1">
      <c r="C1410" s="498"/>
      <c r="D1410" s="256"/>
      <c r="E1410" s="195"/>
      <c r="F1410" s="157"/>
      <c r="G1410" s="157"/>
      <c r="H1410" s="157"/>
      <c r="I1410" s="157"/>
      <c r="J1410" s="157"/>
      <c r="K1410" s="157"/>
      <c r="L1410" s="157"/>
      <c r="M1410" s="523"/>
      <c r="N1410" s="157"/>
      <c r="O1410" s="157"/>
    </row>
    <row r="1411" spans="3:15" ht="15" customHeight="1">
      <c r="C1411" s="498"/>
      <c r="D1411" s="256"/>
      <c r="E1411" s="195"/>
      <c r="F1411" s="157"/>
      <c r="G1411" s="157"/>
      <c r="H1411" s="157"/>
      <c r="I1411" s="157"/>
      <c r="J1411" s="157"/>
      <c r="K1411" s="157"/>
      <c r="L1411" s="157"/>
      <c r="M1411" s="523"/>
      <c r="N1411" s="157"/>
      <c r="O1411" s="157"/>
    </row>
    <row r="1412" spans="3:15" ht="15" customHeight="1">
      <c r="C1412" s="498"/>
      <c r="D1412" s="256"/>
      <c r="E1412" s="195"/>
      <c r="F1412" s="157"/>
      <c r="G1412" s="157"/>
      <c r="H1412" s="157"/>
      <c r="I1412" s="157"/>
      <c r="J1412" s="157"/>
      <c r="K1412" s="157"/>
      <c r="L1412" s="157"/>
      <c r="M1412" s="523"/>
      <c r="N1412" s="157"/>
      <c r="O1412" s="157"/>
    </row>
    <row r="1413" spans="3:15" ht="15" customHeight="1">
      <c r="C1413" s="498"/>
      <c r="D1413" s="256"/>
      <c r="E1413" s="195"/>
      <c r="F1413" s="157"/>
      <c r="G1413" s="157"/>
      <c r="H1413" s="157"/>
      <c r="I1413" s="157"/>
      <c r="J1413" s="157"/>
      <c r="K1413" s="157"/>
      <c r="L1413" s="157"/>
      <c r="M1413" s="523"/>
      <c r="N1413" s="157"/>
      <c r="O1413" s="157"/>
    </row>
    <row r="1414" spans="3:15" ht="15" customHeight="1">
      <c r="C1414" s="498"/>
      <c r="D1414" s="256"/>
      <c r="E1414" s="195"/>
      <c r="F1414" s="157"/>
      <c r="G1414" s="157"/>
      <c r="H1414" s="157"/>
      <c r="I1414" s="157"/>
      <c r="J1414" s="157"/>
      <c r="K1414" s="157"/>
      <c r="L1414" s="157"/>
      <c r="M1414" s="523"/>
      <c r="N1414" s="157"/>
      <c r="O1414" s="157"/>
    </row>
    <row r="1415" spans="3:15" ht="15" customHeight="1">
      <c r="C1415" s="498"/>
      <c r="D1415" s="256"/>
      <c r="E1415" s="195"/>
      <c r="F1415" s="157"/>
      <c r="G1415" s="157"/>
      <c r="H1415" s="157"/>
      <c r="I1415" s="157"/>
      <c r="J1415" s="157"/>
      <c r="K1415" s="157"/>
      <c r="L1415" s="157"/>
      <c r="M1415" s="523"/>
      <c r="N1415" s="157"/>
      <c r="O1415" s="157"/>
    </row>
    <row r="1416" spans="3:15" ht="15" customHeight="1">
      <c r="C1416" s="498"/>
      <c r="D1416" s="256"/>
      <c r="E1416" s="195"/>
      <c r="F1416" s="157"/>
      <c r="G1416" s="157"/>
      <c r="H1416" s="157"/>
      <c r="I1416" s="157"/>
      <c r="J1416" s="157"/>
      <c r="K1416" s="157"/>
      <c r="L1416" s="157"/>
      <c r="M1416" s="523"/>
      <c r="N1416" s="157"/>
      <c r="O1416" s="157"/>
    </row>
    <row r="1417" spans="3:15" ht="15" customHeight="1">
      <c r="C1417" s="498"/>
      <c r="D1417" s="256"/>
      <c r="E1417" s="195"/>
      <c r="F1417" s="157"/>
      <c r="G1417" s="157"/>
      <c r="H1417" s="157"/>
      <c r="I1417" s="157"/>
      <c r="J1417" s="157"/>
      <c r="K1417" s="157"/>
      <c r="L1417" s="157"/>
      <c r="M1417" s="523"/>
      <c r="N1417" s="157"/>
      <c r="O1417" s="157"/>
    </row>
    <row r="1418" spans="3:15" ht="15" customHeight="1">
      <c r="C1418" s="498"/>
      <c r="D1418" s="256"/>
      <c r="E1418" s="195"/>
      <c r="F1418" s="157"/>
      <c r="G1418" s="157"/>
      <c r="H1418" s="157"/>
      <c r="I1418" s="157"/>
      <c r="J1418" s="157"/>
      <c r="K1418" s="157"/>
      <c r="L1418" s="157"/>
      <c r="M1418" s="523"/>
      <c r="N1418" s="157"/>
      <c r="O1418" s="157"/>
    </row>
    <row r="1419" spans="3:15" ht="15" customHeight="1">
      <c r="C1419" s="498"/>
      <c r="D1419" s="256"/>
      <c r="E1419" s="195"/>
      <c r="F1419" s="157"/>
      <c r="G1419" s="157"/>
      <c r="H1419" s="157"/>
      <c r="I1419" s="157"/>
      <c r="J1419" s="157"/>
      <c r="K1419" s="157"/>
      <c r="L1419" s="157"/>
      <c r="M1419" s="523"/>
      <c r="N1419" s="157"/>
      <c r="O1419" s="157"/>
    </row>
    <row r="1420" spans="3:15" ht="15" customHeight="1">
      <c r="C1420" s="498"/>
      <c r="D1420" s="256"/>
      <c r="E1420" s="195"/>
      <c r="F1420" s="157"/>
      <c r="G1420" s="157"/>
      <c r="H1420" s="157"/>
      <c r="I1420" s="157"/>
      <c r="J1420" s="157"/>
      <c r="K1420" s="157"/>
      <c r="L1420" s="157"/>
      <c r="M1420" s="523"/>
      <c r="N1420" s="157"/>
      <c r="O1420" s="157"/>
    </row>
    <row r="1421" spans="3:15" ht="15" customHeight="1">
      <c r="C1421" s="498"/>
      <c r="D1421" s="256"/>
      <c r="E1421" s="195"/>
      <c r="F1421" s="157"/>
      <c r="G1421" s="157"/>
      <c r="H1421" s="157"/>
      <c r="I1421" s="157"/>
      <c r="J1421" s="157"/>
      <c r="K1421" s="157"/>
      <c r="L1421" s="157"/>
      <c r="M1421" s="523"/>
      <c r="N1421" s="157"/>
      <c r="O1421" s="157"/>
    </row>
    <row r="1422" spans="3:15" ht="15" customHeight="1">
      <c r="C1422" s="498"/>
      <c r="D1422" s="256"/>
      <c r="E1422" s="195"/>
      <c r="F1422" s="157"/>
      <c r="G1422" s="157"/>
      <c r="H1422" s="157"/>
      <c r="I1422" s="157"/>
      <c r="J1422" s="157"/>
      <c r="K1422" s="157"/>
      <c r="L1422" s="157"/>
      <c r="M1422" s="523"/>
      <c r="N1422" s="157"/>
      <c r="O1422" s="157"/>
    </row>
    <row r="1423" spans="3:15" ht="15" customHeight="1">
      <c r="C1423" s="498"/>
      <c r="D1423" s="256"/>
      <c r="E1423" s="195"/>
      <c r="F1423" s="157"/>
      <c r="G1423" s="157"/>
      <c r="H1423" s="157"/>
      <c r="I1423" s="157"/>
      <c r="J1423" s="157"/>
      <c r="K1423" s="157"/>
      <c r="L1423" s="157"/>
      <c r="M1423" s="523"/>
      <c r="N1423" s="157"/>
      <c r="O1423" s="157"/>
    </row>
    <row r="1424" spans="3:15" ht="15" customHeight="1">
      <c r="C1424" s="498"/>
      <c r="D1424" s="256"/>
      <c r="E1424" s="195"/>
      <c r="F1424" s="157"/>
      <c r="G1424" s="157"/>
      <c r="H1424" s="157"/>
      <c r="I1424" s="157"/>
      <c r="J1424" s="157"/>
      <c r="K1424" s="157"/>
      <c r="L1424" s="157"/>
      <c r="M1424" s="523"/>
      <c r="N1424" s="157"/>
      <c r="O1424" s="157"/>
    </row>
    <row r="1425" spans="3:15" ht="15" customHeight="1">
      <c r="C1425" s="498"/>
      <c r="D1425" s="256"/>
      <c r="E1425" s="195"/>
      <c r="F1425" s="157"/>
      <c r="G1425" s="157"/>
      <c r="H1425" s="157"/>
      <c r="I1425" s="157"/>
      <c r="J1425" s="157"/>
      <c r="K1425" s="157"/>
      <c r="L1425" s="157"/>
      <c r="M1425" s="523"/>
      <c r="N1425" s="157"/>
      <c r="O1425" s="157"/>
    </row>
    <row r="1426" spans="3:15" ht="15" customHeight="1">
      <c r="C1426" s="498"/>
      <c r="D1426" s="256"/>
      <c r="E1426" s="195"/>
      <c r="F1426" s="157"/>
      <c r="G1426" s="157"/>
      <c r="H1426" s="157"/>
      <c r="I1426" s="157"/>
      <c r="J1426" s="157"/>
      <c r="K1426" s="157"/>
      <c r="L1426" s="157"/>
      <c r="M1426" s="523"/>
      <c r="N1426" s="157"/>
      <c r="O1426" s="157"/>
    </row>
    <row r="1427" spans="3:15" ht="15" customHeight="1">
      <c r="C1427" s="498"/>
      <c r="D1427" s="256"/>
      <c r="E1427" s="195"/>
      <c r="F1427" s="157"/>
      <c r="G1427" s="157"/>
      <c r="H1427" s="157"/>
      <c r="I1427" s="157"/>
      <c r="J1427" s="157"/>
      <c r="K1427" s="157"/>
      <c r="L1427" s="157"/>
      <c r="M1427" s="523"/>
      <c r="N1427" s="157"/>
      <c r="O1427" s="157"/>
    </row>
    <row r="1428" spans="3:15" ht="15" customHeight="1">
      <c r="C1428" s="498"/>
      <c r="D1428" s="256"/>
      <c r="E1428" s="195"/>
      <c r="F1428" s="157"/>
      <c r="G1428" s="157"/>
      <c r="H1428" s="157"/>
      <c r="I1428" s="157"/>
      <c r="J1428" s="157"/>
      <c r="K1428" s="157"/>
      <c r="L1428" s="157"/>
      <c r="M1428" s="523"/>
      <c r="N1428" s="157"/>
      <c r="O1428" s="157"/>
    </row>
    <row r="1429" spans="3:15" ht="15" customHeight="1">
      <c r="C1429" s="498"/>
      <c r="D1429" s="256"/>
      <c r="E1429" s="195"/>
      <c r="F1429" s="157"/>
      <c r="G1429" s="157"/>
      <c r="H1429" s="157"/>
      <c r="I1429" s="157"/>
      <c r="J1429" s="157"/>
      <c r="K1429" s="157"/>
      <c r="L1429" s="157"/>
      <c r="M1429" s="523"/>
      <c r="N1429" s="157"/>
      <c r="O1429" s="157"/>
    </row>
    <row r="1430" spans="3:15" ht="15" customHeight="1">
      <c r="C1430" s="498"/>
      <c r="D1430" s="256"/>
      <c r="E1430" s="195"/>
      <c r="F1430" s="157"/>
      <c r="G1430" s="157"/>
      <c r="H1430" s="157"/>
      <c r="I1430" s="157"/>
      <c r="J1430" s="157"/>
      <c r="K1430" s="157"/>
      <c r="L1430" s="157"/>
      <c r="M1430" s="523"/>
      <c r="N1430" s="157"/>
      <c r="O1430" s="157"/>
    </row>
    <row r="1431" spans="3:15" ht="15" customHeight="1">
      <c r="C1431" s="498"/>
      <c r="D1431" s="256"/>
      <c r="E1431" s="195"/>
      <c r="F1431" s="157"/>
      <c r="G1431" s="157"/>
      <c r="H1431" s="157"/>
      <c r="I1431" s="157"/>
      <c r="J1431" s="157"/>
      <c r="K1431" s="157"/>
      <c r="L1431" s="157"/>
      <c r="M1431" s="523"/>
      <c r="N1431" s="157"/>
      <c r="O1431" s="157"/>
    </row>
    <row r="1432" spans="3:15" ht="15" customHeight="1">
      <c r="C1432" s="498"/>
      <c r="D1432" s="256"/>
      <c r="E1432" s="195"/>
      <c r="F1432" s="157"/>
      <c r="G1432" s="157"/>
      <c r="H1432" s="157"/>
      <c r="I1432" s="157"/>
      <c r="J1432" s="157"/>
      <c r="K1432" s="157"/>
      <c r="L1432" s="157"/>
      <c r="M1432" s="523"/>
      <c r="N1432" s="157"/>
      <c r="O1432" s="157"/>
    </row>
    <row r="1433" spans="3:15" ht="15" customHeight="1">
      <c r="C1433" s="498"/>
      <c r="D1433" s="256"/>
      <c r="E1433" s="195"/>
      <c r="F1433" s="157"/>
      <c r="G1433" s="157"/>
      <c r="H1433" s="157"/>
      <c r="I1433" s="157"/>
      <c r="J1433" s="157"/>
      <c r="K1433" s="157"/>
      <c r="L1433" s="157"/>
      <c r="M1433" s="523"/>
      <c r="N1433" s="157"/>
      <c r="O1433" s="157"/>
    </row>
    <row r="1434" spans="3:15" ht="15" customHeight="1">
      <c r="C1434" s="498"/>
      <c r="D1434" s="256"/>
      <c r="E1434" s="195"/>
      <c r="F1434" s="157"/>
      <c r="G1434" s="157"/>
      <c r="H1434" s="157"/>
      <c r="I1434" s="157"/>
      <c r="J1434" s="157"/>
      <c r="K1434" s="157"/>
      <c r="L1434" s="157"/>
      <c r="M1434" s="523"/>
      <c r="N1434" s="157"/>
      <c r="O1434" s="157"/>
    </row>
    <row r="1435" spans="3:15" ht="15" customHeight="1">
      <c r="C1435" s="498"/>
      <c r="D1435" s="256"/>
      <c r="E1435" s="195"/>
      <c r="F1435" s="157"/>
      <c r="G1435" s="157"/>
      <c r="H1435" s="157"/>
      <c r="I1435" s="157"/>
      <c r="J1435" s="157"/>
      <c r="K1435" s="157"/>
      <c r="L1435" s="157"/>
      <c r="M1435" s="523"/>
      <c r="N1435" s="157"/>
      <c r="O1435" s="157"/>
    </row>
    <row r="1436" spans="3:15" ht="15" customHeight="1">
      <c r="C1436" s="498"/>
      <c r="D1436" s="256"/>
      <c r="E1436" s="195"/>
      <c r="F1436" s="157"/>
      <c r="G1436" s="157"/>
      <c r="H1436" s="157"/>
      <c r="I1436" s="157"/>
      <c r="J1436" s="157"/>
      <c r="K1436" s="157"/>
      <c r="L1436" s="157"/>
      <c r="M1436" s="523"/>
      <c r="N1436" s="157"/>
      <c r="O1436" s="157"/>
    </row>
    <row r="1437" spans="3:15" ht="15" customHeight="1">
      <c r="C1437" s="498"/>
      <c r="D1437" s="256"/>
      <c r="E1437" s="195"/>
      <c r="F1437" s="157"/>
      <c r="G1437" s="157"/>
      <c r="H1437" s="157"/>
      <c r="I1437" s="157"/>
      <c r="J1437" s="157"/>
      <c r="K1437" s="157"/>
      <c r="L1437" s="157"/>
      <c r="M1437" s="523"/>
      <c r="N1437" s="157"/>
      <c r="O1437" s="157"/>
    </row>
    <row r="1438" spans="3:15" ht="15" customHeight="1">
      <c r="C1438" s="498"/>
      <c r="D1438" s="256"/>
      <c r="E1438" s="195"/>
      <c r="F1438" s="157"/>
      <c r="G1438" s="157"/>
      <c r="H1438" s="157"/>
      <c r="I1438" s="157"/>
      <c r="J1438" s="157"/>
      <c r="K1438" s="157"/>
      <c r="L1438" s="157"/>
      <c r="M1438" s="523"/>
      <c r="N1438" s="157"/>
      <c r="O1438" s="157"/>
    </row>
    <row r="1439" spans="3:15" ht="15" customHeight="1">
      <c r="C1439" s="498"/>
      <c r="D1439" s="256"/>
      <c r="E1439" s="195"/>
      <c r="F1439" s="157"/>
      <c r="G1439" s="157"/>
      <c r="H1439" s="157"/>
      <c r="I1439" s="157"/>
      <c r="J1439" s="157"/>
      <c r="K1439" s="157"/>
      <c r="L1439" s="157"/>
      <c r="M1439" s="523"/>
      <c r="N1439" s="157"/>
      <c r="O1439" s="157"/>
    </row>
    <row r="1440" spans="3:15" ht="15" customHeight="1">
      <c r="C1440" s="498"/>
      <c r="D1440" s="256"/>
      <c r="E1440" s="195"/>
      <c r="F1440" s="157"/>
      <c r="G1440" s="157"/>
      <c r="H1440" s="157"/>
      <c r="I1440" s="157"/>
      <c r="J1440" s="157"/>
      <c r="K1440" s="157"/>
      <c r="L1440" s="157"/>
      <c r="M1440" s="523"/>
      <c r="N1440" s="157"/>
      <c r="O1440" s="157"/>
    </row>
    <row r="1441" spans="3:15" ht="15" customHeight="1">
      <c r="C1441" s="498"/>
      <c r="D1441" s="256"/>
      <c r="E1441" s="195"/>
      <c r="F1441" s="157"/>
      <c r="G1441" s="157"/>
      <c r="H1441" s="157"/>
      <c r="I1441" s="157"/>
      <c r="J1441" s="157"/>
      <c r="K1441" s="157"/>
      <c r="L1441" s="157"/>
      <c r="M1441" s="523"/>
      <c r="N1441" s="157"/>
      <c r="O1441" s="157"/>
    </row>
    <row r="1442" spans="3:15" ht="15" customHeight="1">
      <c r="C1442" s="498"/>
      <c r="D1442" s="256"/>
      <c r="E1442" s="195"/>
      <c r="F1442" s="157"/>
      <c r="G1442" s="157"/>
      <c r="H1442" s="157"/>
      <c r="I1442" s="157"/>
      <c r="J1442" s="157"/>
      <c r="K1442" s="157"/>
      <c r="L1442" s="157"/>
      <c r="M1442" s="523"/>
      <c r="N1442" s="157"/>
      <c r="O1442" s="157"/>
    </row>
    <row r="1443" spans="3:15" ht="15" customHeight="1">
      <c r="C1443" s="498"/>
      <c r="D1443" s="256"/>
      <c r="E1443" s="195"/>
      <c r="F1443" s="157"/>
      <c r="G1443" s="157"/>
      <c r="H1443" s="157"/>
      <c r="I1443" s="157"/>
      <c r="J1443" s="157"/>
      <c r="K1443" s="157"/>
      <c r="L1443" s="157"/>
      <c r="M1443" s="523"/>
      <c r="N1443" s="157"/>
      <c r="O1443" s="157"/>
    </row>
    <row r="1444" spans="3:15" ht="15" customHeight="1">
      <c r="C1444" s="498"/>
      <c r="D1444" s="256"/>
      <c r="E1444" s="195"/>
      <c r="F1444" s="157"/>
      <c r="G1444" s="157"/>
      <c r="H1444" s="157"/>
      <c r="I1444" s="157"/>
      <c r="J1444" s="157"/>
      <c r="K1444" s="157"/>
      <c r="L1444" s="157"/>
      <c r="M1444" s="523"/>
      <c r="N1444" s="157"/>
      <c r="O1444" s="157"/>
    </row>
    <row r="1445" spans="3:15" ht="15" customHeight="1">
      <c r="C1445" s="498"/>
      <c r="D1445" s="256"/>
      <c r="E1445" s="195"/>
      <c r="F1445" s="157"/>
      <c r="G1445" s="157"/>
      <c r="H1445" s="157"/>
      <c r="I1445" s="157"/>
      <c r="J1445" s="157"/>
      <c r="K1445" s="157"/>
      <c r="L1445" s="157"/>
      <c r="M1445" s="523"/>
      <c r="N1445" s="157"/>
      <c r="O1445" s="157"/>
    </row>
    <row r="1446" spans="3:15" ht="15" customHeight="1">
      <c r="C1446" s="498"/>
      <c r="D1446" s="256"/>
      <c r="E1446" s="195"/>
      <c r="F1446" s="157"/>
      <c r="G1446" s="157"/>
      <c r="H1446" s="157"/>
      <c r="I1446" s="157"/>
      <c r="J1446" s="157"/>
      <c r="K1446" s="157"/>
      <c r="L1446" s="157"/>
      <c r="M1446" s="523"/>
      <c r="N1446" s="157"/>
      <c r="O1446" s="157"/>
    </row>
    <row r="1447" spans="3:15" ht="15" customHeight="1">
      <c r="C1447" s="498"/>
      <c r="D1447" s="256"/>
      <c r="E1447" s="195"/>
      <c r="F1447" s="157"/>
      <c r="G1447" s="157"/>
      <c r="H1447" s="157"/>
      <c r="I1447" s="157"/>
      <c r="J1447" s="157"/>
      <c r="K1447" s="157"/>
      <c r="L1447" s="157"/>
      <c r="M1447" s="523"/>
      <c r="N1447" s="157"/>
      <c r="O1447" s="157"/>
    </row>
    <row r="1448" spans="3:15" ht="15" customHeight="1">
      <c r="C1448" s="498"/>
      <c r="D1448" s="256"/>
      <c r="E1448" s="195"/>
      <c r="F1448" s="157"/>
      <c r="G1448" s="157"/>
      <c r="H1448" s="157"/>
      <c r="I1448" s="157"/>
      <c r="J1448" s="157"/>
      <c r="K1448" s="157"/>
      <c r="L1448" s="157"/>
      <c r="M1448" s="523"/>
      <c r="N1448" s="157"/>
      <c r="O1448" s="157"/>
    </row>
    <row r="1449" spans="3:15" ht="15" customHeight="1">
      <c r="C1449" s="498"/>
      <c r="D1449" s="256"/>
      <c r="E1449" s="195"/>
      <c r="F1449" s="157"/>
      <c r="G1449" s="157"/>
      <c r="H1449" s="157"/>
      <c r="I1449" s="157"/>
      <c r="J1449" s="157"/>
      <c r="K1449" s="157"/>
      <c r="L1449" s="157"/>
      <c r="M1449" s="523"/>
      <c r="N1449" s="157"/>
      <c r="O1449" s="157"/>
    </row>
    <row r="1450" spans="3:15" ht="15" customHeight="1">
      <c r="C1450" s="498"/>
      <c r="D1450" s="256"/>
      <c r="E1450" s="195"/>
      <c r="F1450" s="157"/>
      <c r="G1450" s="157"/>
      <c r="H1450" s="157"/>
      <c r="I1450" s="157"/>
      <c r="J1450" s="157"/>
      <c r="K1450" s="157"/>
      <c r="L1450" s="157"/>
      <c r="M1450" s="523"/>
      <c r="N1450" s="157"/>
      <c r="O1450" s="157"/>
    </row>
    <row r="1451" spans="3:15" ht="15" customHeight="1">
      <c r="C1451" s="498"/>
      <c r="D1451" s="256"/>
      <c r="E1451" s="195"/>
      <c r="F1451" s="157"/>
      <c r="G1451" s="157"/>
      <c r="H1451" s="157"/>
      <c r="I1451" s="157"/>
      <c r="J1451" s="157"/>
      <c r="K1451" s="157"/>
      <c r="L1451" s="157"/>
      <c r="M1451" s="523"/>
      <c r="N1451" s="157"/>
      <c r="O1451" s="157"/>
    </row>
    <row r="1452" spans="3:15" ht="15" customHeight="1">
      <c r="C1452" s="498"/>
      <c r="D1452" s="256"/>
      <c r="E1452" s="195"/>
      <c r="F1452" s="157"/>
      <c r="G1452" s="157"/>
      <c r="H1452" s="157"/>
      <c r="I1452" s="157"/>
      <c r="J1452" s="157"/>
      <c r="K1452" s="157"/>
      <c r="L1452" s="157"/>
      <c r="M1452" s="523"/>
      <c r="N1452" s="157"/>
      <c r="O1452" s="157"/>
    </row>
    <row r="1453" spans="3:15" ht="15" customHeight="1">
      <c r="C1453" s="498"/>
      <c r="D1453" s="256"/>
      <c r="E1453" s="195"/>
      <c r="F1453" s="157"/>
      <c r="G1453" s="157"/>
      <c r="H1453" s="157"/>
      <c r="I1453" s="157"/>
      <c r="J1453" s="157"/>
      <c r="K1453" s="157"/>
      <c r="L1453" s="157"/>
      <c r="M1453" s="523"/>
      <c r="N1453" s="157"/>
      <c r="O1453" s="157"/>
    </row>
    <row r="1454" spans="3:15" ht="15" customHeight="1">
      <c r="C1454" s="498"/>
      <c r="D1454" s="256"/>
      <c r="E1454" s="195"/>
      <c r="F1454" s="157"/>
      <c r="G1454" s="157"/>
      <c r="H1454" s="157"/>
      <c r="I1454" s="157"/>
      <c r="J1454" s="157"/>
      <c r="K1454" s="157"/>
      <c r="L1454" s="157"/>
      <c r="M1454" s="523"/>
      <c r="N1454" s="157"/>
      <c r="O1454" s="157"/>
    </row>
    <row r="1455" spans="3:15" ht="15" customHeight="1">
      <c r="C1455" s="498"/>
      <c r="D1455" s="256"/>
      <c r="E1455" s="195"/>
      <c r="F1455" s="157"/>
      <c r="G1455" s="157"/>
      <c r="H1455" s="157"/>
      <c r="I1455" s="157"/>
      <c r="J1455" s="157"/>
      <c r="K1455" s="157"/>
      <c r="L1455" s="157"/>
      <c r="M1455" s="523"/>
      <c r="N1455" s="157"/>
      <c r="O1455" s="157"/>
    </row>
    <row r="1456" spans="3:15" ht="15" customHeight="1">
      <c r="C1456" s="498"/>
      <c r="D1456" s="256"/>
      <c r="E1456" s="195"/>
      <c r="F1456" s="157"/>
      <c r="G1456" s="157"/>
      <c r="H1456" s="157"/>
      <c r="I1456" s="157"/>
      <c r="J1456" s="157"/>
      <c r="K1456" s="157"/>
      <c r="L1456" s="157"/>
      <c r="M1456" s="523"/>
      <c r="N1456" s="157"/>
      <c r="O1456" s="157"/>
    </row>
    <row r="1457" spans="3:15" ht="15" customHeight="1">
      <c r="C1457" s="498"/>
      <c r="D1457" s="256"/>
      <c r="E1457" s="195"/>
      <c r="F1457" s="157"/>
      <c r="G1457" s="157"/>
      <c r="H1457" s="157"/>
      <c r="I1457" s="157"/>
      <c r="J1457" s="157"/>
      <c r="K1457" s="157"/>
      <c r="L1457" s="157"/>
      <c r="M1457" s="523"/>
      <c r="N1457" s="157"/>
      <c r="O1457" s="157"/>
    </row>
    <row r="1458" spans="3:15" ht="15" customHeight="1">
      <c r="C1458" s="498"/>
      <c r="D1458" s="256"/>
      <c r="E1458" s="195"/>
      <c r="F1458" s="157"/>
      <c r="G1458" s="157"/>
      <c r="H1458" s="157"/>
      <c r="I1458" s="157"/>
      <c r="J1458" s="157"/>
      <c r="K1458" s="157"/>
      <c r="L1458" s="157"/>
      <c r="M1458" s="523"/>
      <c r="N1458" s="157"/>
      <c r="O1458" s="157"/>
    </row>
    <row r="1459" spans="3:15" ht="15" customHeight="1">
      <c r="C1459" s="498"/>
      <c r="D1459" s="256"/>
      <c r="E1459" s="195"/>
      <c r="F1459" s="157"/>
      <c r="G1459" s="157"/>
      <c r="H1459" s="157"/>
      <c r="I1459" s="157"/>
      <c r="J1459" s="157"/>
      <c r="K1459" s="157"/>
      <c r="L1459" s="157"/>
      <c r="M1459" s="523"/>
      <c r="N1459" s="157"/>
      <c r="O1459" s="157"/>
    </row>
    <row r="1460" spans="3:15" ht="15" customHeight="1">
      <c r="C1460" s="498"/>
      <c r="D1460" s="256"/>
      <c r="E1460" s="195"/>
      <c r="F1460" s="157"/>
      <c r="G1460" s="157"/>
      <c r="H1460" s="157"/>
      <c r="I1460" s="157"/>
      <c r="J1460" s="157"/>
      <c r="K1460" s="157"/>
      <c r="L1460" s="157"/>
      <c r="M1460" s="523"/>
      <c r="N1460" s="157"/>
      <c r="O1460" s="157"/>
    </row>
    <row r="1461" spans="3:15" ht="15" customHeight="1">
      <c r="C1461" s="498"/>
      <c r="D1461" s="256"/>
      <c r="E1461" s="195"/>
      <c r="F1461" s="157"/>
      <c r="G1461" s="157"/>
      <c r="H1461" s="157"/>
      <c r="I1461" s="157"/>
      <c r="J1461" s="157"/>
      <c r="K1461" s="157"/>
      <c r="L1461" s="157"/>
      <c r="M1461" s="523"/>
      <c r="N1461" s="157"/>
      <c r="O1461" s="157"/>
    </row>
    <row r="1462" spans="3:15" ht="15" customHeight="1">
      <c r="C1462" s="498"/>
      <c r="D1462" s="256"/>
      <c r="E1462" s="195"/>
      <c r="F1462" s="157"/>
      <c r="G1462" s="157"/>
      <c r="H1462" s="157"/>
      <c r="I1462" s="157"/>
      <c r="J1462" s="157"/>
      <c r="K1462" s="157"/>
      <c r="L1462" s="157"/>
      <c r="M1462" s="523"/>
      <c r="N1462" s="157"/>
      <c r="O1462" s="157"/>
    </row>
    <row r="1463" spans="3:15" ht="15" customHeight="1">
      <c r="C1463" s="498"/>
      <c r="D1463" s="256"/>
      <c r="E1463" s="195"/>
      <c r="F1463" s="157"/>
      <c r="G1463" s="157"/>
      <c r="H1463" s="157"/>
      <c r="I1463" s="157"/>
      <c r="J1463" s="157"/>
      <c r="K1463" s="157"/>
      <c r="L1463" s="157"/>
      <c r="M1463" s="523"/>
      <c r="N1463" s="157"/>
      <c r="O1463" s="157"/>
    </row>
    <row r="1464" spans="3:15" ht="15" customHeight="1">
      <c r="C1464" s="498"/>
      <c r="D1464" s="256"/>
      <c r="E1464" s="195"/>
      <c r="F1464" s="157"/>
      <c r="G1464" s="157"/>
      <c r="H1464" s="157"/>
      <c r="I1464" s="157"/>
      <c r="J1464" s="157"/>
      <c r="K1464" s="157"/>
      <c r="L1464" s="157"/>
      <c r="M1464" s="523"/>
      <c r="N1464" s="157"/>
      <c r="O1464" s="157"/>
    </row>
    <row r="1465" spans="3:15" ht="15" customHeight="1">
      <c r="C1465" s="498"/>
      <c r="D1465" s="256"/>
      <c r="E1465" s="195"/>
      <c r="F1465" s="157"/>
      <c r="G1465" s="157"/>
      <c r="H1465" s="157"/>
      <c r="I1465" s="157"/>
      <c r="J1465" s="157"/>
      <c r="K1465" s="157"/>
      <c r="L1465" s="157"/>
      <c r="M1465" s="523"/>
      <c r="N1465" s="157"/>
      <c r="O1465" s="157"/>
    </row>
    <row r="1466" spans="3:15" ht="15" customHeight="1">
      <c r="C1466" s="498"/>
      <c r="D1466" s="256"/>
      <c r="E1466" s="195"/>
      <c r="F1466" s="157"/>
      <c r="G1466" s="157"/>
      <c r="H1466" s="157"/>
      <c r="I1466" s="157"/>
      <c r="J1466" s="157"/>
      <c r="K1466" s="157"/>
      <c r="L1466" s="157"/>
      <c r="M1466" s="523"/>
      <c r="N1466" s="157"/>
      <c r="O1466" s="157"/>
    </row>
    <row r="1467" spans="3:15" ht="15" customHeight="1">
      <c r="C1467" s="498"/>
      <c r="D1467" s="256"/>
      <c r="E1467" s="195"/>
      <c r="F1467" s="157"/>
      <c r="G1467" s="157"/>
      <c r="H1467" s="157"/>
      <c r="I1467" s="157"/>
      <c r="J1467" s="157"/>
      <c r="K1467" s="157"/>
      <c r="L1467" s="157"/>
      <c r="M1467" s="523"/>
      <c r="N1467" s="157"/>
      <c r="O1467" s="157"/>
    </row>
    <row r="1468" spans="3:15" ht="15" customHeight="1">
      <c r="C1468" s="498"/>
      <c r="D1468" s="256"/>
      <c r="E1468" s="195"/>
      <c r="F1468" s="157"/>
      <c r="G1468" s="157"/>
      <c r="H1468" s="157"/>
      <c r="I1468" s="157"/>
      <c r="J1468" s="157"/>
      <c r="K1468" s="157"/>
      <c r="L1468" s="157"/>
      <c r="M1468" s="523"/>
      <c r="N1468" s="157"/>
      <c r="O1468" s="157"/>
    </row>
    <row r="1469" spans="3:15" ht="15" customHeight="1">
      <c r="C1469" s="498"/>
      <c r="D1469" s="256"/>
      <c r="E1469" s="195"/>
      <c r="F1469" s="157"/>
      <c r="G1469" s="157"/>
      <c r="H1469" s="157"/>
      <c r="I1469" s="157"/>
      <c r="J1469" s="157"/>
      <c r="K1469" s="157"/>
      <c r="L1469" s="157"/>
      <c r="M1469" s="523"/>
      <c r="N1469" s="157"/>
      <c r="O1469" s="157"/>
    </row>
    <row r="1470" spans="3:15" ht="15" customHeight="1">
      <c r="C1470" s="498"/>
      <c r="D1470" s="256"/>
      <c r="E1470" s="195"/>
      <c r="F1470" s="157"/>
      <c r="G1470" s="157"/>
      <c r="H1470" s="157"/>
      <c r="I1470" s="157"/>
      <c r="J1470" s="157"/>
      <c r="K1470" s="157"/>
      <c r="L1470" s="157"/>
      <c r="M1470" s="523"/>
      <c r="N1470" s="157"/>
      <c r="O1470" s="157"/>
    </row>
    <row r="1471" spans="3:15" ht="15" customHeight="1">
      <c r="C1471" s="498"/>
      <c r="D1471" s="256"/>
      <c r="E1471" s="195"/>
      <c r="F1471" s="157"/>
      <c r="G1471" s="157"/>
      <c r="H1471" s="157"/>
      <c r="I1471" s="157"/>
      <c r="J1471" s="157"/>
      <c r="K1471" s="157"/>
      <c r="L1471" s="157"/>
      <c r="M1471" s="523"/>
      <c r="N1471" s="157"/>
      <c r="O1471" s="157"/>
    </row>
    <row r="1472" spans="3:15" ht="15" customHeight="1">
      <c r="C1472" s="498"/>
      <c r="D1472" s="256"/>
      <c r="E1472" s="195"/>
      <c r="F1472" s="157"/>
      <c r="G1472" s="157"/>
      <c r="H1472" s="157"/>
      <c r="I1472" s="157"/>
      <c r="J1472" s="157"/>
      <c r="K1472" s="157"/>
      <c r="L1472" s="157"/>
      <c r="M1472" s="523"/>
      <c r="N1472" s="157"/>
      <c r="O1472" s="157"/>
    </row>
    <row r="1473" spans="3:15" ht="15" customHeight="1">
      <c r="C1473" s="498"/>
      <c r="D1473" s="256"/>
      <c r="E1473" s="195"/>
      <c r="F1473" s="157"/>
      <c r="G1473" s="157"/>
      <c r="H1473" s="157"/>
      <c r="I1473" s="157"/>
      <c r="J1473" s="157"/>
      <c r="K1473" s="157"/>
      <c r="L1473" s="157"/>
      <c r="M1473" s="523"/>
      <c r="N1473" s="157"/>
      <c r="O1473" s="157"/>
    </row>
    <row r="1474" spans="3:15" ht="15" customHeight="1">
      <c r="C1474" s="498"/>
      <c r="D1474" s="256"/>
      <c r="E1474" s="195"/>
      <c r="F1474" s="157"/>
      <c r="G1474" s="157"/>
      <c r="H1474" s="157"/>
      <c r="I1474" s="157"/>
      <c r="J1474" s="157"/>
      <c r="K1474" s="157"/>
      <c r="L1474" s="157"/>
      <c r="M1474" s="523"/>
      <c r="N1474" s="157"/>
      <c r="O1474" s="157"/>
    </row>
    <row r="1475" spans="3:15" ht="15" customHeight="1">
      <c r="C1475" s="498"/>
      <c r="D1475" s="256"/>
      <c r="E1475" s="195"/>
      <c r="F1475" s="157"/>
      <c r="G1475" s="157"/>
      <c r="H1475" s="157"/>
      <c r="I1475" s="157"/>
      <c r="J1475" s="157"/>
      <c r="K1475" s="157"/>
      <c r="L1475" s="157"/>
      <c r="M1475" s="523"/>
      <c r="N1475" s="157"/>
      <c r="O1475" s="157"/>
    </row>
    <row r="1476" spans="3:15" ht="15" customHeight="1">
      <c r="C1476" s="498"/>
      <c r="D1476" s="256"/>
      <c r="E1476" s="195"/>
      <c r="F1476" s="157"/>
      <c r="G1476" s="157"/>
      <c r="H1476" s="157"/>
      <c r="I1476" s="157"/>
      <c r="J1476" s="157"/>
      <c r="K1476" s="157"/>
      <c r="L1476" s="157"/>
      <c r="M1476" s="523"/>
      <c r="N1476" s="157"/>
      <c r="O1476" s="157"/>
    </row>
    <row r="1477" spans="3:15" ht="15" customHeight="1">
      <c r="C1477" s="498"/>
      <c r="D1477" s="256"/>
      <c r="E1477" s="195"/>
      <c r="F1477" s="157"/>
      <c r="G1477" s="157"/>
      <c r="H1477" s="157"/>
      <c r="I1477" s="157"/>
      <c r="J1477" s="157"/>
      <c r="K1477" s="157"/>
      <c r="L1477" s="157"/>
      <c r="M1477" s="523"/>
      <c r="N1477" s="157"/>
      <c r="O1477" s="157"/>
    </row>
    <row r="1478" spans="3:15" ht="15" customHeight="1">
      <c r="C1478" s="498"/>
      <c r="D1478" s="256"/>
      <c r="E1478" s="195"/>
      <c r="F1478" s="157"/>
      <c r="G1478" s="157"/>
      <c r="H1478" s="157"/>
      <c r="I1478" s="157"/>
      <c r="J1478" s="157"/>
      <c r="K1478" s="157"/>
      <c r="L1478" s="157"/>
      <c r="M1478" s="523"/>
      <c r="N1478" s="157"/>
      <c r="O1478" s="157"/>
    </row>
    <row r="1479" spans="3:15" ht="15" customHeight="1">
      <c r="C1479" s="498"/>
      <c r="D1479" s="256"/>
      <c r="E1479" s="195"/>
      <c r="F1479" s="157"/>
      <c r="G1479" s="157"/>
      <c r="H1479" s="157"/>
      <c r="I1479" s="157"/>
      <c r="J1479" s="157"/>
      <c r="K1479" s="157"/>
      <c r="L1479" s="157"/>
      <c r="M1479" s="523"/>
      <c r="N1479" s="157"/>
      <c r="O1479" s="157"/>
    </row>
    <row r="1480" spans="3:15" ht="15" customHeight="1">
      <c r="C1480" s="498"/>
      <c r="D1480" s="256"/>
      <c r="E1480" s="195"/>
      <c r="F1480" s="157"/>
      <c r="G1480" s="157"/>
      <c r="H1480" s="157"/>
      <c r="I1480" s="157"/>
      <c r="J1480" s="157"/>
      <c r="K1480" s="157"/>
      <c r="L1480" s="157"/>
      <c r="M1480" s="523"/>
      <c r="N1480" s="157"/>
      <c r="O1480" s="157"/>
    </row>
    <row r="1481" spans="3:15" ht="15" customHeight="1">
      <c r="C1481" s="498"/>
      <c r="D1481" s="256"/>
      <c r="E1481" s="195"/>
      <c r="F1481" s="157"/>
      <c r="G1481" s="157"/>
      <c r="H1481" s="157"/>
      <c r="I1481" s="157"/>
      <c r="J1481" s="157"/>
      <c r="K1481" s="157"/>
      <c r="L1481" s="157"/>
      <c r="M1481" s="523"/>
      <c r="N1481" s="157"/>
      <c r="O1481" s="157"/>
    </row>
    <row r="1482" spans="3:15" ht="15" customHeight="1">
      <c r="C1482" s="498"/>
      <c r="D1482" s="256"/>
      <c r="E1482" s="195"/>
      <c r="F1482" s="157"/>
      <c r="G1482" s="157"/>
      <c r="H1482" s="157"/>
      <c r="I1482" s="157"/>
      <c r="J1482" s="157"/>
      <c r="K1482" s="157"/>
      <c r="L1482" s="157"/>
      <c r="M1482" s="523"/>
      <c r="N1482" s="157"/>
      <c r="O1482" s="157"/>
    </row>
    <row r="1483" spans="3:15" ht="15" customHeight="1">
      <c r="C1483" s="498"/>
      <c r="D1483" s="256"/>
      <c r="E1483" s="195"/>
      <c r="F1483" s="157"/>
      <c r="G1483" s="157"/>
      <c r="H1483" s="157"/>
      <c r="I1483" s="157"/>
      <c r="J1483" s="157"/>
      <c r="K1483" s="157"/>
      <c r="L1483" s="157"/>
      <c r="M1483" s="523"/>
      <c r="N1483" s="157"/>
      <c r="O1483" s="157"/>
    </row>
    <row r="1484" spans="3:15" ht="15" customHeight="1">
      <c r="C1484" s="498"/>
      <c r="D1484" s="256"/>
      <c r="E1484" s="195"/>
      <c r="F1484" s="157"/>
      <c r="G1484" s="157"/>
      <c r="H1484" s="157"/>
      <c r="I1484" s="157"/>
      <c r="J1484" s="157"/>
      <c r="K1484" s="157"/>
      <c r="L1484" s="157"/>
      <c r="M1484" s="523"/>
      <c r="N1484" s="157"/>
      <c r="O1484" s="157"/>
    </row>
    <row r="1485" spans="3:15" ht="15" customHeight="1">
      <c r="C1485" s="498"/>
      <c r="D1485" s="256"/>
      <c r="E1485" s="195"/>
      <c r="F1485" s="157"/>
      <c r="G1485" s="157"/>
      <c r="H1485" s="157"/>
      <c r="I1485" s="157"/>
      <c r="J1485" s="157"/>
      <c r="K1485" s="157"/>
      <c r="L1485" s="157"/>
      <c r="M1485" s="523"/>
      <c r="N1485" s="157"/>
      <c r="O1485" s="157"/>
    </row>
    <row r="1486" spans="3:15" ht="15" customHeight="1">
      <c r="C1486" s="498"/>
      <c r="D1486" s="256"/>
      <c r="E1486" s="195"/>
      <c r="F1486" s="157"/>
      <c r="G1486" s="157"/>
      <c r="H1486" s="157"/>
      <c r="I1486" s="157"/>
      <c r="J1486" s="157"/>
      <c r="K1486" s="157"/>
      <c r="L1486" s="157"/>
      <c r="M1486" s="523"/>
      <c r="N1486" s="157"/>
      <c r="O1486" s="157"/>
    </row>
    <row r="1487" spans="3:15" ht="15" customHeight="1">
      <c r="C1487" s="498"/>
      <c r="D1487" s="256"/>
      <c r="E1487" s="195"/>
      <c r="F1487" s="157"/>
      <c r="G1487" s="157"/>
      <c r="H1487" s="157"/>
      <c r="I1487" s="157"/>
      <c r="J1487" s="157"/>
      <c r="K1487" s="157"/>
      <c r="L1487" s="157"/>
      <c r="M1487" s="523"/>
      <c r="N1487" s="157"/>
      <c r="O1487" s="157"/>
    </row>
    <row r="1488" spans="3:15" ht="15" customHeight="1">
      <c r="C1488" s="498"/>
      <c r="D1488" s="256"/>
      <c r="E1488" s="195"/>
      <c r="F1488" s="157"/>
      <c r="G1488" s="157"/>
      <c r="H1488" s="157"/>
      <c r="I1488" s="157"/>
      <c r="J1488" s="157"/>
      <c r="K1488" s="157"/>
      <c r="L1488" s="157"/>
      <c r="M1488" s="523"/>
      <c r="N1488" s="157"/>
      <c r="O1488" s="157"/>
    </row>
    <row r="1489" spans="3:15" ht="15" customHeight="1">
      <c r="C1489" s="498"/>
      <c r="D1489" s="256"/>
      <c r="E1489" s="195"/>
      <c r="F1489" s="157"/>
      <c r="G1489" s="157"/>
      <c r="H1489" s="157"/>
      <c r="I1489" s="157"/>
      <c r="J1489" s="157"/>
      <c r="K1489" s="157"/>
      <c r="L1489" s="157"/>
      <c r="M1489" s="523"/>
      <c r="N1489" s="157"/>
      <c r="O1489" s="157"/>
    </row>
    <row r="1490" spans="3:15" ht="15" customHeight="1">
      <c r="C1490" s="498"/>
      <c r="D1490" s="256"/>
      <c r="E1490" s="195"/>
      <c r="F1490" s="157"/>
      <c r="G1490" s="157"/>
      <c r="H1490" s="157"/>
      <c r="I1490" s="157"/>
      <c r="J1490" s="157"/>
      <c r="K1490" s="157"/>
      <c r="L1490" s="157"/>
      <c r="M1490" s="523"/>
      <c r="N1490" s="157"/>
      <c r="O1490" s="157"/>
    </row>
    <row r="1491" spans="3:15" ht="15" customHeight="1">
      <c r="C1491" s="498"/>
      <c r="D1491" s="256"/>
      <c r="E1491" s="195"/>
      <c r="F1491" s="157"/>
      <c r="G1491" s="157"/>
      <c r="H1491" s="157"/>
      <c r="I1491" s="157"/>
      <c r="J1491" s="157"/>
      <c r="K1491" s="157"/>
      <c r="L1491" s="157"/>
      <c r="M1491" s="523"/>
      <c r="N1491" s="157"/>
      <c r="O1491" s="157"/>
    </row>
    <row r="1492" spans="3:15" ht="15" customHeight="1">
      <c r="C1492" s="498"/>
      <c r="D1492" s="256"/>
      <c r="E1492" s="195"/>
      <c r="F1492" s="157"/>
      <c r="G1492" s="157"/>
      <c r="H1492" s="157"/>
      <c r="I1492" s="157"/>
      <c r="J1492" s="157"/>
      <c r="K1492" s="157"/>
      <c r="L1492" s="157"/>
      <c r="M1492" s="523"/>
      <c r="N1492" s="157"/>
      <c r="O1492" s="157"/>
    </row>
    <row r="1493" spans="3:15" ht="15" customHeight="1">
      <c r="C1493" s="498"/>
      <c r="D1493" s="256"/>
      <c r="E1493" s="195"/>
      <c r="F1493" s="157"/>
      <c r="G1493" s="157"/>
      <c r="H1493" s="157"/>
      <c r="I1493" s="157"/>
      <c r="J1493" s="157"/>
      <c r="K1493" s="157"/>
      <c r="L1493" s="157"/>
      <c r="M1493" s="523"/>
      <c r="N1493" s="157"/>
      <c r="O1493" s="157"/>
    </row>
    <row r="1494" spans="3:15" ht="15" customHeight="1">
      <c r="C1494" s="498"/>
      <c r="D1494" s="256"/>
      <c r="E1494" s="195"/>
      <c r="F1494" s="157"/>
      <c r="G1494" s="157"/>
      <c r="H1494" s="157"/>
      <c r="I1494" s="157"/>
      <c r="J1494" s="157"/>
      <c r="K1494" s="157"/>
      <c r="L1494" s="157"/>
      <c r="M1494" s="523"/>
      <c r="N1494" s="157"/>
      <c r="O1494" s="157"/>
    </row>
    <row r="1495" spans="3:15" ht="15" customHeight="1">
      <c r="C1495" s="498"/>
      <c r="D1495" s="256"/>
      <c r="E1495" s="195"/>
      <c r="F1495" s="157"/>
      <c r="G1495" s="157"/>
      <c r="H1495" s="157"/>
      <c r="I1495" s="157"/>
      <c r="J1495" s="157"/>
      <c r="K1495" s="157"/>
      <c r="L1495" s="157"/>
      <c r="M1495" s="523"/>
      <c r="N1495" s="157"/>
      <c r="O1495" s="157"/>
    </row>
    <row r="1496" spans="3:15" ht="15" customHeight="1">
      <c r="C1496" s="498"/>
      <c r="D1496" s="256"/>
      <c r="E1496" s="195"/>
      <c r="F1496" s="157"/>
      <c r="G1496" s="157"/>
      <c r="H1496" s="157"/>
      <c r="I1496" s="157"/>
      <c r="J1496" s="157"/>
      <c r="K1496" s="157"/>
      <c r="L1496" s="157"/>
      <c r="M1496" s="523"/>
      <c r="N1496" s="157"/>
      <c r="O1496" s="157"/>
    </row>
    <row r="1497" spans="3:15" ht="15" customHeight="1">
      <c r="C1497" s="498"/>
      <c r="D1497" s="256"/>
      <c r="E1497" s="195"/>
      <c r="F1497" s="157"/>
      <c r="G1497" s="157"/>
      <c r="H1497" s="157"/>
      <c r="I1497" s="157"/>
      <c r="J1497" s="157"/>
      <c r="K1497" s="157"/>
      <c r="L1497" s="157"/>
      <c r="M1497" s="523"/>
      <c r="N1497" s="157"/>
      <c r="O1497" s="157"/>
    </row>
    <row r="1498" spans="3:15" ht="15" customHeight="1">
      <c r="C1498" s="498"/>
      <c r="D1498" s="256"/>
      <c r="E1498" s="195"/>
      <c r="F1498" s="157"/>
      <c r="G1498" s="157"/>
      <c r="H1498" s="157"/>
      <c r="I1498" s="157"/>
      <c r="J1498" s="157"/>
      <c r="K1498" s="157"/>
      <c r="L1498" s="157"/>
      <c r="M1498" s="523"/>
      <c r="N1498" s="157"/>
      <c r="O1498" s="157"/>
    </row>
    <row r="1499" spans="3:15" ht="15" customHeight="1">
      <c r="C1499" s="498"/>
      <c r="D1499" s="256"/>
      <c r="E1499" s="195"/>
      <c r="F1499" s="157"/>
      <c r="G1499" s="157"/>
      <c r="H1499" s="157"/>
      <c r="I1499" s="157"/>
      <c r="J1499" s="157"/>
      <c r="K1499" s="157"/>
      <c r="L1499" s="157"/>
      <c r="M1499" s="523"/>
      <c r="N1499" s="157"/>
      <c r="O1499" s="157"/>
    </row>
    <row r="1500" spans="3:15" ht="15" customHeight="1">
      <c r="C1500" s="498"/>
      <c r="D1500" s="256"/>
      <c r="E1500" s="195"/>
      <c r="F1500" s="157"/>
      <c r="G1500" s="157"/>
      <c r="H1500" s="157"/>
      <c r="I1500" s="157"/>
      <c r="J1500" s="157"/>
      <c r="K1500" s="157"/>
      <c r="L1500" s="157"/>
      <c r="M1500" s="523"/>
      <c r="N1500" s="157"/>
      <c r="O1500" s="157"/>
    </row>
    <row r="1501" spans="3:15" ht="15" customHeight="1">
      <c r="C1501" s="498"/>
      <c r="D1501" s="256"/>
      <c r="E1501" s="195"/>
      <c r="F1501" s="157"/>
      <c r="G1501" s="157"/>
      <c r="H1501" s="157"/>
      <c r="I1501" s="157"/>
      <c r="J1501" s="157"/>
      <c r="K1501" s="157"/>
      <c r="L1501" s="157"/>
      <c r="M1501" s="523"/>
      <c r="N1501" s="157"/>
      <c r="O1501" s="157"/>
    </row>
    <row r="1502" spans="3:15" ht="15" customHeight="1">
      <c r="C1502" s="498"/>
      <c r="D1502" s="256"/>
      <c r="E1502" s="195"/>
      <c r="F1502" s="157"/>
      <c r="G1502" s="157"/>
      <c r="H1502" s="157"/>
      <c r="I1502" s="157"/>
      <c r="J1502" s="157"/>
      <c r="K1502" s="157"/>
      <c r="L1502" s="157"/>
      <c r="M1502" s="523"/>
      <c r="N1502" s="157"/>
      <c r="O1502" s="157"/>
    </row>
    <row r="1503" spans="3:15" ht="15" customHeight="1">
      <c r="C1503" s="498"/>
      <c r="D1503" s="256"/>
      <c r="E1503" s="195"/>
      <c r="F1503" s="157"/>
      <c r="G1503" s="157"/>
      <c r="H1503" s="157"/>
      <c r="I1503" s="157"/>
      <c r="J1503" s="157"/>
      <c r="K1503" s="157"/>
      <c r="L1503" s="157"/>
      <c r="M1503" s="523"/>
      <c r="N1503" s="157"/>
      <c r="O1503" s="157"/>
    </row>
    <row r="1504" spans="3:15" ht="15" customHeight="1">
      <c r="C1504" s="498"/>
      <c r="D1504" s="256"/>
      <c r="E1504" s="195"/>
      <c r="F1504" s="157"/>
      <c r="G1504" s="157"/>
      <c r="H1504" s="157"/>
      <c r="I1504" s="157"/>
      <c r="J1504" s="157"/>
      <c r="K1504" s="157"/>
      <c r="L1504" s="157"/>
      <c r="M1504" s="523"/>
      <c r="N1504" s="157"/>
      <c r="O1504" s="157"/>
    </row>
    <row r="1505" spans="3:15" ht="15" customHeight="1">
      <c r="C1505" s="498"/>
      <c r="D1505" s="256"/>
      <c r="E1505" s="195"/>
      <c r="F1505" s="157"/>
      <c r="G1505" s="157"/>
      <c r="H1505" s="157"/>
      <c r="I1505" s="157"/>
      <c r="J1505" s="157"/>
      <c r="K1505" s="157"/>
      <c r="L1505" s="157"/>
      <c r="M1505" s="523"/>
      <c r="N1505" s="157"/>
      <c r="O1505" s="157"/>
    </row>
    <row r="1506" spans="3:15" ht="15" customHeight="1">
      <c r="C1506" s="498"/>
      <c r="D1506" s="256"/>
      <c r="E1506" s="195"/>
      <c r="F1506" s="157"/>
      <c r="G1506" s="157"/>
      <c r="H1506" s="157"/>
      <c r="I1506" s="157"/>
      <c r="J1506" s="157"/>
      <c r="K1506" s="157"/>
      <c r="L1506" s="157"/>
      <c r="M1506" s="523"/>
      <c r="N1506" s="157"/>
      <c r="O1506" s="157"/>
    </row>
    <row r="1507" spans="3:15" ht="15" customHeight="1">
      <c r="C1507" s="498"/>
      <c r="D1507" s="256"/>
      <c r="E1507" s="195"/>
      <c r="F1507" s="157"/>
      <c r="G1507" s="157"/>
      <c r="H1507" s="157"/>
      <c r="I1507" s="157"/>
      <c r="J1507" s="157"/>
      <c r="K1507" s="157"/>
      <c r="L1507" s="157"/>
      <c r="M1507" s="523"/>
      <c r="N1507" s="157"/>
      <c r="O1507" s="157"/>
    </row>
    <row r="1508" spans="3:15" ht="15" customHeight="1">
      <c r="C1508" s="498"/>
      <c r="D1508" s="256"/>
      <c r="E1508" s="195"/>
      <c r="F1508" s="157"/>
      <c r="G1508" s="157"/>
      <c r="H1508" s="157"/>
      <c r="I1508" s="157"/>
      <c r="J1508" s="157"/>
      <c r="K1508" s="157"/>
      <c r="L1508" s="157"/>
      <c r="M1508" s="523"/>
      <c r="N1508" s="157"/>
      <c r="O1508" s="157"/>
    </row>
    <row r="1509" spans="3:15" ht="15" customHeight="1">
      <c r="C1509" s="498"/>
      <c r="D1509" s="256"/>
      <c r="E1509" s="195"/>
      <c r="F1509" s="157"/>
      <c r="G1509" s="157"/>
      <c r="H1509" s="157"/>
      <c r="I1509" s="157"/>
      <c r="J1509" s="157"/>
      <c r="K1509" s="157"/>
      <c r="L1509" s="157"/>
      <c r="M1509" s="523"/>
      <c r="N1509" s="157"/>
      <c r="O1509" s="157"/>
    </row>
    <row r="1510" spans="3:15" ht="15" customHeight="1">
      <c r="C1510" s="498"/>
      <c r="D1510" s="256"/>
      <c r="E1510" s="195"/>
      <c r="F1510" s="157"/>
      <c r="G1510" s="157"/>
      <c r="H1510" s="157"/>
      <c r="I1510" s="157"/>
      <c r="J1510" s="157"/>
      <c r="K1510" s="157"/>
      <c r="L1510" s="157"/>
      <c r="M1510" s="523"/>
      <c r="N1510" s="157"/>
      <c r="O1510" s="157"/>
    </row>
    <row r="1511" spans="3:15" ht="15" customHeight="1">
      <c r="C1511" s="498"/>
      <c r="D1511" s="256"/>
      <c r="E1511" s="195"/>
      <c r="F1511" s="157"/>
      <c r="G1511" s="157"/>
      <c r="H1511" s="157"/>
      <c r="I1511" s="157"/>
      <c r="J1511" s="157"/>
      <c r="K1511" s="157"/>
      <c r="L1511" s="157"/>
      <c r="M1511" s="523"/>
      <c r="N1511" s="157"/>
      <c r="O1511" s="157"/>
    </row>
    <row r="1512" spans="3:15" ht="15" customHeight="1">
      <c r="C1512" s="498"/>
      <c r="D1512" s="256"/>
      <c r="E1512" s="195"/>
      <c r="F1512" s="157"/>
      <c r="G1512" s="157"/>
      <c r="H1512" s="157"/>
      <c r="I1512" s="157"/>
      <c r="J1512" s="157"/>
      <c r="K1512" s="157"/>
      <c r="L1512" s="157"/>
      <c r="M1512" s="523"/>
      <c r="N1512" s="157"/>
      <c r="O1512" s="157"/>
    </row>
    <row r="1513" spans="3:15" ht="15" customHeight="1">
      <c r="C1513" s="498"/>
      <c r="D1513" s="256"/>
      <c r="E1513" s="195"/>
      <c r="F1513" s="157"/>
      <c r="G1513" s="157"/>
      <c r="H1513" s="157"/>
      <c r="I1513" s="157"/>
      <c r="J1513" s="157"/>
      <c r="K1513" s="157"/>
      <c r="L1513" s="157"/>
      <c r="M1513" s="523"/>
      <c r="N1513" s="157"/>
      <c r="O1513" s="157"/>
    </row>
    <row r="1514" spans="3:15" ht="15" customHeight="1">
      <c r="C1514" s="498"/>
      <c r="D1514" s="256"/>
      <c r="E1514" s="195"/>
      <c r="F1514" s="157"/>
      <c r="G1514" s="157"/>
      <c r="H1514" s="157"/>
      <c r="I1514" s="157"/>
      <c r="J1514" s="157"/>
      <c r="K1514" s="157"/>
      <c r="L1514" s="157"/>
      <c r="M1514" s="523"/>
      <c r="N1514" s="157"/>
      <c r="O1514" s="157"/>
    </row>
    <row r="1515" spans="3:15" ht="15" customHeight="1">
      <c r="C1515" s="498"/>
      <c r="D1515" s="256"/>
      <c r="E1515" s="195"/>
      <c r="F1515" s="157"/>
      <c r="G1515" s="157"/>
      <c r="H1515" s="157"/>
      <c r="I1515" s="157"/>
      <c r="J1515" s="157"/>
      <c r="K1515" s="157"/>
      <c r="L1515" s="157"/>
      <c r="M1515" s="523"/>
      <c r="N1515" s="157"/>
      <c r="O1515" s="157"/>
    </row>
    <row r="1516" spans="3:15" ht="15" customHeight="1">
      <c r="C1516" s="498"/>
      <c r="D1516" s="256"/>
      <c r="E1516" s="195"/>
      <c r="F1516" s="157"/>
      <c r="G1516" s="157"/>
      <c r="H1516" s="157"/>
      <c r="I1516" s="157"/>
      <c r="J1516" s="157"/>
      <c r="K1516" s="157"/>
      <c r="L1516" s="157"/>
      <c r="M1516" s="523"/>
      <c r="N1516" s="157"/>
      <c r="O1516" s="157"/>
    </row>
    <row r="1517" spans="3:15" ht="15" customHeight="1">
      <c r="C1517" s="498"/>
      <c r="D1517" s="256"/>
      <c r="E1517" s="195"/>
      <c r="F1517" s="157"/>
      <c r="G1517" s="157"/>
      <c r="H1517" s="157"/>
      <c r="I1517" s="157"/>
      <c r="J1517" s="157"/>
      <c r="K1517" s="157"/>
      <c r="L1517" s="157"/>
      <c r="M1517" s="523"/>
      <c r="N1517" s="157"/>
      <c r="O1517" s="157"/>
    </row>
    <row r="1518" spans="3:15" ht="15" customHeight="1">
      <c r="C1518" s="498"/>
      <c r="D1518" s="256"/>
      <c r="E1518" s="195"/>
      <c r="F1518" s="157"/>
      <c r="G1518" s="157"/>
      <c r="H1518" s="157"/>
      <c r="I1518" s="157"/>
      <c r="J1518" s="157"/>
      <c r="K1518" s="157"/>
      <c r="L1518" s="157"/>
      <c r="M1518" s="523"/>
      <c r="N1518" s="157"/>
      <c r="O1518" s="157"/>
    </row>
    <row r="1519" spans="3:15" ht="15" customHeight="1">
      <c r="C1519" s="498"/>
      <c r="D1519" s="256"/>
      <c r="E1519" s="195"/>
      <c r="F1519" s="157"/>
      <c r="G1519" s="157"/>
      <c r="H1519" s="157"/>
      <c r="I1519" s="157"/>
      <c r="J1519" s="157"/>
      <c r="K1519" s="157"/>
      <c r="L1519" s="157"/>
      <c r="M1519" s="523"/>
      <c r="N1519" s="157"/>
      <c r="O1519" s="157"/>
    </row>
    <row r="1520" spans="3:15" ht="15" customHeight="1">
      <c r="C1520" s="498"/>
      <c r="D1520" s="256"/>
      <c r="E1520" s="195"/>
      <c r="F1520" s="157"/>
      <c r="G1520" s="157"/>
      <c r="H1520" s="157"/>
      <c r="I1520" s="157"/>
      <c r="J1520" s="157"/>
      <c r="K1520" s="157"/>
      <c r="L1520" s="157"/>
      <c r="M1520" s="523"/>
      <c r="N1520" s="157"/>
      <c r="O1520" s="157"/>
    </row>
    <row r="1521" spans="3:15" ht="15" customHeight="1">
      <c r="C1521" s="498"/>
      <c r="D1521" s="256"/>
      <c r="E1521" s="195"/>
      <c r="F1521" s="157"/>
      <c r="G1521" s="157"/>
      <c r="H1521" s="157"/>
      <c r="I1521" s="157"/>
      <c r="J1521" s="157"/>
      <c r="K1521" s="157"/>
      <c r="L1521" s="157"/>
      <c r="M1521" s="523"/>
      <c r="N1521" s="157"/>
      <c r="O1521" s="157"/>
    </row>
    <row r="1522" spans="3:15" ht="15" customHeight="1">
      <c r="C1522" s="498"/>
      <c r="D1522" s="256"/>
      <c r="E1522" s="195"/>
      <c r="F1522" s="157"/>
      <c r="G1522" s="157"/>
      <c r="H1522" s="157"/>
      <c r="I1522" s="157"/>
      <c r="J1522" s="157"/>
      <c r="K1522" s="157"/>
      <c r="L1522" s="157"/>
      <c r="M1522" s="523"/>
      <c r="N1522" s="157"/>
      <c r="O1522" s="157"/>
    </row>
    <row r="1523" spans="3:15" ht="15" customHeight="1">
      <c r="C1523" s="498"/>
      <c r="D1523" s="256"/>
      <c r="E1523" s="195"/>
      <c r="F1523" s="157"/>
      <c r="G1523" s="157"/>
      <c r="H1523" s="157"/>
      <c r="I1523" s="157"/>
      <c r="J1523" s="157"/>
      <c r="K1523" s="157"/>
      <c r="L1523" s="157"/>
      <c r="M1523" s="523"/>
      <c r="N1523" s="157"/>
      <c r="O1523" s="157"/>
    </row>
    <row r="1524" spans="3:15" ht="15" customHeight="1">
      <c r="C1524" s="498"/>
      <c r="D1524" s="256"/>
      <c r="E1524" s="195"/>
      <c r="F1524" s="157"/>
      <c r="G1524" s="157"/>
      <c r="H1524" s="157"/>
      <c r="I1524" s="157"/>
      <c r="J1524" s="157"/>
      <c r="K1524" s="157"/>
      <c r="L1524" s="157"/>
      <c r="M1524" s="523"/>
      <c r="N1524" s="157"/>
      <c r="O1524" s="157"/>
    </row>
    <row r="1525" spans="3:15" ht="15" customHeight="1">
      <c r="C1525" s="498"/>
      <c r="D1525" s="256"/>
      <c r="E1525" s="195"/>
      <c r="F1525" s="157"/>
      <c r="G1525" s="157"/>
      <c r="H1525" s="157"/>
      <c r="I1525" s="157"/>
      <c r="J1525" s="157"/>
      <c r="K1525" s="157"/>
      <c r="L1525" s="157"/>
      <c r="M1525" s="523"/>
      <c r="N1525" s="157"/>
      <c r="O1525" s="157"/>
    </row>
    <row r="1526" spans="3:15" ht="15" customHeight="1">
      <c r="C1526" s="498"/>
      <c r="D1526" s="256"/>
      <c r="E1526" s="195"/>
      <c r="F1526" s="157"/>
      <c r="G1526" s="157"/>
      <c r="H1526" s="157"/>
      <c r="I1526" s="157"/>
      <c r="J1526" s="157"/>
      <c r="K1526" s="157"/>
      <c r="L1526" s="157"/>
      <c r="M1526" s="523"/>
      <c r="N1526" s="157"/>
      <c r="O1526" s="157"/>
    </row>
    <row r="1527" spans="3:15" ht="15" customHeight="1">
      <c r="C1527" s="498"/>
      <c r="D1527" s="256"/>
      <c r="E1527" s="195"/>
      <c r="F1527" s="157"/>
      <c r="G1527" s="157"/>
      <c r="H1527" s="157"/>
      <c r="I1527" s="157"/>
      <c r="J1527" s="157"/>
      <c r="K1527" s="157"/>
      <c r="L1527" s="157"/>
      <c r="M1527" s="523"/>
      <c r="N1527" s="157"/>
      <c r="O1527" s="157"/>
    </row>
    <row r="1528" spans="3:15" ht="15" customHeight="1">
      <c r="C1528" s="498"/>
      <c r="D1528" s="256"/>
      <c r="E1528" s="195"/>
      <c r="F1528" s="157"/>
      <c r="G1528" s="157"/>
      <c r="H1528" s="157"/>
      <c r="I1528" s="157"/>
      <c r="J1528" s="157"/>
      <c r="K1528" s="157"/>
      <c r="L1528" s="157"/>
      <c r="M1528" s="523"/>
      <c r="N1528" s="157"/>
      <c r="O1528" s="157"/>
    </row>
    <row r="1529" spans="3:15" ht="15" customHeight="1">
      <c r="C1529" s="498"/>
      <c r="D1529" s="256"/>
      <c r="E1529" s="195"/>
      <c r="F1529" s="157"/>
      <c r="G1529" s="157"/>
      <c r="H1529" s="157"/>
      <c r="I1529" s="157"/>
      <c r="J1529" s="157"/>
      <c r="K1529" s="157"/>
      <c r="L1529" s="157"/>
      <c r="M1529" s="523"/>
      <c r="N1529" s="157"/>
      <c r="O1529" s="157"/>
    </row>
    <row r="1530" spans="3:15" ht="15" customHeight="1">
      <c r="C1530" s="498"/>
      <c r="D1530" s="256"/>
      <c r="E1530" s="195"/>
      <c r="F1530" s="157"/>
      <c r="G1530" s="157"/>
      <c r="H1530" s="157"/>
      <c r="I1530" s="157"/>
      <c r="J1530" s="157"/>
      <c r="K1530" s="157"/>
      <c r="L1530" s="157"/>
      <c r="M1530" s="523"/>
      <c r="N1530" s="157"/>
      <c r="O1530" s="157"/>
    </row>
    <row r="1531" spans="3:15" ht="15" customHeight="1">
      <c r="C1531" s="498"/>
      <c r="D1531" s="256"/>
      <c r="E1531" s="195"/>
      <c r="F1531" s="157"/>
      <c r="G1531" s="157"/>
      <c r="H1531" s="157"/>
      <c r="I1531" s="157"/>
      <c r="J1531" s="157"/>
      <c r="K1531" s="157"/>
      <c r="L1531" s="157"/>
      <c r="M1531" s="523"/>
      <c r="N1531" s="157"/>
      <c r="O1531" s="157"/>
    </row>
    <row r="1532" spans="3:15" ht="15" customHeight="1">
      <c r="C1532" s="498"/>
      <c r="D1532" s="256"/>
      <c r="E1532" s="195"/>
      <c r="F1532" s="157"/>
      <c r="G1532" s="157"/>
      <c r="H1532" s="157"/>
      <c r="I1532" s="157"/>
      <c r="J1532" s="157"/>
      <c r="K1532" s="157"/>
      <c r="L1532" s="157"/>
      <c r="M1532" s="523"/>
      <c r="N1532" s="157"/>
      <c r="O1532" s="157"/>
    </row>
    <row r="1533" spans="3:15" ht="15" customHeight="1">
      <c r="C1533" s="498"/>
      <c r="D1533" s="256"/>
      <c r="E1533" s="195"/>
      <c r="F1533" s="157"/>
      <c r="G1533" s="157"/>
      <c r="H1533" s="157"/>
      <c r="I1533" s="157"/>
      <c r="J1533" s="157"/>
      <c r="K1533" s="157"/>
      <c r="L1533" s="157"/>
      <c r="M1533" s="523"/>
      <c r="N1533" s="157"/>
      <c r="O1533" s="157"/>
    </row>
    <row r="1534" spans="3:15" ht="15" customHeight="1">
      <c r="C1534" s="498"/>
      <c r="D1534" s="256"/>
      <c r="E1534" s="195"/>
      <c r="F1534" s="157"/>
      <c r="G1534" s="157"/>
      <c r="H1534" s="157"/>
      <c r="I1534" s="157"/>
      <c r="J1534" s="157"/>
      <c r="K1534" s="157"/>
      <c r="L1534" s="157"/>
      <c r="M1534" s="523"/>
      <c r="N1534" s="157"/>
      <c r="O1534" s="157"/>
    </row>
    <row r="1535" spans="3:15" ht="15" customHeight="1">
      <c r="C1535" s="498"/>
      <c r="D1535" s="256"/>
      <c r="E1535" s="195"/>
      <c r="F1535" s="157"/>
      <c r="G1535" s="157"/>
      <c r="H1535" s="157"/>
      <c r="I1535" s="157"/>
      <c r="J1535" s="157"/>
      <c r="K1535" s="157"/>
      <c r="L1535" s="157"/>
      <c r="M1535" s="523"/>
      <c r="N1535" s="157"/>
      <c r="O1535" s="157"/>
    </row>
    <row r="1536" spans="3:15" ht="15" customHeight="1">
      <c r="C1536" s="498"/>
      <c r="D1536" s="256"/>
      <c r="E1536" s="195"/>
      <c r="F1536" s="157"/>
      <c r="G1536" s="157"/>
      <c r="H1536" s="157"/>
      <c r="I1536" s="157"/>
      <c r="J1536" s="157"/>
      <c r="K1536" s="157"/>
      <c r="L1536" s="157"/>
      <c r="M1536" s="523"/>
      <c r="N1536" s="157"/>
      <c r="O1536" s="157"/>
    </row>
    <row r="1537" spans="3:15" ht="15" customHeight="1">
      <c r="C1537" s="498"/>
      <c r="D1537" s="256"/>
      <c r="E1537" s="195"/>
      <c r="F1537" s="157"/>
      <c r="G1537" s="157"/>
      <c r="H1537" s="157"/>
      <c r="I1537" s="157"/>
      <c r="J1537" s="157"/>
      <c r="K1537" s="157"/>
      <c r="L1537" s="157"/>
      <c r="M1537" s="523"/>
      <c r="N1537" s="157"/>
      <c r="O1537" s="157"/>
    </row>
    <row r="1538" spans="3:15" ht="15" customHeight="1">
      <c r="C1538" s="498"/>
      <c r="D1538" s="256"/>
      <c r="E1538" s="195"/>
      <c r="F1538" s="157"/>
      <c r="G1538" s="157"/>
      <c r="H1538" s="157"/>
      <c r="I1538" s="157"/>
      <c r="J1538" s="157"/>
      <c r="K1538" s="157"/>
      <c r="L1538" s="157"/>
      <c r="M1538" s="523"/>
      <c r="N1538" s="157"/>
      <c r="O1538" s="157"/>
    </row>
    <row r="1539" spans="3:15" ht="15" customHeight="1">
      <c r="C1539" s="498"/>
      <c r="D1539" s="256"/>
      <c r="E1539" s="195"/>
      <c r="F1539" s="157"/>
      <c r="G1539" s="157"/>
      <c r="H1539" s="157"/>
      <c r="I1539" s="157"/>
      <c r="J1539" s="157"/>
      <c r="K1539" s="157"/>
      <c r="L1539" s="157"/>
      <c r="M1539" s="523"/>
      <c r="N1539" s="157"/>
      <c r="O1539" s="157"/>
    </row>
    <row r="1540" spans="3:15" ht="15" customHeight="1">
      <c r="C1540" s="498"/>
      <c r="D1540" s="256"/>
      <c r="E1540" s="195"/>
      <c r="F1540" s="157"/>
      <c r="G1540" s="157"/>
      <c r="H1540" s="157"/>
      <c r="I1540" s="157"/>
      <c r="J1540" s="157"/>
      <c r="K1540" s="157"/>
      <c r="L1540" s="157"/>
      <c r="M1540" s="523"/>
      <c r="N1540" s="157"/>
      <c r="O1540" s="157"/>
    </row>
    <row r="1541" spans="3:15" ht="15" customHeight="1">
      <c r="C1541" s="498"/>
      <c r="D1541" s="256"/>
      <c r="E1541" s="195"/>
      <c r="F1541" s="157"/>
      <c r="G1541" s="157"/>
      <c r="H1541" s="157"/>
      <c r="I1541" s="157"/>
      <c r="J1541" s="157"/>
      <c r="K1541" s="157"/>
      <c r="L1541" s="157"/>
      <c r="M1541" s="523"/>
      <c r="N1541" s="157"/>
      <c r="O1541" s="157"/>
    </row>
    <row r="1542" spans="3:15" ht="15" customHeight="1">
      <c r="C1542" s="498"/>
      <c r="D1542" s="256"/>
      <c r="E1542" s="195"/>
      <c r="F1542" s="157"/>
      <c r="G1542" s="157"/>
      <c r="H1542" s="157"/>
      <c r="I1542" s="157"/>
      <c r="J1542" s="157"/>
      <c r="K1542" s="157"/>
      <c r="L1542" s="157"/>
      <c r="M1542" s="523"/>
      <c r="N1542" s="157"/>
      <c r="O1542" s="157"/>
    </row>
    <row r="1543" spans="3:15" ht="15" customHeight="1">
      <c r="C1543" s="498"/>
      <c r="D1543" s="256"/>
      <c r="E1543" s="195"/>
      <c r="F1543" s="157"/>
      <c r="G1543" s="157"/>
      <c r="H1543" s="157"/>
      <c r="I1543" s="157"/>
      <c r="J1543" s="157"/>
      <c r="K1543" s="157"/>
      <c r="L1543" s="157"/>
      <c r="M1543" s="523"/>
      <c r="N1543" s="157"/>
      <c r="O1543" s="157"/>
    </row>
    <row r="1544" spans="3:15" ht="15" customHeight="1">
      <c r="C1544" s="498"/>
      <c r="D1544" s="256"/>
      <c r="E1544" s="195"/>
      <c r="F1544" s="157"/>
      <c r="G1544" s="157"/>
      <c r="H1544" s="157"/>
      <c r="I1544" s="157"/>
      <c r="J1544" s="157"/>
      <c r="K1544" s="157"/>
      <c r="L1544" s="157"/>
      <c r="M1544" s="523"/>
      <c r="N1544" s="157"/>
      <c r="O1544" s="157"/>
    </row>
    <row r="1545" spans="3:15" ht="15" customHeight="1">
      <c r="C1545" s="498"/>
      <c r="D1545" s="256"/>
      <c r="E1545" s="195"/>
      <c r="F1545" s="157"/>
      <c r="G1545" s="157"/>
      <c r="H1545" s="157"/>
      <c r="I1545" s="157"/>
      <c r="J1545" s="157"/>
      <c r="K1545" s="157"/>
      <c r="L1545" s="157"/>
      <c r="M1545" s="523"/>
      <c r="N1545" s="157"/>
      <c r="O1545" s="157"/>
    </row>
    <row r="1546" spans="3:15" ht="15" customHeight="1">
      <c r="C1546" s="498"/>
      <c r="D1546" s="256"/>
      <c r="E1546" s="195"/>
      <c r="F1546" s="157"/>
      <c r="G1546" s="157"/>
      <c r="H1546" s="157"/>
      <c r="I1546" s="157"/>
      <c r="J1546" s="157"/>
      <c r="K1546" s="157"/>
      <c r="L1546" s="157"/>
      <c r="M1546" s="523"/>
      <c r="N1546" s="157"/>
      <c r="O1546" s="157"/>
    </row>
    <row r="1547" spans="3:15" ht="15" customHeight="1">
      <c r="C1547" s="498"/>
      <c r="D1547" s="256"/>
      <c r="E1547" s="195"/>
      <c r="F1547" s="157"/>
      <c r="G1547" s="157"/>
      <c r="H1547" s="157"/>
      <c r="I1547" s="157"/>
      <c r="J1547" s="157"/>
      <c r="K1547" s="157"/>
      <c r="L1547" s="157"/>
      <c r="M1547" s="523"/>
      <c r="N1547" s="157"/>
      <c r="O1547" s="157"/>
    </row>
    <row r="1548" spans="3:15" ht="15" customHeight="1">
      <c r="C1548" s="498"/>
      <c r="D1548" s="256"/>
      <c r="E1548" s="195"/>
      <c r="F1548" s="157"/>
      <c r="G1548" s="157"/>
      <c r="H1548" s="157"/>
      <c r="I1548" s="157"/>
      <c r="J1548" s="157"/>
      <c r="K1548" s="157"/>
      <c r="L1548" s="157"/>
      <c r="M1548" s="523"/>
      <c r="N1548" s="157"/>
      <c r="O1548" s="157"/>
    </row>
    <row r="1549" spans="3:15" ht="15" customHeight="1">
      <c r="C1549" s="498"/>
      <c r="D1549" s="256"/>
      <c r="E1549" s="195"/>
      <c r="F1549" s="157"/>
      <c r="G1549" s="157"/>
      <c r="H1549" s="157"/>
      <c r="I1549" s="157"/>
      <c r="J1549" s="157"/>
      <c r="K1549" s="157"/>
      <c r="L1549" s="157"/>
      <c r="M1549" s="523"/>
      <c r="N1549" s="157"/>
      <c r="O1549" s="157"/>
    </row>
    <row r="1550" spans="3:15" ht="15" customHeight="1">
      <c r="C1550" s="498"/>
      <c r="D1550" s="256"/>
      <c r="E1550" s="195"/>
      <c r="F1550" s="157"/>
      <c r="G1550" s="157"/>
      <c r="H1550" s="157"/>
      <c r="I1550" s="157"/>
      <c r="J1550" s="157"/>
      <c r="K1550" s="157"/>
      <c r="L1550" s="157"/>
      <c r="M1550" s="523"/>
      <c r="N1550" s="157"/>
      <c r="O1550" s="157"/>
    </row>
    <row r="1551" spans="3:15" ht="15" customHeight="1">
      <c r="C1551" s="498"/>
      <c r="D1551" s="256"/>
      <c r="E1551" s="195"/>
      <c r="F1551" s="157"/>
      <c r="G1551" s="157"/>
      <c r="H1551" s="157"/>
      <c r="I1551" s="157"/>
      <c r="J1551" s="157"/>
      <c r="K1551" s="157"/>
      <c r="L1551" s="157"/>
      <c r="M1551" s="523"/>
      <c r="N1551" s="157"/>
      <c r="O1551" s="157"/>
    </row>
    <row r="1552" spans="3:15" ht="15" customHeight="1">
      <c r="C1552" s="498"/>
      <c r="D1552" s="256"/>
      <c r="E1552" s="195"/>
      <c r="F1552" s="157"/>
      <c r="G1552" s="157"/>
      <c r="H1552" s="157"/>
      <c r="I1552" s="157"/>
      <c r="J1552" s="157"/>
      <c r="K1552" s="157"/>
      <c r="L1552" s="157"/>
      <c r="M1552" s="523"/>
      <c r="N1552" s="157"/>
      <c r="O1552" s="157"/>
    </row>
    <row r="1553" spans="3:15" ht="15" customHeight="1">
      <c r="C1553" s="498"/>
      <c r="D1553" s="256"/>
      <c r="E1553" s="195"/>
      <c r="F1553" s="157"/>
      <c r="G1553" s="157"/>
      <c r="H1553" s="157"/>
      <c r="I1553" s="157"/>
      <c r="J1553" s="157"/>
      <c r="K1553" s="157"/>
      <c r="L1553" s="157"/>
      <c r="M1553" s="523"/>
      <c r="N1553" s="157"/>
      <c r="O1553" s="157"/>
    </row>
    <row r="1554" spans="3:15" ht="15" customHeight="1">
      <c r="C1554" s="498"/>
      <c r="D1554" s="256"/>
      <c r="E1554" s="195"/>
      <c r="F1554" s="157"/>
      <c r="G1554" s="157"/>
      <c r="H1554" s="157"/>
      <c r="I1554" s="157"/>
      <c r="J1554" s="157"/>
      <c r="K1554" s="157"/>
      <c r="L1554" s="157"/>
      <c r="M1554" s="523"/>
      <c r="N1554" s="157"/>
      <c r="O1554" s="157"/>
    </row>
    <row r="1555" spans="3:15" ht="15" customHeight="1">
      <c r="C1555" s="498"/>
      <c r="D1555" s="256"/>
      <c r="E1555" s="195"/>
      <c r="F1555" s="157"/>
      <c r="G1555" s="157"/>
      <c r="H1555" s="157"/>
      <c r="I1555" s="157"/>
      <c r="J1555" s="157"/>
      <c r="K1555" s="157"/>
      <c r="L1555" s="157"/>
      <c r="M1555" s="523"/>
      <c r="N1555" s="157"/>
      <c r="O1555" s="157"/>
    </row>
    <row r="1556" spans="3:15" ht="15" customHeight="1">
      <c r="C1556" s="498"/>
      <c r="D1556" s="256"/>
      <c r="E1556" s="195"/>
      <c r="F1556" s="157"/>
      <c r="G1556" s="157"/>
      <c r="H1556" s="157"/>
      <c r="I1556" s="157"/>
      <c r="J1556" s="157"/>
      <c r="K1556" s="157"/>
      <c r="L1556" s="157"/>
      <c r="M1556" s="523"/>
      <c r="N1556" s="157"/>
      <c r="O1556" s="157"/>
    </row>
    <row r="1557" spans="3:15" ht="15" customHeight="1">
      <c r="C1557" s="498"/>
      <c r="D1557" s="256"/>
      <c r="E1557" s="195"/>
      <c r="F1557" s="157"/>
      <c r="G1557" s="157"/>
      <c r="H1557" s="157"/>
      <c r="I1557" s="157"/>
      <c r="J1557" s="157"/>
      <c r="K1557" s="157"/>
      <c r="L1557" s="157"/>
      <c r="M1557" s="523"/>
      <c r="N1557" s="157"/>
      <c r="O1557" s="157"/>
    </row>
    <row r="1558" spans="3:15" ht="15" customHeight="1">
      <c r="C1558" s="498"/>
      <c r="D1558" s="256"/>
      <c r="E1558" s="195"/>
      <c r="F1558" s="157"/>
      <c r="G1558" s="157"/>
      <c r="H1558" s="157"/>
      <c r="I1558" s="157"/>
      <c r="J1558" s="157"/>
      <c r="K1558" s="157"/>
      <c r="L1558" s="157"/>
      <c r="M1558" s="523"/>
      <c r="N1558" s="157"/>
      <c r="O1558" s="157"/>
    </row>
    <row r="1559" spans="3:15" ht="15" customHeight="1">
      <c r="C1559" s="498"/>
      <c r="D1559" s="256"/>
      <c r="E1559" s="195"/>
      <c r="F1559" s="157"/>
      <c r="G1559" s="157"/>
      <c r="H1559" s="157"/>
      <c r="I1559" s="157"/>
      <c r="J1559" s="157"/>
      <c r="K1559" s="157"/>
      <c r="L1559" s="157"/>
      <c r="M1559" s="523"/>
      <c r="N1559" s="157"/>
      <c r="O1559" s="157"/>
    </row>
    <row r="1560" spans="3:15" ht="15" customHeight="1">
      <c r="C1560" s="498"/>
      <c r="D1560" s="256"/>
      <c r="E1560" s="195"/>
      <c r="F1560" s="157"/>
      <c r="G1560" s="157"/>
      <c r="H1560" s="157"/>
      <c r="I1560" s="157"/>
      <c r="J1560" s="157"/>
      <c r="K1560" s="157"/>
      <c r="L1560" s="157"/>
      <c r="M1560" s="523"/>
      <c r="N1560" s="157"/>
      <c r="O1560" s="157"/>
    </row>
    <row r="1561" spans="3:15" ht="15" customHeight="1">
      <c r="C1561" s="498"/>
      <c r="D1561" s="256"/>
      <c r="E1561" s="195"/>
      <c r="F1561" s="157"/>
      <c r="G1561" s="157"/>
      <c r="H1561" s="157"/>
      <c r="I1561" s="157"/>
      <c r="J1561" s="157"/>
      <c r="K1561" s="157"/>
      <c r="L1561" s="157"/>
      <c r="M1561" s="523"/>
      <c r="N1561" s="157"/>
      <c r="O1561" s="157"/>
    </row>
    <row r="1562" spans="3:15" ht="15" customHeight="1">
      <c r="C1562" s="498"/>
      <c r="D1562" s="256"/>
      <c r="E1562" s="195"/>
      <c r="F1562" s="157"/>
      <c r="G1562" s="157"/>
      <c r="H1562" s="157"/>
      <c r="I1562" s="157"/>
      <c r="J1562" s="157"/>
      <c r="K1562" s="157"/>
      <c r="L1562" s="157"/>
      <c r="M1562" s="523"/>
      <c r="N1562" s="157"/>
      <c r="O1562" s="157"/>
    </row>
    <row r="1563" spans="3:15" ht="15" customHeight="1">
      <c r="C1563" s="498"/>
      <c r="D1563" s="256"/>
      <c r="E1563" s="195"/>
      <c r="F1563" s="157"/>
      <c r="G1563" s="157"/>
      <c r="H1563" s="157"/>
      <c r="I1563" s="157"/>
      <c r="J1563" s="157"/>
      <c r="K1563" s="157"/>
      <c r="L1563" s="157"/>
      <c r="M1563" s="523"/>
      <c r="N1563" s="157"/>
      <c r="O1563" s="157"/>
    </row>
    <row r="1564" spans="3:15" ht="15" customHeight="1">
      <c r="C1564" s="498"/>
      <c r="D1564" s="256"/>
      <c r="E1564" s="195"/>
      <c r="F1564" s="157"/>
      <c r="G1564" s="157"/>
      <c r="H1564" s="157"/>
      <c r="I1564" s="157"/>
      <c r="J1564" s="157"/>
      <c r="K1564" s="157"/>
      <c r="L1564" s="157"/>
      <c r="M1564" s="523"/>
      <c r="N1564" s="157"/>
      <c r="O1564" s="157"/>
    </row>
    <row r="1565" spans="3:15" ht="15" customHeight="1">
      <c r="C1565" s="498"/>
      <c r="D1565" s="256"/>
      <c r="E1565" s="195"/>
      <c r="F1565" s="157"/>
      <c r="G1565" s="157"/>
      <c r="H1565" s="157"/>
      <c r="I1565" s="157"/>
      <c r="J1565" s="157"/>
      <c r="K1565" s="157"/>
      <c r="L1565" s="157"/>
      <c r="M1565" s="523"/>
      <c r="N1565" s="157"/>
      <c r="O1565" s="157"/>
    </row>
    <row r="1566" spans="3:15" ht="15" customHeight="1">
      <c r="C1566" s="498"/>
      <c r="D1566" s="256"/>
      <c r="E1566" s="195"/>
      <c r="F1566" s="157"/>
      <c r="G1566" s="157"/>
      <c r="H1566" s="157"/>
      <c r="I1566" s="157"/>
      <c r="J1566" s="157"/>
      <c r="K1566" s="157"/>
      <c r="L1566" s="157"/>
      <c r="M1566" s="523"/>
      <c r="N1566" s="157"/>
      <c r="O1566" s="157"/>
    </row>
    <row r="1567" spans="3:15" ht="15" customHeight="1">
      <c r="C1567" s="498"/>
      <c r="D1567" s="256"/>
      <c r="E1567" s="195"/>
      <c r="F1567" s="157"/>
      <c r="G1567" s="157"/>
      <c r="H1567" s="157"/>
      <c r="I1567" s="157"/>
      <c r="J1567" s="157"/>
      <c r="K1567" s="157"/>
      <c r="L1567" s="157"/>
      <c r="M1567" s="523"/>
      <c r="N1567" s="157"/>
      <c r="O1567" s="157"/>
    </row>
    <row r="1568" spans="3:15" ht="15" customHeight="1">
      <c r="C1568" s="498"/>
      <c r="D1568" s="256"/>
      <c r="E1568" s="195"/>
      <c r="F1568" s="157"/>
      <c r="G1568" s="157"/>
      <c r="H1568" s="157"/>
      <c r="I1568" s="157"/>
      <c r="J1568" s="157"/>
      <c r="K1568" s="157"/>
      <c r="L1568" s="157"/>
      <c r="M1568" s="523"/>
      <c r="N1568" s="157"/>
      <c r="O1568" s="157"/>
    </row>
    <row r="1569" spans="3:15" ht="15" customHeight="1">
      <c r="C1569" s="498"/>
      <c r="D1569" s="256"/>
      <c r="E1569" s="195"/>
      <c r="F1569" s="157"/>
      <c r="G1569" s="157"/>
      <c r="H1569" s="157"/>
      <c r="I1569" s="157"/>
      <c r="J1569" s="157"/>
      <c r="K1569" s="157"/>
      <c r="L1569" s="157"/>
      <c r="M1569" s="523"/>
      <c r="N1569" s="157"/>
      <c r="O1569" s="157"/>
    </row>
    <row r="1570" spans="3:15" ht="15" customHeight="1">
      <c r="C1570" s="498"/>
      <c r="D1570" s="256"/>
      <c r="E1570" s="195"/>
      <c r="F1570" s="157"/>
      <c r="G1570" s="157"/>
      <c r="H1570" s="157"/>
      <c r="I1570" s="157"/>
      <c r="J1570" s="157"/>
      <c r="K1570" s="157"/>
      <c r="L1570" s="157"/>
      <c r="M1570" s="523"/>
      <c r="N1570" s="157"/>
      <c r="O1570" s="157"/>
    </row>
    <row r="1571" spans="3:15" ht="15" customHeight="1">
      <c r="C1571" s="498"/>
      <c r="D1571" s="256"/>
      <c r="E1571" s="195"/>
      <c r="F1571" s="157"/>
      <c r="G1571" s="157"/>
      <c r="H1571" s="157"/>
      <c r="I1571" s="157"/>
      <c r="J1571" s="157"/>
      <c r="K1571" s="157"/>
      <c r="L1571" s="157"/>
      <c r="M1571" s="523"/>
      <c r="N1571" s="157"/>
      <c r="O1571" s="157"/>
    </row>
    <row r="1572" spans="3:15" ht="15" customHeight="1">
      <c r="C1572" s="498"/>
      <c r="D1572" s="256"/>
      <c r="E1572" s="195"/>
      <c r="F1572" s="157"/>
      <c r="G1572" s="157"/>
      <c r="H1572" s="157"/>
      <c r="I1572" s="157"/>
      <c r="J1572" s="157"/>
      <c r="K1572" s="157"/>
      <c r="L1572" s="157"/>
      <c r="M1572" s="523"/>
      <c r="N1572" s="157"/>
      <c r="O1572" s="157"/>
    </row>
    <row r="1573" spans="3:15" ht="15" customHeight="1">
      <c r="C1573" s="498"/>
      <c r="D1573" s="256"/>
      <c r="E1573" s="195"/>
      <c r="F1573" s="157"/>
      <c r="G1573" s="157"/>
      <c r="H1573" s="157"/>
      <c r="I1573" s="157"/>
      <c r="J1573" s="157"/>
      <c r="K1573" s="157"/>
      <c r="L1573" s="157"/>
      <c r="M1573" s="523"/>
      <c r="N1573" s="157"/>
      <c r="O1573" s="157"/>
    </row>
    <row r="1574" spans="3:15" ht="15" customHeight="1">
      <c r="C1574" s="498"/>
      <c r="D1574" s="256"/>
      <c r="E1574" s="195"/>
      <c r="F1574" s="157"/>
      <c r="G1574" s="157"/>
      <c r="H1574" s="157"/>
      <c r="I1574" s="157"/>
      <c r="J1574" s="157"/>
      <c r="K1574" s="157"/>
      <c r="L1574" s="157"/>
      <c r="M1574" s="523"/>
      <c r="N1574" s="157"/>
      <c r="O1574" s="157"/>
    </row>
    <row r="1575" spans="3:15" ht="15" customHeight="1">
      <c r="C1575" s="498"/>
      <c r="D1575" s="256"/>
      <c r="E1575" s="195"/>
      <c r="F1575" s="157"/>
      <c r="G1575" s="157"/>
      <c r="H1575" s="157"/>
      <c r="I1575" s="157"/>
      <c r="J1575" s="157"/>
      <c r="K1575" s="157"/>
      <c r="L1575" s="157"/>
      <c r="M1575" s="523"/>
      <c r="N1575" s="157"/>
      <c r="O1575" s="157"/>
    </row>
    <row r="1576" spans="3:15" ht="15" customHeight="1">
      <c r="C1576" s="498"/>
      <c r="D1576" s="256"/>
      <c r="E1576" s="195"/>
      <c r="F1576" s="157"/>
      <c r="G1576" s="157"/>
      <c r="H1576" s="157"/>
      <c r="I1576" s="157"/>
      <c r="J1576" s="157"/>
      <c r="K1576" s="157"/>
      <c r="L1576" s="157"/>
      <c r="M1576" s="523"/>
      <c r="N1576" s="157"/>
      <c r="O1576" s="157"/>
    </row>
    <row r="1577" spans="3:15" ht="15" customHeight="1">
      <c r="C1577" s="498"/>
      <c r="D1577" s="256"/>
      <c r="E1577" s="195"/>
      <c r="F1577" s="157"/>
      <c r="G1577" s="157"/>
      <c r="H1577" s="157"/>
      <c r="I1577" s="157"/>
      <c r="J1577" s="157"/>
      <c r="K1577" s="157"/>
      <c r="L1577" s="157"/>
      <c r="M1577" s="523"/>
      <c r="N1577" s="157"/>
      <c r="O1577" s="157"/>
    </row>
    <row r="1578" spans="3:15" ht="15" customHeight="1">
      <c r="C1578" s="498"/>
      <c r="D1578" s="256"/>
      <c r="E1578" s="195"/>
      <c r="F1578" s="157"/>
      <c r="G1578" s="157"/>
      <c r="H1578" s="157"/>
      <c r="I1578" s="157"/>
      <c r="J1578" s="157"/>
      <c r="K1578" s="157"/>
      <c r="L1578" s="157"/>
      <c r="M1578" s="523"/>
      <c r="N1578" s="157"/>
      <c r="O1578" s="157"/>
    </row>
    <row r="1579" spans="3:15" ht="15" customHeight="1">
      <c r="C1579" s="498"/>
      <c r="D1579" s="256"/>
      <c r="E1579" s="195"/>
      <c r="F1579" s="157"/>
      <c r="G1579" s="157"/>
      <c r="H1579" s="157"/>
      <c r="I1579" s="157"/>
      <c r="J1579" s="157"/>
      <c r="K1579" s="157"/>
      <c r="L1579" s="157"/>
      <c r="M1579" s="523"/>
      <c r="N1579" s="157"/>
      <c r="O1579" s="157"/>
    </row>
    <row r="1580" spans="3:15" ht="15" customHeight="1">
      <c r="C1580" s="498"/>
      <c r="D1580" s="256"/>
      <c r="E1580" s="195"/>
      <c r="F1580" s="157"/>
      <c r="G1580" s="157"/>
      <c r="H1580" s="157"/>
      <c r="I1580" s="157"/>
      <c r="J1580" s="157"/>
      <c r="K1580" s="157"/>
      <c r="L1580" s="157"/>
      <c r="M1580" s="523"/>
      <c r="N1580" s="157"/>
      <c r="O1580" s="157"/>
    </row>
    <row r="1581" spans="3:15" ht="15" customHeight="1">
      <c r="C1581" s="498"/>
      <c r="D1581" s="256"/>
      <c r="E1581" s="195"/>
      <c r="F1581" s="157"/>
      <c r="G1581" s="157"/>
      <c r="H1581" s="157"/>
      <c r="I1581" s="157"/>
      <c r="J1581" s="157"/>
      <c r="K1581" s="157"/>
      <c r="L1581" s="157"/>
      <c r="M1581" s="523"/>
      <c r="N1581" s="157"/>
      <c r="O1581" s="157"/>
    </row>
    <row r="1582" spans="3:15" ht="15" customHeight="1">
      <c r="C1582" s="498"/>
      <c r="D1582" s="256"/>
      <c r="E1582" s="195"/>
      <c r="F1582" s="157"/>
      <c r="G1582" s="157"/>
      <c r="H1582" s="157"/>
      <c r="I1582" s="157"/>
      <c r="J1582" s="157"/>
      <c r="K1582" s="157"/>
      <c r="L1582" s="157"/>
      <c r="M1582" s="523"/>
      <c r="N1582" s="157"/>
      <c r="O1582" s="157"/>
    </row>
    <row r="1583" spans="3:15" ht="15" customHeight="1">
      <c r="C1583" s="498"/>
      <c r="D1583" s="256"/>
      <c r="E1583" s="195"/>
      <c r="F1583" s="157"/>
      <c r="G1583" s="157"/>
      <c r="H1583" s="157"/>
      <c r="I1583" s="157"/>
      <c r="J1583" s="157"/>
      <c r="K1583" s="157"/>
      <c r="L1583" s="157"/>
      <c r="M1583" s="523"/>
      <c r="N1583" s="157"/>
      <c r="O1583" s="157"/>
    </row>
    <row r="1584" spans="3:15" ht="15" customHeight="1">
      <c r="C1584" s="498"/>
      <c r="D1584" s="256"/>
      <c r="E1584" s="195"/>
      <c r="F1584" s="157"/>
      <c r="G1584" s="157"/>
      <c r="H1584" s="157"/>
      <c r="I1584" s="157"/>
      <c r="J1584" s="157"/>
      <c r="K1584" s="157"/>
      <c r="L1584" s="157"/>
      <c r="M1584" s="523"/>
      <c r="N1584" s="157"/>
      <c r="O1584" s="157"/>
    </row>
    <row r="1585" spans="3:15" ht="15" customHeight="1">
      <c r="C1585" s="498"/>
      <c r="D1585" s="256"/>
      <c r="E1585" s="195"/>
      <c r="F1585" s="157"/>
      <c r="G1585" s="157"/>
      <c r="H1585" s="157"/>
      <c r="I1585" s="157"/>
      <c r="J1585" s="157"/>
      <c r="K1585" s="157"/>
      <c r="L1585" s="157"/>
      <c r="M1585" s="523"/>
      <c r="N1585" s="157"/>
      <c r="O1585" s="157"/>
    </row>
    <row r="1586" spans="3:15" ht="15" customHeight="1">
      <c r="C1586" s="498"/>
      <c r="D1586" s="256"/>
      <c r="E1586" s="195"/>
      <c r="F1586" s="157"/>
      <c r="G1586" s="157"/>
      <c r="H1586" s="157"/>
      <c r="I1586" s="157"/>
      <c r="J1586" s="157"/>
      <c r="K1586" s="157"/>
      <c r="L1586" s="157"/>
      <c r="M1586" s="523"/>
      <c r="N1586" s="157"/>
      <c r="O1586" s="157"/>
    </row>
    <row r="1587" spans="3:15" ht="15" customHeight="1">
      <c r="C1587" s="498"/>
      <c r="D1587" s="256"/>
      <c r="E1587" s="195"/>
      <c r="F1587" s="157"/>
      <c r="G1587" s="157"/>
      <c r="H1587" s="157"/>
      <c r="I1587" s="157"/>
      <c r="J1587" s="157"/>
      <c r="K1587" s="157"/>
      <c r="L1587" s="157"/>
      <c r="M1587" s="523"/>
      <c r="N1587" s="157"/>
      <c r="O1587" s="157"/>
    </row>
    <row r="1588" spans="3:15" ht="15" customHeight="1">
      <c r="C1588" s="498"/>
      <c r="D1588" s="256"/>
      <c r="E1588" s="195"/>
      <c r="F1588" s="157"/>
      <c r="G1588" s="157"/>
      <c r="H1588" s="157"/>
      <c r="I1588" s="157"/>
      <c r="J1588" s="157"/>
      <c r="K1588" s="157"/>
      <c r="L1588" s="157"/>
      <c r="M1588" s="523"/>
      <c r="N1588" s="157"/>
      <c r="O1588" s="157"/>
    </row>
    <row r="1589" spans="3:15" ht="15" customHeight="1">
      <c r="C1589" s="498"/>
      <c r="D1589" s="256"/>
      <c r="E1589" s="195"/>
      <c r="F1589" s="157"/>
      <c r="G1589" s="157"/>
      <c r="H1589" s="157"/>
      <c r="I1589" s="157"/>
      <c r="J1589" s="157"/>
      <c r="K1589" s="157"/>
      <c r="L1589" s="157"/>
      <c r="M1589" s="523"/>
      <c r="N1589" s="157"/>
      <c r="O1589" s="157"/>
    </row>
    <row r="1590" spans="3:15" ht="15" customHeight="1">
      <c r="C1590" s="498"/>
      <c r="D1590" s="256"/>
      <c r="E1590" s="195"/>
      <c r="F1590" s="157"/>
      <c r="G1590" s="157"/>
      <c r="H1590" s="157"/>
      <c r="I1590" s="157"/>
      <c r="J1590" s="157"/>
      <c r="K1590" s="157"/>
      <c r="L1590" s="157"/>
      <c r="M1590" s="523"/>
      <c r="N1590" s="157"/>
      <c r="O1590" s="157"/>
    </row>
    <row r="1591" spans="3:15" ht="15" customHeight="1">
      <c r="C1591" s="498"/>
      <c r="D1591" s="256"/>
      <c r="E1591" s="195"/>
      <c r="F1591" s="157"/>
      <c r="G1591" s="157"/>
      <c r="H1591" s="157"/>
      <c r="I1591" s="157"/>
      <c r="J1591" s="157"/>
      <c r="K1591" s="157"/>
      <c r="L1591" s="157"/>
      <c r="M1591" s="523"/>
      <c r="N1591" s="157"/>
      <c r="O1591" s="157"/>
    </row>
    <row r="1592" spans="3:15" ht="15" customHeight="1">
      <c r="C1592" s="498"/>
      <c r="D1592" s="256"/>
      <c r="E1592" s="195"/>
      <c r="F1592" s="157"/>
      <c r="G1592" s="157"/>
      <c r="H1592" s="157"/>
      <c r="I1592" s="157"/>
      <c r="J1592" s="157"/>
      <c r="K1592" s="157"/>
      <c r="L1592" s="157"/>
      <c r="M1592" s="523"/>
      <c r="N1592" s="157"/>
      <c r="O1592" s="157"/>
    </row>
    <row r="1593" spans="3:15" ht="15" customHeight="1">
      <c r="C1593" s="498"/>
      <c r="D1593" s="256"/>
      <c r="E1593" s="195"/>
      <c r="F1593" s="157"/>
      <c r="G1593" s="157"/>
      <c r="H1593" s="157"/>
      <c r="I1593" s="157"/>
      <c r="J1593" s="157"/>
      <c r="K1593" s="157"/>
      <c r="L1593" s="157"/>
      <c r="M1593" s="523"/>
      <c r="N1593" s="157"/>
      <c r="O1593" s="157"/>
    </row>
    <row r="1594" spans="3:15" ht="15" customHeight="1">
      <c r="C1594" s="498"/>
      <c r="D1594" s="256"/>
      <c r="E1594" s="195"/>
      <c r="F1594" s="157"/>
      <c r="G1594" s="157"/>
      <c r="H1594" s="157"/>
      <c r="I1594" s="157"/>
      <c r="J1594" s="157"/>
      <c r="K1594" s="157"/>
      <c r="L1594" s="157"/>
      <c r="M1594" s="523"/>
      <c r="N1594" s="157"/>
      <c r="O1594" s="157"/>
    </row>
    <row r="1595" spans="3:15" ht="15" customHeight="1">
      <c r="C1595" s="498"/>
      <c r="D1595" s="256"/>
      <c r="E1595" s="195"/>
      <c r="F1595" s="157"/>
      <c r="G1595" s="157"/>
      <c r="H1595" s="157"/>
      <c r="I1595" s="157"/>
      <c r="J1595" s="157"/>
      <c r="K1595" s="157"/>
      <c r="L1595" s="157"/>
      <c r="M1595" s="523"/>
      <c r="N1595" s="157"/>
      <c r="O1595" s="157"/>
    </row>
    <row r="1596" spans="3:15" ht="15" customHeight="1">
      <c r="C1596" s="498"/>
      <c r="D1596" s="256"/>
      <c r="E1596" s="195"/>
      <c r="F1596" s="157"/>
      <c r="G1596" s="157"/>
      <c r="H1596" s="157"/>
      <c r="I1596" s="157"/>
      <c r="J1596" s="157"/>
      <c r="K1596" s="157"/>
      <c r="L1596" s="157"/>
      <c r="M1596" s="523"/>
      <c r="N1596" s="157"/>
      <c r="O1596" s="157"/>
    </row>
    <row r="1597" spans="3:15" ht="15" customHeight="1">
      <c r="C1597" s="498"/>
      <c r="D1597" s="256"/>
      <c r="E1597" s="195"/>
      <c r="F1597" s="157"/>
      <c r="G1597" s="157"/>
      <c r="H1597" s="157"/>
      <c r="I1597" s="157"/>
      <c r="J1597" s="157"/>
      <c r="K1597" s="157"/>
      <c r="L1597" s="157"/>
      <c r="M1597" s="523"/>
      <c r="N1597" s="157"/>
      <c r="O1597" s="157"/>
    </row>
    <row r="1598" spans="3:15" ht="15" customHeight="1">
      <c r="C1598" s="498"/>
      <c r="D1598" s="256"/>
      <c r="E1598" s="195"/>
      <c r="F1598" s="157"/>
      <c r="G1598" s="157"/>
      <c r="H1598" s="157"/>
      <c r="I1598" s="157"/>
      <c r="J1598" s="157"/>
      <c r="K1598" s="157"/>
      <c r="L1598" s="157"/>
      <c r="M1598" s="523"/>
      <c r="N1598" s="157"/>
      <c r="O1598" s="157"/>
    </row>
    <row r="1599" spans="3:15" ht="15" customHeight="1">
      <c r="C1599" s="498"/>
      <c r="D1599" s="256"/>
      <c r="E1599" s="195"/>
      <c r="F1599" s="157"/>
      <c r="G1599" s="157"/>
      <c r="H1599" s="157"/>
      <c r="I1599" s="157"/>
      <c r="J1599" s="157"/>
      <c r="K1599" s="157"/>
      <c r="L1599" s="157"/>
      <c r="M1599" s="523"/>
      <c r="N1599" s="157"/>
      <c r="O1599" s="157"/>
    </row>
    <row r="1600" spans="3:15" ht="15" customHeight="1">
      <c r="C1600" s="498"/>
      <c r="D1600" s="256"/>
      <c r="E1600" s="195"/>
      <c r="F1600" s="157"/>
      <c r="G1600" s="157"/>
      <c r="H1600" s="157"/>
      <c r="I1600" s="157"/>
      <c r="J1600" s="157"/>
      <c r="K1600" s="157"/>
      <c r="L1600" s="157"/>
      <c r="M1600" s="523"/>
      <c r="N1600" s="157"/>
      <c r="O1600" s="157"/>
    </row>
    <row r="1601" spans="3:15" ht="15" customHeight="1">
      <c r="C1601" s="498"/>
      <c r="D1601" s="256"/>
      <c r="E1601" s="195"/>
      <c r="F1601" s="157"/>
      <c r="G1601" s="157"/>
      <c r="H1601" s="157"/>
      <c r="I1601" s="157"/>
      <c r="J1601" s="157"/>
      <c r="K1601" s="157"/>
      <c r="L1601" s="157"/>
      <c r="M1601" s="523"/>
      <c r="N1601" s="157"/>
      <c r="O1601" s="157"/>
    </row>
    <row r="1602" spans="3:15" ht="15" customHeight="1">
      <c r="C1602" s="498"/>
      <c r="D1602" s="256"/>
      <c r="E1602" s="195"/>
      <c r="F1602" s="157"/>
      <c r="G1602" s="157"/>
      <c r="H1602" s="157"/>
      <c r="I1602" s="157"/>
      <c r="J1602" s="157"/>
      <c r="K1602" s="157"/>
      <c r="L1602" s="157"/>
      <c r="M1602" s="523"/>
      <c r="N1602" s="157"/>
      <c r="O1602" s="157"/>
    </row>
    <row r="1603" spans="3:15" ht="15" customHeight="1">
      <c r="C1603" s="498"/>
      <c r="D1603" s="256"/>
      <c r="E1603" s="195"/>
      <c r="F1603" s="157"/>
      <c r="G1603" s="157"/>
      <c r="H1603" s="157"/>
      <c r="I1603" s="157"/>
      <c r="J1603" s="157"/>
      <c r="K1603" s="157"/>
      <c r="L1603" s="157"/>
      <c r="M1603" s="523"/>
      <c r="N1603" s="157"/>
      <c r="O1603" s="157"/>
    </row>
    <row r="1604" spans="3:15" ht="15" customHeight="1">
      <c r="C1604" s="498"/>
      <c r="D1604" s="256"/>
      <c r="E1604" s="195"/>
      <c r="F1604" s="157"/>
      <c r="G1604" s="157"/>
      <c r="H1604" s="157"/>
      <c r="I1604" s="157"/>
      <c r="J1604" s="157"/>
      <c r="K1604" s="157"/>
      <c r="L1604" s="157"/>
      <c r="M1604" s="523"/>
      <c r="N1604" s="157"/>
      <c r="O1604" s="157"/>
    </row>
    <row r="1605" spans="3:15" ht="15" customHeight="1">
      <c r="C1605" s="498"/>
      <c r="D1605" s="256"/>
      <c r="E1605" s="195"/>
      <c r="F1605" s="157"/>
      <c r="G1605" s="157"/>
      <c r="H1605" s="157"/>
      <c r="I1605" s="157"/>
      <c r="J1605" s="157"/>
      <c r="K1605" s="157"/>
      <c r="L1605" s="157"/>
      <c r="M1605" s="523"/>
      <c r="N1605" s="157"/>
      <c r="O1605" s="157"/>
    </row>
    <row r="1606" spans="3:15" ht="15" customHeight="1">
      <c r="C1606" s="498"/>
      <c r="D1606" s="256"/>
      <c r="E1606" s="195"/>
      <c r="F1606" s="157"/>
      <c r="G1606" s="157"/>
      <c r="H1606" s="157"/>
      <c r="I1606" s="157"/>
      <c r="J1606" s="157"/>
      <c r="K1606" s="157"/>
      <c r="L1606" s="157"/>
      <c r="M1606" s="523"/>
      <c r="N1606" s="157"/>
      <c r="O1606" s="157"/>
    </row>
    <row r="1607" spans="3:15" ht="15" customHeight="1">
      <c r="C1607" s="498"/>
      <c r="D1607" s="256"/>
      <c r="E1607" s="195"/>
      <c r="F1607" s="157"/>
      <c r="G1607" s="157"/>
      <c r="H1607" s="157"/>
      <c r="I1607" s="157"/>
      <c r="J1607" s="157"/>
      <c r="K1607" s="157"/>
      <c r="L1607" s="157"/>
      <c r="M1607" s="523"/>
      <c r="N1607" s="157"/>
      <c r="O1607" s="157"/>
    </row>
    <row r="1608" spans="3:15" ht="15" customHeight="1">
      <c r="C1608" s="498"/>
      <c r="D1608" s="256"/>
      <c r="E1608" s="195"/>
      <c r="F1608" s="157"/>
      <c r="G1608" s="157"/>
      <c r="H1608" s="157"/>
      <c r="I1608" s="157"/>
      <c r="J1608" s="157"/>
      <c r="K1608" s="157"/>
      <c r="L1608" s="157"/>
      <c r="M1608" s="523"/>
      <c r="N1608" s="157"/>
      <c r="O1608" s="157"/>
    </row>
    <row r="1609" spans="3:15" ht="15" customHeight="1">
      <c r="C1609" s="498"/>
      <c r="D1609" s="256"/>
      <c r="E1609" s="195"/>
      <c r="F1609" s="157"/>
      <c r="G1609" s="157"/>
      <c r="H1609" s="157"/>
      <c r="I1609" s="157"/>
      <c r="J1609" s="157"/>
      <c r="K1609" s="157"/>
      <c r="L1609" s="157"/>
      <c r="M1609" s="523"/>
      <c r="N1609" s="157"/>
      <c r="O1609" s="157"/>
    </row>
    <row r="1610" spans="3:15" ht="15" customHeight="1">
      <c r="C1610" s="498"/>
      <c r="D1610" s="256"/>
      <c r="E1610" s="195"/>
      <c r="F1610" s="157"/>
      <c r="G1610" s="157"/>
      <c r="H1610" s="157"/>
      <c r="I1610" s="157"/>
      <c r="J1610" s="157"/>
      <c r="K1610" s="157"/>
      <c r="L1610" s="157"/>
      <c r="M1610" s="523"/>
      <c r="N1610" s="157"/>
      <c r="O1610" s="157"/>
    </row>
    <row r="1611" spans="3:15" ht="15" customHeight="1">
      <c r="C1611" s="498"/>
      <c r="D1611" s="256"/>
      <c r="E1611" s="195"/>
      <c r="F1611" s="157"/>
      <c r="G1611" s="157"/>
      <c r="H1611" s="157"/>
      <c r="I1611" s="157"/>
      <c r="J1611" s="157"/>
      <c r="K1611" s="157"/>
      <c r="L1611" s="157"/>
      <c r="M1611" s="523"/>
      <c r="N1611" s="157"/>
      <c r="O1611" s="157"/>
    </row>
    <row r="1612" spans="3:15" ht="15" customHeight="1">
      <c r="C1612" s="498"/>
      <c r="D1612" s="256"/>
      <c r="E1612" s="195"/>
      <c r="F1612" s="157"/>
      <c r="G1612" s="157"/>
      <c r="H1612" s="157"/>
      <c r="I1612" s="157"/>
      <c r="J1612" s="157"/>
      <c r="K1612" s="157"/>
      <c r="L1612" s="157"/>
      <c r="M1612" s="523"/>
      <c r="N1612" s="157"/>
      <c r="O1612" s="157"/>
    </row>
    <row r="1613" spans="3:15" ht="15" customHeight="1">
      <c r="C1613" s="498"/>
      <c r="D1613" s="256"/>
      <c r="E1613" s="195"/>
      <c r="F1613" s="157"/>
      <c r="G1613" s="157"/>
      <c r="H1613" s="157"/>
      <c r="I1613" s="157"/>
      <c r="J1613" s="157"/>
      <c r="K1613" s="157"/>
      <c r="L1613" s="157"/>
      <c r="M1613" s="523"/>
      <c r="N1613" s="157"/>
      <c r="O1613" s="157"/>
    </row>
    <row r="1614" spans="3:15" ht="15" customHeight="1">
      <c r="C1614" s="498"/>
      <c r="D1614" s="256"/>
      <c r="E1614" s="195"/>
      <c r="F1614" s="157"/>
      <c r="G1614" s="157"/>
      <c r="H1614" s="157"/>
      <c r="I1614" s="157"/>
      <c r="J1614" s="157"/>
      <c r="K1614" s="157"/>
      <c r="L1614" s="157"/>
      <c r="M1614" s="523"/>
      <c r="N1614" s="157"/>
      <c r="O1614" s="157"/>
    </row>
    <row r="1615" spans="3:15" ht="15" customHeight="1">
      <c r="C1615" s="498"/>
      <c r="D1615" s="256"/>
      <c r="E1615" s="195"/>
      <c r="F1615" s="157"/>
      <c r="G1615" s="157"/>
      <c r="H1615" s="157"/>
      <c r="I1615" s="157"/>
      <c r="J1615" s="157"/>
      <c r="K1615" s="157"/>
      <c r="L1615" s="157"/>
      <c r="M1615" s="523"/>
      <c r="N1615" s="157"/>
      <c r="O1615" s="157"/>
    </row>
    <row r="1616" spans="3:15" ht="15" customHeight="1">
      <c r="C1616" s="498"/>
      <c r="D1616" s="256"/>
      <c r="E1616" s="195"/>
      <c r="F1616" s="157"/>
      <c r="G1616" s="157"/>
      <c r="H1616" s="157"/>
      <c r="I1616" s="157"/>
      <c r="J1616" s="157"/>
      <c r="K1616" s="157"/>
      <c r="L1616" s="157"/>
      <c r="M1616" s="523"/>
      <c r="N1616" s="157"/>
      <c r="O1616" s="157"/>
    </row>
    <row r="1617" spans="3:15" ht="15" customHeight="1">
      <c r="C1617" s="498"/>
      <c r="D1617" s="256"/>
      <c r="E1617" s="195"/>
      <c r="F1617" s="157"/>
      <c r="G1617" s="157"/>
      <c r="H1617" s="157"/>
      <c r="I1617" s="157"/>
      <c r="J1617" s="157"/>
      <c r="K1617" s="157"/>
      <c r="L1617" s="157"/>
      <c r="M1617" s="523"/>
      <c r="N1617" s="157"/>
      <c r="O1617" s="157"/>
    </row>
    <row r="1618" spans="3:15" ht="15" customHeight="1">
      <c r="C1618" s="498"/>
      <c r="D1618" s="256"/>
      <c r="E1618" s="195"/>
      <c r="F1618" s="157"/>
      <c r="G1618" s="157"/>
      <c r="H1618" s="157"/>
      <c r="I1618" s="157"/>
      <c r="J1618" s="157"/>
      <c r="K1618" s="157"/>
      <c r="L1618" s="157"/>
      <c r="M1618" s="523"/>
      <c r="N1618" s="157"/>
      <c r="O1618" s="157"/>
    </row>
    <row r="1619" spans="3:15" ht="15" customHeight="1">
      <c r="C1619" s="498"/>
      <c r="D1619" s="256"/>
      <c r="E1619" s="195"/>
      <c r="F1619" s="157"/>
      <c r="G1619" s="157"/>
      <c r="H1619" s="157"/>
      <c r="I1619" s="157"/>
      <c r="J1619" s="157"/>
      <c r="K1619" s="157"/>
      <c r="L1619" s="157"/>
      <c r="M1619" s="523"/>
      <c r="N1619" s="157"/>
      <c r="O1619" s="157"/>
    </row>
    <row r="1620" spans="3:15" ht="15" customHeight="1">
      <c r="C1620" s="498"/>
      <c r="D1620" s="256"/>
      <c r="E1620" s="195"/>
      <c r="F1620" s="157"/>
      <c r="G1620" s="157"/>
      <c r="H1620" s="157"/>
      <c r="I1620" s="157"/>
      <c r="J1620" s="157"/>
      <c r="K1620" s="157"/>
      <c r="L1620" s="157"/>
      <c r="M1620" s="523"/>
      <c r="N1620" s="157"/>
      <c r="O1620" s="157"/>
    </row>
    <row r="1621" spans="3:15" ht="15" customHeight="1">
      <c r="C1621" s="498"/>
      <c r="D1621" s="256"/>
      <c r="E1621" s="195"/>
      <c r="F1621" s="157"/>
      <c r="G1621" s="157"/>
      <c r="H1621" s="157"/>
      <c r="I1621" s="157"/>
      <c r="J1621" s="157"/>
      <c r="K1621" s="157"/>
      <c r="L1621" s="157"/>
      <c r="M1621" s="523"/>
      <c r="N1621" s="157"/>
      <c r="O1621" s="157"/>
    </row>
    <row r="1622" spans="3:15" ht="15" customHeight="1">
      <c r="C1622" s="498"/>
      <c r="D1622" s="256"/>
      <c r="E1622" s="195"/>
      <c r="F1622" s="157"/>
      <c r="G1622" s="157"/>
      <c r="H1622" s="157"/>
      <c r="I1622" s="157"/>
      <c r="J1622" s="157"/>
      <c r="K1622" s="157"/>
      <c r="L1622" s="157"/>
      <c r="M1622" s="523"/>
      <c r="N1622" s="157"/>
      <c r="O1622" s="157"/>
    </row>
    <row r="1623" spans="3:15" ht="15" customHeight="1">
      <c r="C1623" s="498"/>
      <c r="D1623" s="256"/>
      <c r="E1623" s="195"/>
      <c r="F1623" s="157"/>
      <c r="G1623" s="157"/>
      <c r="H1623" s="157"/>
      <c r="I1623" s="157"/>
      <c r="J1623" s="157"/>
      <c r="K1623" s="157"/>
      <c r="L1623" s="157"/>
      <c r="M1623" s="523"/>
      <c r="N1623" s="157"/>
      <c r="O1623" s="157"/>
    </row>
    <row r="1624" spans="3:15" ht="15" customHeight="1">
      <c r="C1624" s="498"/>
      <c r="D1624" s="256"/>
      <c r="E1624" s="195"/>
      <c r="F1624" s="157"/>
      <c r="G1624" s="157"/>
      <c r="H1624" s="157"/>
      <c r="I1624" s="157"/>
      <c r="J1624" s="157"/>
      <c r="K1624" s="157"/>
      <c r="L1624" s="157"/>
      <c r="M1624" s="523"/>
      <c r="N1624" s="157"/>
      <c r="O1624" s="157"/>
    </row>
    <row r="1625" spans="3:15" ht="15" customHeight="1">
      <c r="C1625" s="498"/>
      <c r="D1625" s="256"/>
      <c r="E1625" s="195"/>
      <c r="F1625" s="157"/>
      <c r="G1625" s="157"/>
      <c r="H1625" s="157"/>
      <c r="I1625" s="157"/>
      <c r="J1625" s="157"/>
      <c r="K1625" s="157"/>
      <c r="L1625" s="157"/>
      <c r="M1625" s="523"/>
      <c r="N1625" s="157"/>
      <c r="O1625" s="157"/>
    </row>
    <row r="1626" spans="3:15" ht="15" customHeight="1">
      <c r="C1626" s="498"/>
      <c r="D1626" s="256"/>
      <c r="E1626" s="195"/>
      <c r="F1626" s="157"/>
      <c r="G1626" s="157"/>
      <c r="H1626" s="157"/>
      <c r="I1626" s="157"/>
      <c r="J1626" s="157"/>
      <c r="K1626" s="157"/>
      <c r="L1626" s="157"/>
      <c r="M1626" s="523"/>
      <c r="N1626" s="157"/>
      <c r="O1626" s="157"/>
    </row>
    <row r="1627" spans="3:15" ht="15" customHeight="1">
      <c r="C1627" s="498"/>
      <c r="D1627" s="256"/>
      <c r="E1627" s="195"/>
      <c r="F1627" s="157"/>
      <c r="G1627" s="157"/>
      <c r="H1627" s="157"/>
      <c r="I1627" s="157"/>
      <c r="J1627" s="157"/>
      <c r="K1627" s="157"/>
      <c r="L1627" s="157"/>
      <c r="M1627" s="523"/>
      <c r="N1627" s="157"/>
      <c r="O1627" s="157"/>
    </row>
    <row r="1628" spans="3:15" ht="15" customHeight="1">
      <c r="C1628" s="498"/>
      <c r="D1628" s="256"/>
      <c r="E1628" s="195"/>
      <c r="F1628" s="157"/>
      <c r="G1628" s="157"/>
      <c r="H1628" s="157"/>
      <c r="I1628" s="157"/>
      <c r="J1628" s="157"/>
      <c r="K1628" s="157"/>
      <c r="L1628" s="157"/>
      <c r="M1628" s="523"/>
      <c r="N1628" s="157"/>
      <c r="O1628" s="157"/>
    </row>
    <row r="1629" spans="3:15" ht="15" customHeight="1">
      <c r="C1629" s="498"/>
      <c r="D1629" s="256"/>
      <c r="E1629" s="195"/>
      <c r="F1629" s="157"/>
      <c r="G1629" s="157"/>
      <c r="H1629" s="157"/>
      <c r="I1629" s="157"/>
      <c r="J1629" s="157"/>
      <c r="K1629" s="157"/>
      <c r="L1629" s="157"/>
      <c r="M1629" s="523"/>
      <c r="N1629" s="157"/>
      <c r="O1629" s="157"/>
    </row>
    <row r="1630" spans="3:15" ht="15" customHeight="1">
      <c r="C1630" s="498"/>
      <c r="D1630" s="256"/>
      <c r="E1630" s="195"/>
      <c r="F1630" s="157"/>
      <c r="G1630" s="157"/>
      <c r="H1630" s="157"/>
      <c r="I1630" s="157"/>
      <c r="J1630" s="157"/>
      <c r="K1630" s="157"/>
      <c r="L1630" s="157"/>
      <c r="M1630" s="523"/>
      <c r="N1630" s="157"/>
      <c r="O1630" s="157"/>
    </row>
    <row r="1631" spans="3:15" ht="15" customHeight="1">
      <c r="C1631" s="498"/>
      <c r="D1631" s="256"/>
      <c r="E1631" s="195"/>
      <c r="F1631" s="157"/>
      <c r="G1631" s="157"/>
      <c r="H1631" s="157"/>
      <c r="I1631" s="157"/>
      <c r="J1631" s="157"/>
      <c r="K1631" s="157"/>
      <c r="L1631" s="157"/>
      <c r="M1631" s="523"/>
      <c r="N1631" s="157"/>
      <c r="O1631" s="157"/>
    </row>
    <row r="1632" spans="3:15" ht="15" customHeight="1">
      <c r="C1632" s="498"/>
      <c r="D1632" s="256"/>
      <c r="E1632" s="195"/>
      <c r="F1632" s="157"/>
      <c r="G1632" s="157"/>
      <c r="H1632" s="157"/>
      <c r="I1632" s="157"/>
      <c r="J1632" s="157"/>
      <c r="K1632" s="157"/>
      <c r="L1632" s="157"/>
      <c r="M1632" s="523"/>
      <c r="N1632" s="157"/>
      <c r="O1632" s="157"/>
    </row>
    <row r="1633" spans="3:15" ht="15" customHeight="1">
      <c r="C1633" s="498"/>
      <c r="D1633" s="256"/>
      <c r="E1633" s="195"/>
      <c r="F1633" s="157"/>
      <c r="G1633" s="157"/>
      <c r="H1633" s="157"/>
      <c r="I1633" s="157"/>
      <c r="J1633" s="157"/>
      <c r="K1633" s="157"/>
      <c r="L1633" s="157"/>
      <c r="M1633" s="523"/>
      <c r="N1633" s="157"/>
      <c r="O1633" s="157"/>
    </row>
    <row r="1634" spans="3:15" ht="15" customHeight="1">
      <c r="C1634" s="498"/>
      <c r="D1634" s="256"/>
      <c r="E1634" s="195"/>
      <c r="F1634" s="157"/>
      <c r="G1634" s="157"/>
      <c r="H1634" s="157"/>
      <c r="I1634" s="157"/>
      <c r="J1634" s="157"/>
      <c r="K1634" s="157"/>
      <c r="L1634" s="157"/>
      <c r="M1634" s="523"/>
      <c r="N1634" s="157"/>
      <c r="O1634" s="157"/>
    </row>
    <row r="1635" spans="3:15" ht="15" customHeight="1">
      <c r="C1635" s="498"/>
      <c r="D1635" s="256"/>
      <c r="E1635" s="195"/>
      <c r="F1635" s="157"/>
      <c r="G1635" s="157"/>
      <c r="H1635" s="157"/>
      <c r="I1635" s="157"/>
      <c r="J1635" s="157"/>
      <c r="K1635" s="157"/>
      <c r="L1635" s="157"/>
      <c r="M1635" s="523"/>
      <c r="N1635" s="157"/>
      <c r="O1635" s="157"/>
    </row>
    <row r="1636" spans="3:15" ht="15" customHeight="1">
      <c r="C1636" s="498"/>
      <c r="D1636" s="256"/>
      <c r="E1636" s="195"/>
      <c r="F1636" s="157"/>
      <c r="G1636" s="157"/>
      <c r="H1636" s="157"/>
      <c r="I1636" s="157"/>
      <c r="J1636" s="157"/>
      <c r="K1636" s="157"/>
      <c r="L1636" s="157"/>
      <c r="M1636" s="523"/>
      <c r="N1636" s="157"/>
      <c r="O1636" s="157"/>
    </row>
    <row r="1637" spans="3:15" ht="15" customHeight="1">
      <c r="C1637" s="498"/>
      <c r="D1637" s="256"/>
      <c r="E1637" s="195"/>
      <c r="F1637" s="157"/>
      <c r="G1637" s="157"/>
      <c r="H1637" s="157"/>
      <c r="I1637" s="157"/>
      <c r="J1637" s="157"/>
      <c r="K1637" s="157"/>
      <c r="L1637" s="157"/>
      <c r="M1637" s="523"/>
      <c r="N1637" s="157"/>
      <c r="O1637" s="157"/>
    </row>
    <row r="1638" spans="3:15" ht="15" customHeight="1">
      <c r="C1638" s="498"/>
      <c r="D1638" s="256"/>
      <c r="E1638" s="195"/>
      <c r="F1638" s="157"/>
      <c r="G1638" s="157"/>
      <c r="H1638" s="157"/>
      <c r="I1638" s="157"/>
      <c r="J1638" s="157"/>
      <c r="K1638" s="157"/>
      <c r="L1638" s="157"/>
      <c r="M1638" s="523"/>
      <c r="N1638" s="157"/>
      <c r="O1638" s="157"/>
    </row>
    <row r="1639" spans="3:15" ht="15" customHeight="1">
      <c r="C1639" s="498"/>
      <c r="D1639" s="256"/>
      <c r="E1639" s="195"/>
      <c r="F1639" s="157"/>
      <c r="G1639" s="157"/>
      <c r="H1639" s="157"/>
      <c r="I1639" s="157"/>
      <c r="J1639" s="157"/>
      <c r="K1639" s="157"/>
      <c r="L1639" s="157"/>
      <c r="M1639" s="523"/>
      <c r="N1639" s="157"/>
      <c r="O1639" s="157"/>
    </row>
    <row r="1640" spans="3:15" ht="15" customHeight="1">
      <c r="C1640" s="498"/>
      <c r="D1640" s="256"/>
      <c r="E1640" s="195"/>
      <c r="F1640" s="157"/>
      <c r="G1640" s="157"/>
      <c r="H1640" s="157"/>
      <c r="I1640" s="157"/>
      <c r="J1640" s="157"/>
      <c r="K1640" s="157"/>
      <c r="L1640" s="157"/>
      <c r="M1640" s="523"/>
      <c r="N1640" s="157"/>
      <c r="O1640" s="157"/>
    </row>
    <row r="1641" spans="3:15" ht="15" customHeight="1">
      <c r="C1641" s="498"/>
      <c r="D1641" s="256"/>
      <c r="E1641" s="195"/>
      <c r="F1641" s="157"/>
      <c r="G1641" s="157"/>
      <c r="H1641" s="157"/>
      <c r="I1641" s="157"/>
      <c r="J1641" s="157"/>
      <c r="K1641" s="157"/>
      <c r="L1641" s="157"/>
      <c r="M1641" s="523"/>
      <c r="N1641" s="157"/>
      <c r="O1641" s="157"/>
    </row>
    <row r="1642" spans="3:15" ht="15" customHeight="1">
      <c r="C1642" s="498"/>
      <c r="D1642" s="256"/>
      <c r="E1642" s="195"/>
      <c r="F1642" s="157"/>
      <c r="G1642" s="157"/>
      <c r="H1642" s="157"/>
      <c r="I1642" s="157"/>
      <c r="J1642" s="157"/>
      <c r="K1642" s="157"/>
      <c r="L1642" s="157"/>
      <c r="M1642" s="523"/>
      <c r="N1642" s="157"/>
      <c r="O1642" s="157"/>
    </row>
    <row r="1643" spans="3:15" ht="15" customHeight="1">
      <c r="C1643" s="498"/>
      <c r="D1643" s="256"/>
      <c r="E1643" s="195"/>
      <c r="F1643" s="157"/>
      <c r="G1643" s="157"/>
      <c r="H1643" s="157"/>
      <c r="I1643" s="157"/>
      <c r="J1643" s="157"/>
      <c r="K1643" s="157"/>
      <c r="L1643" s="157"/>
      <c r="M1643" s="523"/>
      <c r="N1643" s="157"/>
      <c r="O1643" s="157"/>
    </row>
    <row r="1644" spans="3:15" ht="15" customHeight="1">
      <c r="C1644" s="498"/>
      <c r="D1644" s="256"/>
      <c r="E1644" s="195"/>
      <c r="F1644" s="157"/>
      <c r="G1644" s="157"/>
      <c r="H1644" s="157"/>
      <c r="I1644" s="157"/>
      <c r="J1644" s="157"/>
      <c r="K1644" s="157"/>
      <c r="L1644" s="157"/>
      <c r="M1644" s="523"/>
      <c r="N1644" s="157"/>
      <c r="O1644" s="157"/>
    </row>
    <row r="1645" spans="3:15" ht="15" customHeight="1">
      <c r="C1645" s="498"/>
      <c r="D1645" s="256"/>
      <c r="E1645" s="195"/>
      <c r="F1645" s="157"/>
      <c r="G1645" s="157"/>
      <c r="H1645" s="157"/>
      <c r="I1645" s="157"/>
      <c r="J1645" s="157"/>
      <c r="K1645" s="157"/>
      <c r="L1645" s="157"/>
      <c r="M1645" s="523"/>
      <c r="N1645" s="157"/>
      <c r="O1645" s="157"/>
    </row>
    <row r="1646" spans="3:15" ht="15" customHeight="1">
      <c r="C1646" s="498"/>
      <c r="D1646" s="256"/>
      <c r="E1646" s="195"/>
      <c r="F1646" s="157"/>
      <c r="G1646" s="157"/>
      <c r="H1646" s="157"/>
      <c r="I1646" s="157"/>
      <c r="J1646" s="157"/>
      <c r="K1646" s="157"/>
      <c r="L1646" s="157"/>
      <c r="M1646" s="523"/>
      <c r="N1646" s="157"/>
      <c r="O1646" s="157"/>
    </row>
    <row r="1647" spans="3:15" ht="15" customHeight="1">
      <c r="C1647" s="498"/>
      <c r="D1647" s="256"/>
      <c r="E1647" s="195"/>
      <c r="F1647" s="157"/>
      <c r="G1647" s="157"/>
      <c r="H1647" s="157"/>
      <c r="I1647" s="157"/>
      <c r="J1647" s="157"/>
      <c r="K1647" s="157"/>
      <c r="L1647" s="157"/>
      <c r="M1647" s="523"/>
      <c r="N1647" s="157"/>
      <c r="O1647" s="157"/>
    </row>
    <row r="1648" spans="3:15" ht="15" customHeight="1">
      <c r="C1648" s="498"/>
      <c r="D1648" s="256"/>
      <c r="E1648" s="195"/>
      <c r="F1648" s="157"/>
      <c r="G1648" s="157"/>
      <c r="H1648" s="157"/>
      <c r="I1648" s="157"/>
      <c r="J1648" s="157"/>
      <c r="K1648" s="157"/>
      <c r="L1648" s="157"/>
      <c r="M1648" s="523"/>
      <c r="N1648" s="157"/>
      <c r="O1648" s="157"/>
    </row>
    <row r="1649" spans="3:15" ht="15" customHeight="1">
      <c r="C1649" s="498"/>
      <c r="D1649" s="256"/>
      <c r="E1649" s="195"/>
      <c r="F1649" s="157"/>
      <c r="G1649" s="157"/>
      <c r="H1649" s="157"/>
      <c r="I1649" s="157"/>
      <c r="J1649" s="157"/>
      <c r="K1649" s="157"/>
      <c r="L1649" s="157"/>
      <c r="M1649" s="523"/>
      <c r="N1649" s="157"/>
      <c r="O1649" s="157"/>
    </row>
    <row r="1650" spans="3:15" ht="15" customHeight="1">
      <c r="C1650" s="498"/>
      <c r="D1650" s="256"/>
      <c r="E1650" s="195"/>
      <c r="F1650" s="157"/>
      <c r="G1650" s="157"/>
      <c r="H1650" s="157"/>
      <c r="I1650" s="157"/>
      <c r="J1650" s="157"/>
      <c r="K1650" s="157"/>
      <c r="L1650" s="157"/>
      <c r="M1650" s="523"/>
      <c r="N1650" s="157"/>
      <c r="O1650" s="157"/>
    </row>
    <row r="1651" spans="3:15" ht="15" customHeight="1">
      <c r="C1651" s="498"/>
      <c r="D1651" s="256"/>
      <c r="E1651" s="195"/>
      <c r="F1651" s="157"/>
      <c r="G1651" s="157"/>
      <c r="H1651" s="157"/>
      <c r="I1651" s="157"/>
      <c r="J1651" s="157"/>
      <c r="K1651" s="157"/>
      <c r="L1651" s="157"/>
      <c r="M1651" s="523"/>
      <c r="N1651" s="157"/>
      <c r="O1651" s="157"/>
    </row>
    <row r="1652" spans="3:15" ht="15" customHeight="1">
      <c r="C1652" s="498"/>
      <c r="D1652" s="256"/>
      <c r="E1652" s="195"/>
      <c r="F1652" s="157"/>
      <c r="G1652" s="157"/>
      <c r="H1652" s="157"/>
      <c r="I1652" s="157"/>
      <c r="J1652" s="157"/>
      <c r="K1652" s="157"/>
      <c r="L1652" s="157"/>
      <c r="M1652" s="523"/>
      <c r="N1652" s="157"/>
      <c r="O1652" s="157"/>
    </row>
    <row r="1653" spans="3:15" ht="15" customHeight="1">
      <c r="C1653" s="498"/>
      <c r="D1653" s="256"/>
      <c r="E1653" s="195"/>
      <c r="F1653" s="157"/>
      <c r="G1653" s="157"/>
      <c r="H1653" s="157"/>
      <c r="I1653" s="157"/>
      <c r="J1653" s="157"/>
      <c r="K1653" s="157"/>
      <c r="L1653" s="157"/>
      <c r="M1653" s="523"/>
      <c r="N1653" s="157"/>
      <c r="O1653" s="157"/>
    </row>
    <row r="1654" spans="3:15" ht="15" customHeight="1">
      <c r="C1654" s="498"/>
      <c r="D1654" s="256"/>
      <c r="E1654" s="195"/>
      <c r="F1654" s="157"/>
      <c r="G1654" s="157"/>
      <c r="H1654" s="157"/>
      <c r="I1654" s="157"/>
      <c r="J1654" s="157"/>
      <c r="K1654" s="157"/>
      <c r="L1654" s="157"/>
      <c r="M1654" s="523"/>
      <c r="N1654" s="157"/>
      <c r="O1654" s="157"/>
    </row>
    <row r="1655" spans="3:15" ht="15" customHeight="1">
      <c r="C1655" s="498"/>
      <c r="D1655" s="256"/>
      <c r="E1655" s="195"/>
      <c r="F1655" s="157"/>
      <c r="G1655" s="157"/>
      <c r="H1655" s="157"/>
      <c r="I1655" s="157"/>
      <c r="J1655" s="157"/>
      <c r="K1655" s="157"/>
      <c r="L1655" s="157"/>
      <c r="M1655" s="523"/>
      <c r="N1655" s="157"/>
      <c r="O1655" s="157"/>
    </row>
    <row r="1656" spans="3:15" ht="15" customHeight="1">
      <c r="C1656" s="498"/>
      <c r="D1656" s="256"/>
      <c r="E1656" s="195"/>
      <c r="F1656" s="157"/>
      <c r="G1656" s="157"/>
      <c r="H1656" s="157"/>
      <c r="I1656" s="157"/>
      <c r="J1656" s="157"/>
      <c r="K1656" s="157"/>
      <c r="L1656" s="157"/>
      <c r="M1656" s="523"/>
      <c r="N1656" s="157"/>
      <c r="O1656" s="157"/>
    </row>
    <row r="1657" spans="3:15" ht="15" customHeight="1">
      <c r="C1657" s="498"/>
      <c r="D1657" s="256"/>
      <c r="E1657" s="195"/>
      <c r="F1657" s="157"/>
      <c r="G1657" s="157"/>
      <c r="H1657" s="157"/>
      <c r="I1657" s="157"/>
      <c r="J1657" s="157"/>
      <c r="K1657" s="157"/>
      <c r="L1657" s="157"/>
      <c r="M1657" s="523"/>
      <c r="N1657" s="157"/>
      <c r="O1657" s="157"/>
    </row>
    <row r="1658" spans="3:15" ht="15" customHeight="1">
      <c r="C1658" s="498"/>
      <c r="D1658" s="256"/>
      <c r="E1658" s="195"/>
      <c r="F1658" s="157"/>
      <c r="G1658" s="157"/>
      <c r="H1658" s="157"/>
      <c r="I1658" s="157"/>
      <c r="J1658" s="157"/>
      <c r="K1658" s="157"/>
      <c r="L1658" s="157"/>
      <c r="M1658" s="523"/>
      <c r="N1658" s="157"/>
      <c r="O1658" s="157"/>
    </row>
    <row r="1659" spans="3:15" ht="15" customHeight="1">
      <c r="C1659" s="498"/>
      <c r="D1659" s="256"/>
      <c r="E1659" s="195"/>
      <c r="F1659" s="157"/>
      <c r="G1659" s="157"/>
      <c r="H1659" s="157"/>
      <c r="I1659" s="157"/>
      <c r="J1659" s="157"/>
      <c r="K1659" s="157"/>
      <c r="L1659" s="157"/>
      <c r="M1659" s="523"/>
      <c r="N1659" s="157"/>
      <c r="O1659" s="157"/>
    </row>
    <row r="1660" spans="3:15" ht="15" customHeight="1">
      <c r="C1660" s="498"/>
      <c r="D1660" s="256"/>
      <c r="E1660" s="195"/>
      <c r="F1660" s="157"/>
      <c r="G1660" s="157"/>
      <c r="H1660" s="157"/>
      <c r="I1660" s="157"/>
      <c r="J1660" s="157"/>
      <c r="K1660" s="157"/>
      <c r="L1660" s="157"/>
      <c r="M1660" s="523"/>
      <c r="N1660" s="157"/>
      <c r="O1660" s="157"/>
    </row>
    <row r="1661" spans="3:15" ht="15" customHeight="1">
      <c r="C1661" s="498"/>
      <c r="D1661" s="256"/>
      <c r="E1661" s="195"/>
      <c r="F1661" s="157"/>
      <c r="G1661" s="157"/>
      <c r="H1661" s="157"/>
      <c r="I1661" s="157"/>
      <c r="J1661" s="157"/>
      <c r="K1661" s="157"/>
      <c r="L1661" s="157"/>
      <c r="M1661" s="523"/>
      <c r="N1661" s="157"/>
      <c r="O1661" s="157"/>
    </row>
    <row r="1662" spans="3:15" ht="15" customHeight="1">
      <c r="C1662" s="498"/>
      <c r="D1662" s="256"/>
      <c r="E1662" s="195"/>
      <c r="F1662" s="157"/>
      <c r="G1662" s="157"/>
      <c r="H1662" s="157"/>
      <c r="I1662" s="157"/>
      <c r="J1662" s="157"/>
      <c r="K1662" s="157"/>
      <c r="L1662" s="157"/>
      <c r="M1662" s="523"/>
      <c r="N1662" s="157"/>
      <c r="O1662" s="157"/>
    </row>
    <row r="1663" spans="3:15" ht="15" customHeight="1">
      <c r="C1663" s="498"/>
      <c r="D1663" s="256"/>
      <c r="E1663" s="195"/>
      <c r="F1663" s="157"/>
      <c r="G1663" s="157"/>
      <c r="H1663" s="157"/>
      <c r="I1663" s="157"/>
      <c r="J1663" s="157"/>
      <c r="K1663" s="157"/>
      <c r="L1663" s="157"/>
      <c r="M1663" s="523"/>
      <c r="N1663" s="157"/>
      <c r="O1663" s="157"/>
    </row>
    <row r="1664" spans="3:15" ht="15" customHeight="1">
      <c r="C1664" s="498"/>
      <c r="D1664" s="256"/>
      <c r="E1664" s="195"/>
      <c r="F1664" s="157"/>
      <c r="G1664" s="157"/>
      <c r="H1664" s="157"/>
      <c r="I1664" s="157"/>
      <c r="J1664" s="157"/>
      <c r="K1664" s="157"/>
      <c r="L1664" s="157"/>
      <c r="M1664" s="523"/>
      <c r="N1664" s="157"/>
      <c r="O1664" s="157"/>
    </row>
    <row r="1665" spans="3:15" ht="15" customHeight="1">
      <c r="C1665" s="498"/>
      <c r="D1665" s="256"/>
      <c r="E1665" s="195"/>
      <c r="F1665" s="157"/>
      <c r="G1665" s="157"/>
      <c r="H1665" s="157"/>
      <c r="I1665" s="157"/>
      <c r="J1665" s="157"/>
      <c r="K1665" s="157"/>
      <c r="L1665" s="157"/>
      <c r="M1665" s="523"/>
      <c r="N1665" s="157"/>
      <c r="O1665" s="157"/>
    </row>
    <row r="1666" spans="3:15" ht="15" customHeight="1">
      <c r="C1666" s="498"/>
      <c r="D1666" s="256"/>
      <c r="E1666" s="195"/>
      <c r="F1666" s="157"/>
      <c r="G1666" s="157"/>
      <c r="H1666" s="157"/>
      <c r="I1666" s="157"/>
      <c r="J1666" s="157"/>
      <c r="K1666" s="157"/>
      <c r="L1666" s="157"/>
      <c r="M1666" s="523"/>
      <c r="N1666" s="157"/>
      <c r="O1666" s="157"/>
    </row>
    <row r="1667" spans="3:15" ht="15" customHeight="1">
      <c r="C1667" s="498"/>
      <c r="D1667" s="256"/>
      <c r="E1667" s="195"/>
      <c r="F1667" s="157"/>
      <c r="G1667" s="157"/>
      <c r="H1667" s="157"/>
      <c r="I1667" s="157"/>
      <c r="J1667" s="157"/>
      <c r="K1667" s="157"/>
      <c r="L1667" s="157"/>
      <c r="M1667" s="523"/>
      <c r="N1667" s="157"/>
      <c r="O1667" s="157"/>
    </row>
    <row r="1668" spans="3:15" ht="15" customHeight="1">
      <c r="C1668" s="498"/>
      <c r="D1668" s="256"/>
      <c r="E1668" s="195"/>
      <c r="F1668" s="157"/>
      <c r="G1668" s="157"/>
      <c r="H1668" s="157"/>
      <c r="I1668" s="157"/>
      <c r="J1668" s="157"/>
      <c r="K1668" s="157"/>
      <c r="L1668" s="157"/>
      <c r="M1668" s="523"/>
      <c r="N1668" s="157"/>
      <c r="O1668" s="157"/>
    </row>
    <row r="1669" spans="3:15" ht="15" customHeight="1">
      <c r="C1669" s="498"/>
      <c r="D1669" s="256"/>
      <c r="E1669" s="195"/>
      <c r="F1669" s="157"/>
      <c r="G1669" s="157"/>
      <c r="H1669" s="157"/>
      <c r="I1669" s="157"/>
      <c r="J1669" s="157"/>
      <c r="K1669" s="157"/>
      <c r="L1669" s="157"/>
      <c r="M1669" s="523"/>
      <c r="N1669" s="157"/>
      <c r="O1669" s="157"/>
    </row>
    <row r="1670" spans="3:15" ht="15" customHeight="1">
      <c r="C1670" s="498"/>
      <c r="D1670" s="256"/>
      <c r="E1670" s="195"/>
      <c r="F1670" s="157"/>
      <c r="G1670" s="157"/>
      <c r="H1670" s="157"/>
      <c r="I1670" s="157"/>
      <c r="J1670" s="157"/>
      <c r="K1670" s="157"/>
      <c r="L1670" s="157"/>
      <c r="M1670" s="523"/>
      <c r="N1670" s="157"/>
      <c r="O1670" s="157"/>
    </row>
    <row r="1671" spans="3:15" ht="15" customHeight="1">
      <c r="C1671" s="498"/>
      <c r="D1671" s="256"/>
      <c r="E1671" s="195"/>
      <c r="F1671" s="157"/>
      <c r="G1671" s="157"/>
      <c r="H1671" s="157"/>
      <c r="I1671" s="157"/>
      <c r="J1671" s="157"/>
      <c r="K1671" s="157"/>
      <c r="L1671" s="157"/>
      <c r="M1671" s="523"/>
      <c r="N1671" s="157"/>
      <c r="O1671" s="157"/>
    </row>
    <row r="1672" spans="3:15" ht="15" customHeight="1">
      <c r="C1672" s="498"/>
      <c r="D1672" s="256"/>
      <c r="E1672" s="195"/>
      <c r="F1672" s="157"/>
      <c r="G1672" s="157"/>
      <c r="H1672" s="157"/>
      <c r="I1672" s="157"/>
      <c r="J1672" s="157"/>
      <c r="K1672" s="157"/>
      <c r="L1672" s="157"/>
      <c r="M1672" s="523"/>
      <c r="N1672" s="157"/>
      <c r="O1672" s="157"/>
    </row>
    <row r="1673" spans="3:15" ht="15" customHeight="1">
      <c r="C1673" s="498"/>
      <c r="D1673" s="256"/>
      <c r="E1673" s="195"/>
      <c r="F1673" s="157"/>
      <c r="G1673" s="157"/>
      <c r="H1673" s="157"/>
      <c r="I1673" s="157"/>
      <c r="J1673" s="157"/>
      <c r="K1673" s="157"/>
      <c r="L1673" s="157"/>
      <c r="M1673" s="523"/>
      <c r="N1673" s="157"/>
      <c r="O1673" s="157"/>
    </row>
    <row r="1674" spans="3:15" ht="15" customHeight="1">
      <c r="C1674" s="498"/>
      <c r="D1674" s="256"/>
      <c r="E1674" s="195"/>
      <c r="F1674" s="157"/>
      <c r="G1674" s="157"/>
      <c r="H1674" s="157"/>
      <c r="I1674" s="157"/>
      <c r="J1674" s="157"/>
      <c r="K1674" s="157"/>
      <c r="L1674" s="157"/>
      <c r="M1674" s="523"/>
      <c r="N1674" s="157"/>
      <c r="O1674" s="157"/>
    </row>
    <row r="1675" spans="3:15" ht="15" customHeight="1">
      <c r="C1675" s="498"/>
      <c r="D1675" s="256"/>
      <c r="E1675" s="195"/>
      <c r="F1675" s="157"/>
      <c r="G1675" s="157"/>
      <c r="H1675" s="157"/>
      <c r="I1675" s="157"/>
      <c r="J1675" s="157"/>
      <c r="K1675" s="157"/>
      <c r="L1675" s="157"/>
      <c r="M1675" s="523"/>
      <c r="N1675" s="157"/>
      <c r="O1675" s="157"/>
    </row>
    <row r="1676" spans="3:15" ht="15" customHeight="1">
      <c r="C1676" s="498"/>
      <c r="D1676" s="256"/>
      <c r="E1676" s="195"/>
      <c r="F1676" s="157"/>
      <c r="G1676" s="157"/>
      <c r="H1676" s="157"/>
      <c r="I1676" s="157"/>
      <c r="J1676" s="157"/>
      <c r="K1676" s="157"/>
      <c r="L1676" s="157"/>
      <c r="M1676" s="523"/>
      <c r="N1676" s="157"/>
      <c r="O1676" s="157"/>
    </row>
    <row r="1677" spans="3:15" ht="15" customHeight="1">
      <c r="C1677" s="498"/>
      <c r="D1677" s="256"/>
      <c r="E1677" s="195"/>
      <c r="F1677" s="157"/>
      <c r="G1677" s="157"/>
      <c r="H1677" s="157"/>
      <c r="I1677" s="157"/>
      <c r="J1677" s="157"/>
      <c r="K1677" s="157"/>
      <c r="L1677" s="157"/>
      <c r="M1677" s="523"/>
      <c r="N1677" s="157"/>
      <c r="O1677" s="157"/>
    </row>
    <row r="1678" spans="3:15" ht="15" customHeight="1">
      <c r="C1678" s="498"/>
      <c r="D1678" s="256"/>
      <c r="E1678" s="195"/>
      <c r="F1678" s="157"/>
      <c r="G1678" s="157"/>
      <c r="H1678" s="157"/>
      <c r="I1678" s="157"/>
      <c r="J1678" s="157"/>
      <c r="K1678" s="157"/>
      <c r="L1678" s="157"/>
      <c r="M1678" s="523"/>
      <c r="N1678" s="157"/>
      <c r="O1678" s="157"/>
    </row>
    <row r="1679" spans="3:15" ht="15" customHeight="1">
      <c r="C1679" s="498"/>
      <c r="D1679" s="256"/>
      <c r="E1679" s="195"/>
      <c r="F1679" s="157"/>
      <c r="G1679" s="157"/>
      <c r="H1679" s="157"/>
      <c r="I1679" s="157"/>
      <c r="J1679" s="157"/>
      <c r="K1679" s="157"/>
      <c r="L1679" s="157"/>
      <c r="M1679" s="523"/>
      <c r="N1679" s="157"/>
      <c r="O1679" s="157"/>
    </row>
    <row r="1680" spans="3:15" ht="15" customHeight="1">
      <c r="C1680" s="498"/>
      <c r="D1680" s="256"/>
      <c r="E1680" s="195"/>
      <c r="F1680" s="157"/>
      <c r="G1680" s="157"/>
      <c r="H1680" s="157"/>
      <c r="I1680" s="157"/>
      <c r="J1680" s="157"/>
      <c r="K1680" s="157"/>
      <c r="L1680" s="157"/>
      <c r="M1680" s="523"/>
      <c r="N1680" s="157"/>
      <c r="O1680" s="157"/>
    </row>
    <row r="1681" spans="3:15" ht="15" customHeight="1">
      <c r="C1681" s="498"/>
      <c r="D1681" s="256"/>
      <c r="E1681" s="195"/>
      <c r="F1681" s="157"/>
      <c r="G1681" s="157"/>
      <c r="H1681" s="157"/>
      <c r="I1681" s="157"/>
      <c r="J1681" s="157"/>
      <c r="K1681" s="157"/>
      <c r="L1681" s="157"/>
      <c r="M1681" s="523"/>
      <c r="N1681" s="157"/>
      <c r="O1681" s="157"/>
    </row>
    <row r="1682" spans="3:15" ht="15" customHeight="1">
      <c r="C1682" s="498"/>
      <c r="D1682" s="256"/>
      <c r="E1682" s="195"/>
      <c r="F1682" s="157"/>
      <c r="G1682" s="157"/>
      <c r="H1682" s="157"/>
      <c r="I1682" s="157"/>
      <c r="J1682" s="157"/>
      <c r="K1682" s="157"/>
      <c r="L1682" s="157"/>
      <c r="M1682" s="523"/>
      <c r="N1682" s="157"/>
      <c r="O1682" s="157"/>
    </row>
    <row r="1683" spans="3:15" ht="15" customHeight="1">
      <c r="C1683" s="498"/>
      <c r="D1683" s="256"/>
      <c r="E1683" s="195"/>
      <c r="F1683" s="157"/>
      <c r="G1683" s="157"/>
      <c r="H1683" s="157"/>
      <c r="I1683" s="157"/>
      <c r="J1683" s="157"/>
      <c r="K1683" s="157"/>
      <c r="L1683" s="157"/>
      <c r="M1683" s="523"/>
      <c r="N1683" s="157"/>
      <c r="O1683" s="157"/>
    </row>
    <row r="1684" spans="3:15" ht="15" customHeight="1">
      <c r="C1684" s="498"/>
      <c r="D1684" s="256"/>
      <c r="E1684" s="195"/>
      <c r="F1684" s="157"/>
      <c r="G1684" s="157"/>
      <c r="H1684" s="157"/>
      <c r="I1684" s="157"/>
      <c r="J1684" s="157"/>
      <c r="K1684" s="157"/>
      <c r="L1684" s="157"/>
      <c r="M1684" s="523"/>
      <c r="N1684" s="157"/>
      <c r="O1684" s="157"/>
    </row>
    <row r="1685" spans="3:15" ht="15" customHeight="1">
      <c r="C1685" s="498"/>
      <c r="D1685" s="256"/>
      <c r="E1685" s="195"/>
      <c r="F1685" s="157"/>
      <c r="G1685" s="157"/>
      <c r="H1685" s="157"/>
      <c r="I1685" s="157"/>
      <c r="J1685" s="157"/>
      <c r="K1685" s="157"/>
      <c r="L1685" s="157"/>
      <c r="M1685" s="523"/>
      <c r="N1685" s="157"/>
      <c r="O1685" s="157"/>
    </row>
    <row r="1686" spans="3:15" ht="15" customHeight="1">
      <c r="C1686" s="498"/>
      <c r="D1686" s="256"/>
      <c r="E1686" s="195"/>
      <c r="F1686" s="157"/>
      <c r="G1686" s="157"/>
      <c r="H1686" s="157"/>
      <c r="I1686" s="157"/>
      <c r="J1686" s="157"/>
      <c r="K1686" s="157"/>
      <c r="L1686" s="157"/>
      <c r="M1686" s="523"/>
      <c r="N1686" s="157"/>
      <c r="O1686" s="157"/>
    </row>
    <row r="1687" spans="3:15" ht="15" customHeight="1">
      <c r="C1687" s="498"/>
      <c r="D1687" s="256"/>
      <c r="E1687" s="195"/>
      <c r="F1687" s="157"/>
      <c r="G1687" s="157"/>
      <c r="H1687" s="157"/>
      <c r="I1687" s="157"/>
      <c r="J1687" s="157"/>
      <c r="K1687" s="157"/>
      <c r="L1687" s="157"/>
      <c r="M1687" s="523"/>
      <c r="N1687" s="157"/>
      <c r="O1687" s="157"/>
    </row>
    <row r="1688" spans="3:15" ht="15" customHeight="1">
      <c r="C1688" s="498"/>
      <c r="D1688" s="256"/>
      <c r="E1688" s="195"/>
      <c r="F1688" s="157"/>
      <c r="G1688" s="157"/>
      <c r="H1688" s="157"/>
      <c r="I1688" s="157"/>
      <c r="J1688" s="157"/>
      <c r="K1688" s="157"/>
      <c r="L1688" s="157"/>
      <c r="M1688" s="523"/>
      <c r="N1688" s="157"/>
      <c r="O1688" s="157"/>
    </row>
    <row r="1689" spans="3:15" ht="15" customHeight="1">
      <c r="C1689" s="498"/>
      <c r="D1689" s="256"/>
      <c r="E1689" s="195"/>
      <c r="F1689" s="157"/>
      <c r="G1689" s="157"/>
      <c r="H1689" s="157"/>
      <c r="I1689" s="157"/>
      <c r="J1689" s="157"/>
      <c r="K1689" s="157"/>
      <c r="L1689" s="157"/>
      <c r="M1689" s="523"/>
      <c r="N1689" s="157"/>
      <c r="O1689" s="157"/>
    </row>
    <row r="1690" spans="3:15" ht="15" customHeight="1">
      <c r="C1690" s="498"/>
      <c r="D1690" s="256"/>
      <c r="E1690" s="195"/>
      <c r="F1690" s="157"/>
      <c r="G1690" s="157"/>
      <c r="H1690" s="157"/>
      <c r="I1690" s="157"/>
      <c r="J1690" s="157"/>
      <c r="K1690" s="157"/>
      <c r="L1690" s="157"/>
      <c r="M1690" s="523"/>
      <c r="N1690" s="157"/>
      <c r="O1690" s="157"/>
    </row>
    <row r="1691" spans="3:15" ht="15" customHeight="1">
      <c r="C1691" s="498"/>
      <c r="D1691" s="256"/>
      <c r="E1691" s="195"/>
      <c r="F1691" s="157"/>
      <c r="G1691" s="157"/>
      <c r="H1691" s="157"/>
      <c r="I1691" s="157"/>
      <c r="J1691" s="157"/>
      <c r="K1691" s="157"/>
      <c r="L1691" s="157"/>
      <c r="M1691" s="523"/>
      <c r="N1691" s="157"/>
      <c r="O1691" s="157"/>
    </row>
    <row r="1692" spans="3:15" ht="15" customHeight="1">
      <c r="C1692" s="498"/>
      <c r="D1692" s="256"/>
      <c r="E1692" s="195"/>
      <c r="F1692" s="157"/>
      <c r="G1692" s="157"/>
      <c r="H1692" s="157"/>
      <c r="I1692" s="157"/>
      <c r="J1692" s="157"/>
      <c r="K1692" s="157"/>
      <c r="L1692" s="157"/>
      <c r="M1692" s="523"/>
      <c r="N1692" s="157"/>
      <c r="O1692" s="157"/>
    </row>
    <row r="1693" spans="3:15" ht="15" customHeight="1">
      <c r="C1693" s="498"/>
      <c r="D1693" s="256"/>
      <c r="E1693" s="195"/>
      <c r="F1693" s="157"/>
      <c r="G1693" s="157"/>
      <c r="H1693" s="157"/>
      <c r="I1693" s="157"/>
      <c r="J1693" s="157"/>
      <c r="K1693" s="157"/>
      <c r="L1693" s="157"/>
      <c r="M1693" s="523"/>
      <c r="N1693" s="157"/>
      <c r="O1693" s="157"/>
    </row>
    <row r="1694" spans="3:15" ht="15" customHeight="1">
      <c r="C1694" s="498"/>
      <c r="D1694" s="256"/>
      <c r="E1694" s="195"/>
      <c r="F1694" s="157"/>
      <c r="G1694" s="157"/>
      <c r="H1694" s="157"/>
      <c r="I1694" s="157"/>
      <c r="J1694" s="157"/>
      <c r="K1694" s="157"/>
      <c r="L1694" s="157"/>
      <c r="M1694" s="523"/>
      <c r="N1694" s="157"/>
      <c r="O1694" s="157"/>
    </row>
    <row r="1695" spans="3:15" ht="15" customHeight="1">
      <c r="C1695" s="498"/>
      <c r="D1695" s="256"/>
      <c r="E1695" s="195"/>
      <c r="F1695" s="157"/>
      <c r="G1695" s="157"/>
      <c r="H1695" s="157"/>
      <c r="I1695" s="157"/>
      <c r="J1695" s="157"/>
      <c r="K1695" s="157"/>
      <c r="L1695" s="157"/>
      <c r="M1695" s="523"/>
      <c r="N1695" s="157"/>
      <c r="O1695" s="157"/>
    </row>
    <row r="1696" spans="3:15" ht="15" customHeight="1">
      <c r="C1696" s="498"/>
      <c r="D1696" s="256"/>
      <c r="E1696" s="195"/>
      <c r="F1696" s="157"/>
      <c r="G1696" s="157"/>
      <c r="H1696" s="157"/>
      <c r="I1696" s="157"/>
      <c r="J1696" s="157"/>
      <c r="K1696" s="157"/>
      <c r="L1696" s="157"/>
      <c r="M1696" s="523"/>
      <c r="N1696" s="157"/>
      <c r="O1696" s="157"/>
    </row>
    <row r="1697" spans="3:15" ht="15" customHeight="1">
      <c r="C1697" s="498"/>
      <c r="D1697" s="256"/>
      <c r="E1697" s="195"/>
      <c r="F1697" s="157"/>
      <c r="G1697" s="157"/>
      <c r="H1697" s="157"/>
      <c r="I1697" s="157"/>
      <c r="J1697" s="157"/>
      <c r="K1697" s="157"/>
      <c r="L1697" s="157"/>
      <c r="M1697" s="523"/>
      <c r="N1697" s="157"/>
      <c r="O1697" s="157"/>
    </row>
    <row r="1698" spans="3:15" ht="15" customHeight="1">
      <c r="C1698" s="498"/>
      <c r="D1698" s="256"/>
      <c r="E1698" s="195"/>
      <c r="F1698" s="157"/>
      <c r="G1698" s="157"/>
      <c r="H1698" s="157"/>
      <c r="I1698" s="157"/>
      <c r="J1698" s="157"/>
      <c r="K1698" s="157"/>
      <c r="L1698" s="157"/>
      <c r="M1698" s="523"/>
      <c r="N1698" s="157"/>
      <c r="O1698" s="157"/>
    </row>
    <row r="1699" spans="3:15" ht="15" customHeight="1">
      <c r="C1699" s="498"/>
      <c r="D1699" s="256"/>
      <c r="E1699" s="195"/>
      <c r="F1699" s="157"/>
      <c r="G1699" s="157"/>
      <c r="H1699" s="157"/>
      <c r="I1699" s="157"/>
      <c r="J1699" s="157"/>
      <c r="K1699" s="157"/>
      <c r="L1699" s="157"/>
      <c r="M1699" s="523"/>
      <c r="N1699" s="157"/>
      <c r="O1699" s="157"/>
    </row>
    <row r="1700" spans="3:15" ht="15" customHeight="1">
      <c r="C1700" s="498"/>
      <c r="D1700" s="256"/>
      <c r="E1700" s="195"/>
      <c r="F1700" s="157"/>
      <c r="G1700" s="157"/>
      <c r="H1700" s="157"/>
      <c r="I1700" s="157"/>
      <c r="J1700" s="157"/>
      <c r="K1700" s="157"/>
      <c r="L1700" s="157"/>
      <c r="M1700" s="523"/>
      <c r="N1700" s="157"/>
      <c r="O1700" s="157"/>
    </row>
    <row r="1701" spans="3:15" ht="15" customHeight="1">
      <c r="C1701" s="498"/>
      <c r="D1701" s="256"/>
      <c r="E1701" s="195"/>
      <c r="F1701" s="157"/>
      <c r="G1701" s="157"/>
      <c r="H1701" s="157"/>
      <c r="I1701" s="157"/>
      <c r="J1701" s="157"/>
      <c r="K1701" s="157"/>
      <c r="L1701" s="157"/>
      <c r="M1701" s="523"/>
      <c r="N1701" s="157"/>
      <c r="O1701" s="157"/>
    </row>
    <row r="1702" spans="3:15" ht="15" customHeight="1">
      <c r="C1702" s="498"/>
      <c r="D1702" s="256"/>
      <c r="E1702" s="195"/>
      <c r="F1702" s="157"/>
      <c r="G1702" s="157"/>
      <c r="H1702" s="157"/>
      <c r="I1702" s="157"/>
      <c r="J1702" s="157"/>
      <c r="K1702" s="157"/>
      <c r="L1702" s="157"/>
      <c r="M1702" s="523"/>
      <c r="N1702" s="157"/>
      <c r="O1702" s="157"/>
    </row>
    <row r="1703" spans="3:15" ht="15" customHeight="1">
      <c r="C1703" s="498"/>
      <c r="D1703" s="256"/>
      <c r="E1703" s="195"/>
      <c r="F1703" s="157"/>
      <c r="G1703" s="157"/>
      <c r="H1703" s="157"/>
      <c r="I1703" s="157"/>
      <c r="J1703" s="157"/>
      <c r="K1703" s="157"/>
      <c r="L1703" s="157"/>
      <c r="M1703" s="523"/>
      <c r="N1703" s="157"/>
      <c r="O1703" s="157"/>
    </row>
    <row r="1704" spans="3:15" ht="15" customHeight="1">
      <c r="C1704" s="498"/>
      <c r="D1704" s="256"/>
      <c r="E1704" s="195"/>
      <c r="F1704" s="157"/>
      <c r="G1704" s="157"/>
      <c r="H1704" s="157"/>
      <c r="I1704" s="157"/>
      <c r="J1704" s="157"/>
      <c r="K1704" s="157"/>
      <c r="L1704" s="157"/>
      <c r="M1704" s="523"/>
      <c r="N1704" s="157"/>
      <c r="O1704" s="157"/>
    </row>
    <row r="1705" spans="3:15" ht="15" customHeight="1">
      <c r="C1705" s="498"/>
      <c r="D1705" s="256"/>
      <c r="E1705" s="195"/>
      <c r="F1705" s="157"/>
      <c r="G1705" s="157"/>
      <c r="H1705" s="157"/>
      <c r="I1705" s="157"/>
      <c r="J1705" s="157"/>
      <c r="K1705" s="157"/>
      <c r="L1705" s="157"/>
      <c r="M1705" s="523"/>
      <c r="N1705" s="157"/>
      <c r="O1705" s="157"/>
    </row>
    <row r="1706" spans="3:15" ht="15" customHeight="1">
      <c r="C1706" s="498"/>
      <c r="D1706" s="256"/>
      <c r="E1706" s="195"/>
      <c r="F1706" s="157"/>
      <c r="G1706" s="157"/>
      <c r="H1706" s="157"/>
      <c r="I1706" s="157"/>
      <c r="J1706" s="157"/>
      <c r="K1706" s="157"/>
      <c r="L1706" s="157"/>
      <c r="M1706" s="523"/>
      <c r="N1706" s="157"/>
      <c r="O1706" s="157"/>
    </row>
    <row r="1707" spans="3:15" ht="15" customHeight="1">
      <c r="C1707" s="498"/>
      <c r="D1707" s="256"/>
      <c r="E1707" s="195"/>
      <c r="F1707" s="157"/>
      <c r="G1707" s="157"/>
      <c r="H1707" s="157"/>
      <c r="I1707" s="157"/>
      <c r="J1707" s="157"/>
      <c r="K1707" s="157"/>
      <c r="L1707" s="157"/>
      <c r="M1707" s="523"/>
      <c r="N1707" s="157"/>
      <c r="O1707" s="157"/>
    </row>
    <row r="1708" spans="3:15" ht="15" customHeight="1">
      <c r="C1708" s="498"/>
      <c r="D1708" s="256"/>
      <c r="E1708" s="195"/>
      <c r="F1708" s="157"/>
      <c r="G1708" s="157"/>
      <c r="H1708" s="157"/>
      <c r="I1708" s="157"/>
      <c r="J1708" s="157"/>
      <c r="K1708" s="157"/>
      <c r="L1708" s="157"/>
      <c r="M1708" s="523"/>
      <c r="N1708" s="157"/>
      <c r="O1708" s="157"/>
    </row>
    <row r="1709" spans="3:15" ht="15" customHeight="1">
      <c r="C1709" s="498"/>
      <c r="D1709" s="256"/>
      <c r="E1709" s="195"/>
      <c r="F1709" s="157"/>
      <c r="G1709" s="157"/>
      <c r="H1709" s="157"/>
      <c r="I1709" s="157"/>
      <c r="J1709" s="157"/>
      <c r="K1709" s="157"/>
      <c r="L1709" s="157"/>
      <c r="M1709" s="523"/>
      <c r="N1709" s="157"/>
      <c r="O1709" s="157"/>
    </row>
    <row r="1710" spans="3:15" ht="15" customHeight="1">
      <c r="C1710" s="498"/>
      <c r="D1710" s="256"/>
      <c r="E1710" s="195"/>
      <c r="F1710" s="157"/>
      <c r="G1710" s="157"/>
      <c r="H1710" s="157"/>
      <c r="I1710" s="157"/>
      <c r="J1710" s="157"/>
      <c r="K1710" s="157"/>
      <c r="L1710" s="157"/>
      <c r="M1710" s="523"/>
      <c r="N1710" s="157"/>
      <c r="O1710" s="157"/>
    </row>
    <row r="1711" spans="3:15" ht="15" customHeight="1">
      <c r="C1711" s="498"/>
      <c r="D1711" s="256"/>
      <c r="E1711" s="195"/>
      <c r="F1711" s="157"/>
      <c r="G1711" s="157"/>
      <c r="H1711" s="157"/>
      <c r="I1711" s="157"/>
      <c r="J1711" s="157"/>
      <c r="K1711" s="157"/>
      <c r="L1711" s="157"/>
      <c r="M1711" s="523"/>
      <c r="N1711" s="157"/>
      <c r="O1711" s="157"/>
    </row>
    <row r="1712" spans="3:15" ht="15" customHeight="1">
      <c r="C1712" s="498"/>
      <c r="D1712" s="256"/>
      <c r="E1712" s="195"/>
      <c r="F1712" s="157"/>
      <c r="G1712" s="157"/>
      <c r="H1712" s="157"/>
      <c r="I1712" s="157"/>
      <c r="J1712" s="157"/>
      <c r="K1712" s="157"/>
      <c r="L1712" s="157"/>
      <c r="M1712" s="523"/>
      <c r="N1712" s="157"/>
      <c r="O1712" s="157"/>
    </row>
    <row r="1713" spans="3:15" ht="15" customHeight="1">
      <c r="C1713" s="498"/>
      <c r="D1713" s="256"/>
      <c r="E1713" s="195"/>
      <c r="F1713" s="157"/>
      <c r="G1713" s="157"/>
      <c r="H1713" s="157"/>
      <c r="I1713" s="157"/>
      <c r="J1713" s="157"/>
      <c r="K1713" s="157"/>
      <c r="L1713" s="157"/>
      <c r="M1713" s="523"/>
      <c r="N1713" s="157"/>
      <c r="O1713" s="157"/>
    </row>
    <row r="1714" spans="3:15" ht="15" customHeight="1">
      <c r="C1714" s="498"/>
      <c r="D1714" s="256"/>
      <c r="E1714" s="195"/>
      <c r="F1714" s="157"/>
      <c r="G1714" s="157"/>
      <c r="H1714" s="157"/>
      <c r="I1714" s="157"/>
      <c r="J1714" s="157"/>
      <c r="K1714" s="157"/>
      <c r="L1714" s="157"/>
      <c r="M1714" s="523"/>
      <c r="N1714" s="157"/>
      <c r="O1714" s="157"/>
    </row>
    <row r="1715" spans="3:15" ht="15" customHeight="1">
      <c r="C1715" s="498"/>
      <c r="D1715" s="256"/>
      <c r="E1715" s="195"/>
      <c r="F1715" s="157"/>
      <c r="G1715" s="157"/>
      <c r="H1715" s="157"/>
      <c r="I1715" s="157"/>
      <c r="J1715" s="157"/>
      <c r="K1715" s="157"/>
      <c r="L1715" s="157"/>
      <c r="M1715" s="523"/>
      <c r="N1715" s="157"/>
      <c r="O1715" s="157"/>
    </row>
    <row r="1716" spans="3:15" ht="15" customHeight="1">
      <c r="C1716" s="498"/>
      <c r="D1716" s="256"/>
      <c r="E1716" s="195"/>
      <c r="F1716" s="157"/>
      <c r="G1716" s="157"/>
      <c r="H1716" s="157"/>
      <c r="I1716" s="157"/>
      <c r="J1716" s="157"/>
      <c r="K1716" s="157"/>
      <c r="L1716" s="157"/>
      <c r="M1716" s="523"/>
      <c r="N1716" s="157"/>
      <c r="O1716" s="157"/>
    </row>
    <row r="1717" spans="3:15" ht="15" customHeight="1">
      <c r="C1717" s="498"/>
      <c r="D1717" s="256"/>
      <c r="E1717" s="195"/>
      <c r="F1717" s="157"/>
      <c r="G1717" s="157"/>
      <c r="H1717" s="157"/>
      <c r="I1717" s="157"/>
      <c r="J1717" s="157"/>
      <c r="K1717" s="157"/>
      <c r="L1717" s="157"/>
      <c r="M1717" s="523"/>
      <c r="N1717" s="157"/>
      <c r="O1717" s="157"/>
    </row>
    <row r="1718" spans="3:15" ht="15" customHeight="1">
      <c r="C1718" s="498"/>
      <c r="D1718" s="256"/>
      <c r="E1718" s="195"/>
      <c r="F1718" s="157"/>
      <c r="G1718" s="157"/>
      <c r="H1718" s="157"/>
      <c r="I1718" s="157"/>
      <c r="J1718" s="157"/>
      <c r="K1718" s="157"/>
      <c r="L1718" s="157"/>
      <c r="M1718" s="523"/>
      <c r="N1718" s="157"/>
      <c r="O1718" s="157"/>
    </row>
    <row r="1719" spans="3:15" ht="15" customHeight="1">
      <c r="C1719" s="498"/>
      <c r="D1719" s="256"/>
      <c r="E1719" s="195"/>
      <c r="F1719" s="157"/>
      <c r="G1719" s="157"/>
      <c r="H1719" s="157"/>
      <c r="I1719" s="157"/>
      <c r="J1719" s="157"/>
      <c r="K1719" s="157"/>
      <c r="L1719" s="157"/>
      <c r="M1719" s="523"/>
      <c r="N1719" s="157"/>
      <c r="O1719" s="157"/>
    </row>
    <row r="1720" spans="3:15" ht="15" customHeight="1">
      <c r="C1720" s="498"/>
      <c r="D1720" s="256"/>
      <c r="E1720" s="195"/>
      <c r="F1720" s="157"/>
      <c r="G1720" s="157"/>
      <c r="H1720" s="157"/>
      <c r="I1720" s="157"/>
      <c r="J1720" s="157"/>
      <c r="K1720" s="157"/>
      <c r="L1720" s="157"/>
      <c r="M1720" s="523"/>
      <c r="N1720" s="157"/>
      <c r="O1720" s="157"/>
    </row>
    <row r="1721" spans="3:15" ht="15" customHeight="1">
      <c r="C1721" s="498"/>
      <c r="D1721" s="256"/>
      <c r="E1721" s="195"/>
      <c r="F1721" s="157"/>
      <c r="G1721" s="157"/>
      <c r="H1721" s="157"/>
      <c r="I1721" s="157"/>
      <c r="J1721" s="157"/>
      <c r="K1721" s="157"/>
      <c r="L1721" s="157"/>
      <c r="M1721" s="523"/>
      <c r="N1721" s="157"/>
      <c r="O1721" s="157"/>
    </row>
    <row r="1722" spans="3:15" ht="15" customHeight="1">
      <c r="C1722" s="498"/>
      <c r="D1722" s="256"/>
      <c r="E1722" s="195"/>
      <c r="F1722" s="157"/>
      <c r="G1722" s="157"/>
      <c r="H1722" s="157"/>
      <c r="I1722" s="157"/>
      <c r="J1722" s="157"/>
      <c r="K1722" s="157"/>
      <c r="L1722" s="157"/>
      <c r="M1722" s="523"/>
      <c r="N1722" s="157"/>
      <c r="O1722" s="157"/>
    </row>
    <row r="1723" spans="3:15" ht="15" customHeight="1">
      <c r="C1723" s="498"/>
      <c r="D1723" s="256"/>
      <c r="E1723" s="195"/>
      <c r="F1723" s="157"/>
      <c r="G1723" s="157"/>
      <c r="H1723" s="157"/>
      <c r="I1723" s="157"/>
      <c r="J1723" s="157"/>
      <c r="K1723" s="157"/>
      <c r="L1723" s="157"/>
      <c r="M1723" s="523"/>
      <c r="N1723" s="157"/>
      <c r="O1723" s="157"/>
    </row>
    <row r="1724" spans="3:15" ht="15" customHeight="1">
      <c r="C1724" s="498"/>
      <c r="D1724" s="256"/>
      <c r="E1724" s="195"/>
      <c r="F1724" s="157"/>
      <c r="G1724" s="157"/>
      <c r="H1724" s="157"/>
      <c r="I1724" s="157"/>
      <c r="J1724" s="157"/>
      <c r="K1724" s="157"/>
      <c r="L1724" s="157"/>
      <c r="M1724" s="523"/>
      <c r="N1724" s="157"/>
      <c r="O1724" s="157"/>
    </row>
    <row r="1725" spans="3:15" ht="15" customHeight="1">
      <c r="C1725" s="498"/>
      <c r="D1725" s="256"/>
      <c r="E1725" s="195"/>
      <c r="F1725" s="157"/>
      <c r="G1725" s="157"/>
      <c r="H1725" s="157"/>
      <c r="I1725" s="157"/>
      <c r="J1725" s="157"/>
      <c r="K1725" s="157"/>
      <c r="L1725" s="157"/>
      <c r="M1725" s="523"/>
      <c r="N1725" s="157"/>
      <c r="O1725" s="157"/>
    </row>
    <row r="1726" spans="3:15" ht="15" customHeight="1">
      <c r="C1726" s="498"/>
      <c r="D1726" s="256"/>
      <c r="E1726" s="195"/>
      <c r="F1726" s="157"/>
      <c r="G1726" s="157"/>
      <c r="H1726" s="157"/>
      <c r="I1726" s="157"/>
      <c r="J1726" s="157"/>
      <c r="K1726" s="157"/>
      <c r="L1726" s="157"/>
      <c r="M1726" s="523"/>
      <c r="N1726" s="157"/>
      <c r="O1726" s="157"/>
    </row>
    <row r="1727" spans="3:15" ht="15" customHeight="1">
      <c r="C1727" s="498"/>
      <c r="D1727" s="256"/>
      <c r="E1727" s="195"/>
      <c r="F1727" s="157"/>
      <c r="G1727" s="157"/>
      <c r="H1727" s="157"/>
      <c r="I1727" s="157"/>
      <c r="J1727" s="157"/>
      <c r="K1727" s="157"/>
      <c r="L1727" s="157"/>
      <c r="M1727" s="523"/>
      <c r="N1727" s="157"/>
      <c r="O1727" s="157"/>
    </row>
    <row r="1728" spans="3:15" ht="15" customHeight="1">
      <c r="C1728" s="498"/>
      <c r="D1728" s="256"/>
      <c r="E1728" s="195"/>
      <c r="F1728" s="157"/>
      <c r="G1728" s="157"/>
      <c r="H1728" s="157"/>
      <c r="I1728" s="157"/>
      <c r="J1728" s="157"/>
      <c r="K1728" s="157"/>
      <c r="L1728" s="157"/>
      <c r="M1728" s="523"/>
      <c r="N1728" s="157"/>
      <c r="O1728" s="157"/>
    </row>
    <row r="1729" spans="3:15" ht="15" customHeight="1">
      <c r="C1729" s="498"/>
      <c r="D1729" s="256"/>
      <c r="E1729" s="195"/>
      <c r="F1729" s="157"/>
      <c r="G1729" s="157"/>
      <c r="H1729" s="157"/>
      <c r="I1729" s="157"/>
      <c r="J1729" s="157"/>
      <c r="K1729" s="157"/>
      <c r="L1729" s="157"/>
      <c r="M1729" s="523"/>
      <c r="N1729" s="157"/>
      <c r="O1729" s="157"/>
    </row>
    <row r="1730" spans="3:15" ht="15" customHeight="1">
      <c r="C1730" s="498"/>
      <c r="D1730" s="256"/>
      <c r="E1730" s="195"/>
      <c r="F1730" s="157"/>
      <c r="G1730" s="157"/>
      <c r="H1730" s="157"/>
      <c r="I1730" s="157"/>
      <c r="J1730" s="157"/>
      <c r="K1730" s="157"/>
      <c r="L1730" s="157"/>
      <c r="M1730" s="523"/>
      <c r="N1730" s="157"/>
      <c r="O1730" s="157"/>
    </row>
    <row r="1731" spans="3:15" ht="15" customHeight="1">
      <c r="C1731" s="498"/>
      <c r="D1731" s="256"/>
      <c r="E1731" s="195"/>
      <c r="F1731" s="157"/>
      <c r="G1731" s="157"/>
      <c r="H1731" s="157"/>
      <c r="I1731" s="157"/>
      <c r="J1731" s="157"/>
      <c r="K1731" s="157"/>
      <c r="L1731" s="157"/>
      <c r="M1731" s="523"/>
      <c r="N1731" s="157"/>
      <c r="O1731" s="157"/>
    </row>
    <row r="1732" spans="3:15" ht="15" customHeight="1">
      <c r="C1732" s="498"/>
      <c r="D1732" s="256"/>
      <c r="E1732" s="195"/>
      <c r="F1732" s="157"/>
      <c r="G1732" s="157"/>
      <c r="H1732" s="157"/>
      <c r="I1732" s="157"/>
      <c r="J1732" s="157"/>
      <c r="K1732" s="157"/>
      <c r="L1732" s="157"/>
      <c r="M1732" s="523"/>
      <c r="N1732" s="157"/>
      <c r="O1732" s="157"/>
    </row>
    <row r="1733" spans="3:15" ht="15" customHeight="1">
      <c r="C1733" s="498"/>
      <c r="D1733" s="256"/>
      <c r="E1733" s="195"/>
      <c r="F1733" s="157"/>
      <c r="G1733" s="157"/>
      <c r="H1733" s="157"/>
      <c r="I1733" s="157"/>
      <c r="J1733" s="157"/>
      <c r="K1733" s="157"/>
      <c r="L1733" s="157"/>
      <c r="M1733" s="523"/>
      <c r="N1733" s="157"/>
      <c r="O1733" s="157"/>
    </row>
    <row r="1734" spans="3:15" ht="15" customHeight="1">
      <c r="C1734" s="498"/>
      <c r="D1734" s="256"/>
      <c r="E1734" s="195"/>
      <c r="F1734" s="157"/>
      <c r="G1734" s="157"/>
      <c r="H1734" s="157"/>
      <c r="I1734" s="157"/>
      <c r="J1734" s="157"/>
      <c r="K1734" s="157"/>
      <c r="L1734" s="157"/>
      <c r="M1734" s="523"/>
      <c r="N1734" s="157"/>
      <c r="O1734" s="157"/>
    </row>
    <row r="1735" spans="3:15" ht="15" customHeight="1">
      <c r="C1735" s="498"/>
      <c r="D1735" s="256"/>
      <c r="E1735" s="195"/>
      <c r="F1735" s="157"/>
      <c r="G1735" s="157"/>
      <c r="H1735" s="157"/>
      <c r="I1735" s="157"/>
      <c r="J1735" s="157"/>
      <c r="K1735" s="157"/>
      <c r="L1735" s="157"/>
      <c r="M1735" s="523"/>
      <c r="N1735" s="157"/>
      <c r="O1735" s="157"/>
    </row>
    <row r="1736" spans="3:15" ht="15" customHeight="1">
      <c r="C1736" s="498"/>
      <c r="D1736" s="256"/>
      <c r="E1736" s="195"/>
      <c r="F1736" s="157"/>
      <c r="G1736" s="157"/>
      <c r="H1736" s="157"/>
      <c r="I1736" s="157"/>
      <c r="J1736" s="157"/>
      <c r="K1736" s="157"/>
      <c r="L1736" s="157"/>
      <c r="M1736" s="523"/>
      <c r="N1736" s="157"/>
      <c r="O1736" s="157"/>
    </row>
    <row r="1737" spans="3:15" ht="15" customHeight="1">
      <c r="C1737" s="498"/>
      <c r="D1737" s="256"/>
      <c r="E1737" s="195"/>
      <c r="F1737" s="157"/>
      <c r="G1737" s="157"/>
      <c r="H1737" s="157"/>
      <c r="I1737" s="157"/>
      <c r="J1737" s="157"/>
      <c r="K1737" s="157"/>
      <c r="L1737" s="157"/>
      <c r="M1737" s="523"/>
      <c r="N1737" s="157"/>
      <c r="O1737" s="157"/>
    </row>
    <row r="1738" spans="3:15" ht="15" customHeight="1">
      <c r="C1738" s="498"/>
      <c r="D1738" s="256"/>
      <c r="E1738" s="195"/>
      <c r="F1738" s="157"/>
      <c r="G1738" s="157"/>
      <c r="H1738" s="157"/>
      <c r="I1738" s="157"/>
      <c r="J1738" s="157"/>
      <c r="K1738" s="157"/>
      <c r="L1738" s="157"/>
      <c r="M1738" s="523"/>
      <c r="N1738" s="157"/>
      <c r="O1738" s="157"/>
    </row>
    <row r="1739" spans="3:15" ht="15" customHeight="1">
      <c r="C1739" s="498"/>
      <c r="D1739" s="256"/>
      <c r="E1739" s="195"/>
      <c r="F1739" s="157"/>
      <c r="G1739" s="157"/>
      <c r="H1739" s="157"/>
      <c r="I1739" s="157"/>
      <c r="J1739" s="157"/>
      <c r="K1739" s="157"/>
      <c r="L1739" s="157"/>
      <c r="M1739" s="523"/>
      <c r="N1739" s="157"/>
      <c r="O1739" s="157"/>
    </row>
    <row r="1740" spans="3:15" ht="15" customHeight="1">
      <c r="C1740" s="498"/>
      <c r="D1740" s="256"/>
      <c r="E1740" s="195"/>
      <c r="F1740" s="157"/>
      <c r="G1740" s="157"/>
      <c r="H1740" s="157"/>
      <c r="I1740" s="157"/>
      <c r="J1740" s="157"/>
      <c r="K1740" s="157"/>
      <c r="L1740" s="157"/>
      <c r="M1740" s="523"/>
      <c r="N1740" s="157"/>
      <c r="O1740" s="157"/>
    </row>
    <row r="1741" spans="3:15" ht="15" customHeight="1">
      <c r="C1741" s="498"/>
      <c r="D1741" s="256"/>
      <c r="E1741" s="195"/>
      <c r="F1741" s="157"/>
      <c r="G1741" s="157"/>
      <c r="H1741" s="157"/>
      <c r="I1741" s="157"/>
      <c r="J1741" s="157"/>
      <c r="K1741" s="157"/>
      <c r="L1741" s="157"/>
      <c r="M1741" s="523"/>
      <c r="N1741" s="157"/>
      <c r="O1741" s="157"/>
    </row>
    <row r="1742" spans="3:15" ht="15" customHeight="1">
      <c r="C1742" s="498"/>
      <c r="D1742" s="256"/>
      <c r="E1742" s="195"/>
      <c r="F1742" s="157"/>
      <c r="G1742" s="157"/>
      <c r="H1742" s="157"/>
      <c r="I1742" s="157"/>
      <c r="J1742" s="157"/>
      <c r="K1742" s="157"/>
      <c r="L1742" s="157"/>
      <c r="M1742" s="523"/>
      <c r="N1742" s="157"/>
      <c r="O1742" s="157"/>
    </row>
    <row r="1743" spans="3:15" ht="15" customHeight="1">
      <c r="C1743" s="498"/>
      <c r="D1743" s="256"/>
      <c r="E1743" s="195"/>
      <c r="F1743" s="157"/>
      <c r="G1743" s="157"/>
      <c r="H1743" s="157"/>
      <c r="I1743" s="157"/>
      <c r="J1743" s="157"/>
      <c r="K1743" s="157"/>
      <c r="L1743" s="157"/>
      <c r="M1743" s="523"/>
      <c r="N1743" s="157"/>
      <c r="O1743" s="157"/>
    </row>
    <row r="1744" spans="3:15" ht="15" customHeight="1">
      <c r="C1744" s="498"/>
      <c r="D1744" s="256"/>
      <c r="E1744" s="195"/>
      <c r="F1744" s="157"/>
      <c r="G1744" s="157"/>
      <c r="H1744" s="157"/>
      <c r="I1744" s="157"/>
      <c r="J1744" s="157"/>
      <c r="K1744" s="157"/>
      <c r="L1744" s="157"/>
      <c r="M1744" s="523"/>
      <c r="N1744" s="157"/>
      <c r="O1744" s="157"/>
    </row>
    <row r="1745" spans="3:15" ht="15" customHeight="1">
      <c r="C1745" s="498"/>
      <c r="D1745" s="256"/>
      <c r="E1745" s="195"/>
      <c r="F1745" s="157"/>
      <c r="G1745" s="157"/>
      <c r="H1745" s="157"/>
      <c r="I1745" s="157"/>
      <c r="J1745" s="157"/>
      <c r="K1745" s="157"/>
      <c r="L1745" s="157"/>
      <c r="M1745" s="523"/>
      <c r="N1745" s="157"/>
      <c r="O1745" s="157"/>
    </row>
    <row r="1746" spans="3:15" ht="15" customHeight="1">
      <c r="C1746" s="498"/>
      <c r="D1746" s="256"/>
      <c r="E1746" s="195"/>
      <c r="F1746" s="157"/>
      <c r="G1746" s="157"/>
      <c r="H1746" s="157"/>
      <c r="I1746" s="157"/>
      <c r="J1746" s="157"/>
      <c r="K1746" s="157"/>
      <c r="L1746" s="157"/>
      <c r="M1746" s="523"/>
      <c r="N1746" s="157"/>
      <c r="O1746" s="157"/>
    </row>
    <row r="1747" spans="3:15" ht="15" customHeight="1">
      <c r="C1747" s="498"/>
      <c r="D1747" s="256"/>
      <c r="E1747" s="195"/>
      <c r="F1747" s="157"/>
      <c r="G1747" s="157"/>
      <c r="H1747" s="157"/>
      <c r="I1747" s="157"/>
      <c r="J1747" s="157"/>
      <c r="K1747" s="157"/>
      <c r="L1747" s="157"/>
      <c r="M1747" s="523"/>
      <c r="N1747" s="157"/>
      <c r="O1747" s="157"/>
    </row>
    <row r="1748" spans="3:15" ht="15" customHeight="1">
      <c r="C1748" s="498"/>
      <c r="D1748" s="256"/>
      <c r="E1748" s="195"/>
      <c r="F1748" s="157"/>
      <c r="G1748" s="157"/>
      <c r="H1748" s="157"/>
      <c r="I1748" s="157"/>
      <c r="J1748" s="157"/>
      <c r="K1748" s="157"/>
      <c r="L1748" s="157"/>
      <c r="M1748" s="523"/>
      <c r="N1748" s="157"/>
      <c r="O1748" s="157"/>
    </row>
    <row r="1749" spans="3:15" ht="15" customHeight="1">
      <c r="C1749" s="498"/>
      <c r="D1749" s="256"/>
      <c r="E1749" s="195"/>
      <c r="F1749" s="157"/>
      <c r="G1749" s="157"/>
      <c r="H1749" s="157"/>
      <c r="I1749" s="157"/>
      <c r="J1749" s="157"/>
      <c r="K1749" s="157"/>
      <c r="L1749" s="157"/>
      <c r="M1749" s="523"/>
      <c r="N1749" s="157"/>
      <c r="O1749" s="157"/>
    </row>
    <row r="1750" spans="3:15" ht="15" customHeight="1">
      <c r="C1750" s="498"/>
      <c r="D1750" s="256"/>
      <c r="E1750" s="195"/>
      <c r="F1750" s="157"/>
      <c r="G1750" s="157"/>
      <c r="H1750" s="157"/>
      <c r="I1750" s="157"/>
      <c r="J1750" s="157"/>
      <c r="K1750" s="157"/>
      <c r="L1750" s="157"/>
      <c r="M1750" s="523"/>
      <c r="N1750" s="157"/>
      <c r="O1750" s="157"/>
    </row>
    <row r="1751" spans="3:15" ht="15" customHeight="1">
      <c r="C1751" s="498"/>
      <c r="D1751" s="256"/>
      <c r="E1751" s="195"/>
      <c r="F1751" s="157"/>
      <c r="G1751" s="157"/>
      <c r="H1751" s="157"/>
      <c r="I1751" s="157"/>
      <c r="J1751" s="157"/>
      <c r="K1751" s="157"/>
      <c r="L1751" s="157"/>
      <c r="M1751" s="523"/>
      <c r="N1751" s="157"/>
      <c r="O1751" s="157"/>
    </row>
    <row r="1752" spans="3:15" ht="15" customHeight="1">
      <c r="C1752" s="498"/>
      <c r="D1752" s="256"/>
      <c r="E1752" s="195"/>
      <c r="F1752" s="157"/>
      <c r="G1752" s="157"/>
      <c r="H1752" s="157"/>
      <c r="I1752" s="157"/>
      <c r="J1752" s="157"/>
      <c r="K1752" s="157"/>
      <c r="L1752" s="157"/>
      <c r="M1752" s="523"/>
      <c r="N1752" s="157"/>
      <c r="O1752" s="157"/>
    </row>
    <row r="1753" spans="3:15" ht="15" customHeight="1">
      <c r="C1753" s="498"/>
      <c r="D1753" s="256"/>
      <c r="E1753" s="195"/>
      <c r="F1753" s="157"/>
      <c r="G1753" s="157"/>
      <c r="H1753" s="157"/>
      <c r="I1753" s="157"/>
      <c r="J1753" s="157"/>
      <c r="K1753" s="157"/>
      <c r="L1753" s="157"/>
      <c r="M1753" s="523"/>
      <c r="N1753" s="157"/>
      <c r="O1753" s="157"/>
    </row>
    <row r="1754" spans="3:15" ht="15" customHeight="1">
      <c r="C1754" s="498"/>
      <c r="D1754" s="256"/>
      <c r="E1754" s="195"/>
      <c r="F1754" s="157"/>
      <c r="G1754" s="157"/>
      <c r="H1754" s="157"/>
      <c r="I1754" s="157"/>
      <c r="J1754" s="157"/>
      <c r="K1754" s="157"/>
      <c r="L1754" s="157"/>
      <c r="M1754" s="523"/>
      <c r="N1754" s="157"/>
      <c r="O1754" s="157"/>
    </row>
    <row r="1755" spans="3:15" ht="15" customHeight="1">
      <c r="C1755" s="498"/>
      <c r="D1755" s="256"/>
      <c r="E1755" s="195"/>
      <c r="F1755" s="157"/>
      <c r="G1755" s="157"/>
      <c r="H1755" s="157"/>
      <c r="I1755" s="157"/>
      <c r="J1755" s="157"/>
      <c r="K1755" s="157"/>
      <c r="L1755" s="157"/>
      <c r="M1755" s="523"/>
      <c r="N1755" s="157"/>
      <c r="O1755" s="157"/>
    </row>
    <row r="1756" spans="3:15" ht="15" customHeight="1">
      <c r="C1756" s="498"/>
      <c r="D1756" s="256"/>
      <c r="E1756" s="195"/>
      <c r="F1756" s="157"/>
      <c r="G1756" s="157"/>
      <c r="H1756" s="157"/>
      <c r="I1756" s="157"/>
      <c r="J1756" s="157"/>
      <c r="K1756" s="157"/>
      <c r="L1756" s="157"/>
      <c r="M1756" s="523"/>
      <c r="N1756" s="157"/>
      <c r="O1756" s="157"/>
    </row>
    <row r="1757" spans="3:15" ht="15" customHeight="1">
      <c r="C1757" s="498"/>
      <c r="D1757" s="256"/>
      <c r="E1757" s="195"/>
      <c r="F1757" s="157"/>
      <c r="G1757" s="157"/>
      <c r="H1757" s="157"/>
      <c r="I1757" s="157"/>
      <c r="J1757" s="157"/>
      <c r="K1757" s="157"/>
      <c r="L1757" s="157"/>
      <c r="M1757" s="523"/>
      <c r="N1757" s="157"/>
      <c r="O1757" s="157"/>
    </row>
    <row r="1758" spans="3:15" ht="15" customHeight="1">
      <c r="C1758" s="498"/>
      <c r="D1758" s="256"/>
      <c r="E1758" s="195"/>
      <c r="F1758" s="157"/>
      <c r="G1758" s="157"/>
      <c r="H1758" s="157"/>
      <c r="I1758" s="157"/>
      <c r="J1758" s="157"/>
      <c r="K1758" s="157"/>
      <c r="L1758" s="157"/>
      <c r="M1758" s="523"/>
      <c r="N1758" s="157"/>
      <c r="O1758" s="157"/>
    </row>
    <row r="1759" spans="3:15" ht="15" customHeight="1">
      <c r="C1759" s="498"/>
      <c r="D1759" s="256"/>
      <c r="E1759" s="195"/>
      <c r="F1759" s="157"/>
      <c r="G1759" s="157"/>
      <c r="H1759" s="157"/>
      <c r="I1759" s="157"/>
      <c r="J1759" s="157"/>
      <c r="K1759" s="157"/>
      <c r="L1759" s="157"/>
      <c r="M1759" s="523"/>
      <c r="N1759" s="157"/>
      <c r="O1759" s="157"/>
    </row>
    <row r="1760" spans="3:15" ht="15" customHeight="1">
      <c r="C1760" s="498"/>
      <c r="D1760" s="256"/>
      <c r="E1760" s="195"/>
      <c r="F1760" s="157"/>
      <c r="G1760" s="157"/>
      <c r="H1760" s="157"/>
      <c r="I1760" s="157"/>
      <c r="J1760" s="157"/>
      <c r="K1760" s="157"/>
      <c r="L1760" s="157"/>
      <c r="M1760" s="523"/>
      <c r="N1760" s="157"/>
      <c r="O1760" s="157"/>
    </row>
    <row r="1761" spans="3:15" ht="15" customHeight="1">
      <c r="C1761" s="498"/>
      <c r="D1761" s="256"/>
      <c r="E1761" s="195"/>
      <c r="F1761" s="157"/>
      <c r="G1761" s="157"/>
      <c r="H1761" s="157"/>
      <c r="I1761" s="157"/>
      <c r="J1761" s="157"/>
      <c r="K1761" s="157"/>
      <c r="L1761" s="157"/>
      <c r="M1761" s="523"/>
      <c r="N1761" s="157"/>
      <c r="O1761" s="157"/>
    </row>
    <row r="1762" spans="3:15" ht="15" customHeight="1">
      <c r="C1762" s="498"/>
      <c r="D1762" s="256"/>
      <c r="E1762" s="195"/>
      <c r="F1762" s="157"/>
      <c r="G1762" s="157"/>
      <c r="H1762" s="157"/>
      <c r="I1762" s="157"/>
      <c r="J1762" s="157"/>
      <c r="K1762" s="157"/>
      <c r="L1762" s="157"/>
      <c r="M1762" s="523"/>
      <c r="N1762" s="157"/>
      <c r="O1762" s="157"/>
    </row>
    <row r="1763" spans="3:15" ht="15" customHeight="1">
      <c r="C1763" s="498"/>
      <c r="D1763" s="256"/>
      <c r="E1763" s="195"/>
      <c r="F1763" s="157"/>
      <c r="G1763" s="157"/>
      <c r="H1763" s="157"/>
      <c r="I1763" s="157"/>
      <c r="J1763" s="157"/>
      <c r="K1763" s="157"/>
      <c r="L1763" s="157"/>
      <c r="M1763" s="523"/>
      <c r="N1763" s="157"/>
      <c r="O1763" s="157"/>
    </row>
    <row r="1764" spans="3:15" ht="15" customHeight="1">
      <c r="C1764" s="498"/>
      <c r="D1764" s="256"/>
      <c r="E1764" s="195"/>
      <c r="F1764" s="157"/>
      <c r="G1764" s="157"/>
      <c r="H1764" s="157"/>
      <c r="I1764" s="157"/>
      <c r="J1764" s="157"/>
      <c r="K1764" s="157"/>
      <c r="L1764" s="157"/>
      <c r="M1764" s="523"/>
      <c r="N1764" s="157"/>
      <c r="O1764" s="157"/>
    </row>
    <row r="1765" spans="3:15" ht="15" customHeight="1">
      <c r="C1765" s="498"/>
      <c r="D1765" s="256"/>
      <c r="E1765" s="195"/>
      <c r="F1765" s="157"/>
      <c r="G1765" s="157"/>
      <c r="H1765" s="157"/>
      <c r="I1765" s="157"/>
      <c r="J1765" s="157"/>
      <c r="K1765" s="157"/>
      <c r="L1765" s="157"/>
      <c r="M1765" s="523"/>
      <c r="N1765" s="157"/>
      <c r="O1765" s="157"/>
    </row>
    <row r="1766" spans="3:15" ht="15" customHeight="1">
      <c r="C1766" s="498"/>
      <c r="D1766" s="256"/>
      <c r="E1766" s="195"/>
      <c r="F1766" s="157"/>
      <c r="G1766" s="157"/>
      <c r="H1766" s="157"/>
      <c r="I1766" s="157"/>
      <c r="J1766" s="157"/>
      <c r="K1766" s="157"/>
      <c r="L1766" s="157"/>
      <c r="M1766" s="523"/>
      <c r="N1766" s="157"/>
      <c r="O1766" s="157"/>
    </row>
    <row r="1767" spans="3:15" ht="15" customHeight="1">
      <c r="C1767" s="498"/>
      <c r="D1767" s="256"/>
      <c r="E1767" s="195"/>
      <c r="F1767" s="157"/>
      <c r="G1767" s="157"/>
      <c r="H1767" s="157"/>
      <c r="I1767" s="157"/>
      <c r="J1767" s="157"/>
      <c r="K1767" s="157"/>
      <c r="L1767" s="157"/>
      <c r="M1767" s="523"/>
      <c r="N1767" s="157"/>
      <c r="O1767" s="157"/>
    </row>
    <row r="1768" spans="3:15" ht="15" customHeight="1">
      <c r="C1768" s="498"/>
      <c r="D1768" s="256"/>
      <c r="E1768" s="195"/>
      <c r="F1768" s="157"/>
      <c r="G1768" s="157"/>
      <c r="H1768" s="157"/>
      <c r="I1768" s="157"/>
      <c r="J1768" s="157"/>
      <c r="K1768" s="157"/>
      <c r="L1768" s="157"/>
      <c r="M1768" s="523"/>
      <c r="N1768" s="157"/>
      <c r="O1768" s="157"/>
    </row>
    <row r="1769" spans="3:15" ht="15" customHeight="1">
      <c r="C1769" s="498"/>
      <c r="D1769" s="256"/>
      <c r="E1769" s="195"/>
      <c r="F1769" s="157"/>
      <c r="G1769" s="157"/>
      <c r="H1769" s="157"/>
      <c r="I1769" s="157"/>
      <c r="J1769" s="157"/>
      <c r="K1769" s="157"/>
      <c r="L1769" s="157"/>
      <c r="M1769" s="523"/>
      <c r="N1769" s="157"/>
      <c r="O1769" s="157"/>
    </row>
    <row r="1770" spans="3:15" ht="15" customHeight="1">
      <c r="C1770" s="498"/>
      <c r="D1770" s="256"/>
      <c r="E1770" s="195"/>
      <c r="F1770" s="157"/>
      <c r="G1770" s="157"/>
      <c r="H1770" s="157"/>
      <c r="I1770" s="157"/>
      <c r="J1770" s="157"/>
      <c r="K1770" s="157"/>
      <c r="L1770" s="157"/>
      <c r="M1770" s="523"/>
      <c r="N1770" s="157"/>
      <c r="O1770" s="157"/>
    </row>
    <row r="1771" spans="3:15" ht="15" customHeight="1">
      <c r="C1771" s="498"/>
      <c r="D1771" s="256"/>
      <c r="E1771" s="195"/>
      <c r="F1771" s="157"/>
      <c r="G1771" s="157"/>
      <c r="H1771" s="157"/>
      <c r="I1771" s="157"/>
      <c r="J1771" s="157"/>
      <c r="K1771" s="157"/>
      <c r="L1771" s="157"/>
      <c r="M1771" s="523"/>
      <c r="N1771" s="157"/>
      <c r="O1771" s="157"/>
    </row>
    <row r="1772" spans="3:15" ht="15" customHeight="1">
      <c r="C1772" s="498"/>
      <c r="D1772" s="256"/>
      <c r="E1772" s="195"/>
      <c r="F1772" s="157"/>
      <c r="G1772" s="157"/>
      <c r="H1772" s="157"/>
      <c r="I1772" s="157"/>
      <c r="J1772" s="157"/>
      <c r="K1772" s="157"/>
      <c r="L1772" s="157"/>
      <c r="M1772" s="523"/>
      <c r="N1772" s="157"/>
      <c r="O1772" s="157"/>
    </row>
    <row r="1773" spans="3:15" ht="15" customHeight="1">
      <c r="C1773" s="498"/>
      <c r="D1773" s="256"/>
      <c r="E1773" s="195"/>
      <c r="F1773" s="157"/>
      <c r="G1773" s="157"/>
      <c r="H1773" s="157"/>
      <c r="I1773" s="157"/>
      <c r="J1773" s="157"/>
      <c r="K1773" s="157"/>
      <c r="L1773" s="157"/>
      <c r="M1773" s="523"/>
      <c r="N1773" s="157"/>
      <c r="O1773" s="157"/>
    </row>
    <row r="1774" spans="3:15" ht="15" customHeight="1">
      <c r="C1774" s="498"/>
      <c r="D1774" s="256"/>
      <c r="E1774" s="195"/>
      <c r="F1774" s="157"/>
      <c r="G1774" s="157"/>
      <c r="H1774" s="157"/>
      <c r="I1774" s="157"/>
      <c r="J1774" s="157"/>
      <c r="K1774" s="157"/>
      <c r="L1774" s="157"/>
      <c r="M1774" s="523"/>
      <c r="N1774" s="157"/>
      <c r="O1774" s="157"/>
    </row>
    <row r="1775" spans="3:15" ht="15" customHeight="1">
      <c r="C1775" s="498"/>
      <c r="D1775" s="256"/>
      <c r="E1775" s="195"/>
      <c r="F1775" s="157"/>
      <c r="G1775" s="157"/>
      <c r="H1775" s="157"/>
      <c r="I1775" s="157"/>
      <c r="J1775" s="157"/>
      <c r="K1775" s="157"/>
      <c r="L1775" s="157"/>
      <c r="M1775" s="523"/>
      <c r="N1775" s="157"/>
      <c r="O1775" s="157"/>
    </row>
    <row r="1776" spans="3:15" ht="15" customHeight="1">
      <c r="C1776" s="498"/>
      <c r="D1776" s="256"/>
      <c r="E1776" s="195"/>
      <c r="F1776" s="157"/>
      <c r="G1776" s="157"/>
      <c r="H1776" s="157"/>
      <c r="I1776" s="157"/>
      <c r="J1776" s="157"/>
      <c r="K1776" s="157"/>
      <c r="L1776" s="157"/>
      <c r="M1776" s="523"/>
      <c r="N1776" s="157"/>
      <c r="O1776" s="157"/>
    </row>
    <row r="1777" spans="3:15" ht="15" customHeight="1">
      <c r="C1777" s="498"/>
      <c r="D1777" s="256"/>
      <c r="E1777" s="195"/>
      <c r="F1777" s="157"/>
      <c r="G1777" s="157"/>
      <c r="H1777" s="157"/>
      <c r="I1777" s="157"/>
      <c r="J1777" s="157"/>
      <c r="K1777" s="157"/>
      <c r="L1777" s="157"/>
      <c r="M1777" s="523"/>
      <c r="N1777" s="157"/>
      <c r="O1777" s="157"/>
    </row>
    <row r="1778" spans="3:15" ht="15" customHeight="1">
      <c r="C1778" s="498"/>
      <c r="D1778" s="256"/>
      <c r="E1778" s="195"/>
      <c r="F1778" s="157"/>
      <c r="G1778" s="157"/>
      <c r="H1778" s="157"/>
      <c r="I1778" s="157"/>
      <c r="J1778" s="157"/>
      <c r="K1778" s="157"/>
      <c r="L1778" s="157"/>
      <c r="M1778" s="523"/>
      <c r="N1778" s="157"/>
      <c r="O1778" s="157"/>
    </row>
    <row r="1779" spans="3:15" ht="15" customHeight="1">
      <c r="C1779" s="498"/>
      <c r="D1779" s="256"/>
      <c r="E1779" s="195"/>
      <c r="F1779" s="157"/>
      <c r="G1779" s="157"/>
      <c r="H1779" s="157"/>
      <c r="I1779" s="157"/>
      <c r="J1779" s="157"/>
      <c r="K1779" s="157"/>
      <c r="L1779" s="157"/>
      <c r="M1779" s="523"/>
      <c r="N1779" s="157"/>
      <c r="O1779" s="157"/>
    </row>
    <row r="1780" spans="3:15" ht="15" customHeight="1">
      <c r="C1780" s="498"/>
      <c r="D1780" s="256"/>
      <c r="E1780" s="195"/>
      <c r="F1780" s="157"/>
      <c r="G1780" s="157"/>
      <c r="H1780" s="157"/>
      <c r="I1780" s="157"/>
      <c r="J1780" s="157"/>
      <c r="K1780" s="157"/>
      <c r="L1780" s="157"/>
      <c r="M1780" s="523"/>
      <c r="N1780" s="157"/>
      <c r="O1780" s="157"/>
    </row>
    <row r="1781" spans="3:15" ht="15" customHeight="1">
      <c r="C1781" s="498"/>
      <c r="D1781" s="256"/>
      <c r="E1781" s="195"/>
      <c r="F1781" s="157"/>
      <c r="G1781" s="157"/>
      <c r="H1781" s="157"/>
      <c r="I1781" s="157"/>
      <c r="J1781" s="157"/>
      <c r="K1781" s="157"/>
      <c r="L1781" s="157"/>
      <c r="M1781" s="523"/>
      <c r="N1781" s="157"/>
      <c r="O1781" s="157"/>
    </row>
    <row r="1782" spans="3:15" ht="15" customHeight="1">
      <c r="C1782" s="498"/>
      <c r="D1782" s="256"/>
      <c r="E1782" s="195"/>
      <c r="F1782" s="157"/>
      <c r="G1782" s="157"/>
      <c r="H1782" s="157"/>
      <c r="I1782" s="157"/>
      <c r="J1782" s="157"/>
      <c r="K1782" s="157"/>
      <c r="L1782" s="157"/>
      <c r="M1782" s="523"/>
      <c r="N1782" s="157"/>
      <c r="O1782" s="157"/>
    </row>
    <row r="1783" spans="3:15" ht="15" customHeight="1">
      <c r="C1783" s="498"/>
      <c r="D1783" s="256"/>
      <c r="E1783" s="195"/>
      <c r="F1783" s="157"/>
      <c r="G1783" s="157"/>
      <c r="H1783" s="157"/>
      <c r="I1783" s="157"/>
      <c r="J1783" s="157"/>
      <c r="K1783" s="157"/>
      <c r="L1783" s="157"/>
      <c r="M1783" s="523"/>
      <c r="N1783" s="157"/>
      <c r="O1783" s="157"/>
    </row>
    <row r="1784" spans="3:15" ht="15" customHeight="1">
      <c r="C1784" s="498"/>
      <c r="D1784" s="256"/>
      <c r="E1784" s="195"/>
      <c r="F1784" s="157"/>
      <c r="G1784" s="157"/>
      <c r="H1784" s="157"/>
      <c r="I1784" s="157"/>
      <c r="J1784" s="157"/>
      <c r="K1784" s="157"/>
      <c r="L1784" s="157"/>
      <c r="M1784" s="523"/>
      <c r="N1784" s="157"/>
      <c r="O1784" s="157"/>
    </row>
    <row r="1785" spans="3:15" ht="15" customHeight="1">
      <c r="C1785" s="498"/>
      <c r="D1785" s="256"/>
      <c r="E1785" s="195"/>
      <c r="F1785" s="157"/>
      <c r="G1785" s="157"/>
      <c r="H1785" s="157"/>
      <c r="I1785" s="157"/>
      <c r="J1785" s="157"/>
      <c r="K1785" s="157"/>
      <c r="L1785" s="157"/>
      <c r="M1785" s="523"/>
      <c r="N1785" s="157"/>
      <c r="O1785" s="157"/>
    </row>
    <row r="1786" spans="3:15" ht="15" customHeight="1">
      <c r="C1786" s="498"/>
      <c r="D1786" s="256"/>
      <c r="E1786" s="195"/>
      <c r="F1786" s="157"/>
      <c r="G1786" s="157"/>
      <c r="H1786" s="157"/>
      <c r="I1786" s="157"/>
      <c r="J1786" s="157"/>
      <c r="K1786" s="157"/>
      <c r="L1786" s="157"/>
      <c r="M1786" s="523"/>
      <c r="N1786" s="157"/>
      <c r="O1786" s="157"/>
    </row>
    <row r="1787" spans="3:15" ht="15" customHeight="1">
      <c r="C1787" s="498"/>
      <c r="D1787" s="256"/>
      <c r="E1787" s="195"/>
      <c r="F1787" s="157"/>
      <c r="G1787" s="157"/>
      <c r="H1787" s="157"/>
      <c r="I1787" s="157"/>
      <c r="J1787" s="157"/>
      <c r="K1787" s="157"/>
      <c r="L1787" s="157"/>
      <c r="M1787" s="523"/>
      <c r="N1787" s="157"/>
      <c r="O1787" s="157"/>
    </row>
    <row r="1788" spans="3:15" ht="15" customHeight="1">
      <c r="C1788" s="498"/>
      <c r="D1788" s="256"/>
      <c r="E1788" s="195"/>
      <c r="F1788" s="157"/>
      <c r="G1788" s="157"/>
      <c r="H1788" s="157"/>
      <c r="I1788" s="157"/>
      <c r="J1788" s="157"/>
      <c r="K1788" s="157"/>
      <c r="L1788" s="157"/>
      <c r="M1788" s="523"/>
      <c r="N1788" s="157"/>
      <c r="O1788" s="157"/>
    </row>
    <row r="1789" spans="3:15" ht="15" customHeight="1">
      <c r="C1789" s="498"/>
      <c r="D1789" s="256"/>
      <c r="E1789" s="195"/>
      <c r="F1789" s="157"/>
      <c r="G1789" s="157"/>
      <c r="H1789" s="157"/>
      <c r="I1789" s="157"/>
      <c r="J1789" s="157"/>
      <c r="K1789" s="157"/>
      <c r="L1789" s="157"/>
      <c r="M1789" s="523"/>
      <c r="N1789" s="157"/>
      <c r="O1789" s="157"/>
    </row>
    <row r="1790" spans="3:15" ht="15" customHeight="1">
      <c r="C1790" s="498"/>
      <c r="D1790" s="256"/>
      <c r="E1790" s="195"/>
      <c r="F1790" s="157"/>
      <c r="G1790" s="157"/>
      <c r="H1790" s="157"/>
      <c r="I1790" s="157"/>
      <c r="J1790" s="157"/>
      <c r="K1790" s="157"/>
      <c r="L1790" s="157"/>
      <c r="M1790" s="523"/>
      <c r="N1790" s="157"/>
      <c r="O1790" s="157"/>
    </row>
    <row r="1791" spans="3:15" ht="15" customHeight="1">
      <c r="C1791" s="498"/>
      <c r="D1791" s="256"/>
      <c r="E1791" s="195"/>
      <c r="F1791" s="157"/>
      <c r="G1791" s="157"/>
      <c r="H1791" s="157"/>
      <c r="I1791" s="157"/>
      <c r="J1791" s="157"/>
      <c r="K1791" s="157"/>
      <c r="L1791" s="157"/>
      <c r="M1791" s="523"/>
      <c r="N1791" s="157"/>
      <c r="O1791" s="157"/>
    </row>
    <row r="1792" spans="3:15" ht="15" customHeight="1">
      <c r="C1792" s="498"/>
      <c r="D1792" s="256"/>
      <c r="E1792" s="195"/>
      <c r="F1792" s="157"/>
      <c r="G1792" s="157"/>
      <c r="H1792" s="157"/>
      <c r="I1792" s="157"/>
      <c r="J1792" s="157"/>
      <c r="K1792" s="157"/>
      <c r="L1792" s="157"/>
      <c r="M1792" s="523"/>
      <c r="N1792" s="157"/>
      <c r="O1792" s="157"/>
    </row>
    <row r="1793" spans="3:15" ht="15" customHeight="1">
      <c r="C1793" s="498"/>
      <c r="D1793" s="256"/>
      <c r="E1793" s="195"/>
      <c r="F1793" s="157"/>
      <c r="G1793" s="157"/>
      <c r="H1793" s="157"/>
      <c r="I1793" s="157"/>
      <c r="J1793" s="157"/>
      <c r="K1793" s="157"/>
      <c r="L1793" s="157"/>
      <c r="M1793" s="523"/>
      <c r="N1793" s="157"/>
      <c r="O1793" s="157"/>
    </row>
    <row r="1794" spans="3:15" ht="15" customHeight="1">
      <c r="C1794" s="498"/>
      <c r="D1794" s="256"/>
      <c r="E1794" s="195"/>
      <c r="F1794" s="157"/>
      <c r="G1794" s="157"/>
      <c r="H1794" s="157"/>
      <c r="I1794" s="157"/>
      <c r="J1794" s="157"/>
      <c r="K1794" s="157"/>
      <c r="L1794" s="157"/>
      <c r="M1794" s="523"/>
      <c r="N1794" s="157"/>
      <c r="O1794" s="157"/>
    </row>
    <row r="1795" spans="3:15" ht="15" customHeight="1">
      <c r="C1795" s="498"/>
      <c r="D1795" s="256"/>
      <c r="E1795" s="195"/>
      <c r="F1795" s="157"/>
      <c r="G1795" s="157"/>
      <c r="H1795" s="157"/>
      <c r="I1795" s="157"/>
      <c r="J1795" s="157"/>
      <c r="K1795" s="157"/>
      <c r="L1795" s="157"/>
      <c r="M1795" s="523"/>
      <c r="N1795" s="157"/>
      <c r="O1795" s="157"/>
    </row>
    <row r="1796" spans="3:15" ht="15" customHeight="1">
      <c r="C1796" s="498"/>
      <c r="D1796" s="256"/>
      <c r="E1796" s="195"/>
      <c r="F1796" s="157"/>
      <c r="G1796" s="157"/>
      <c r="H1796" s="157"/>
      <c r="I1796" s="157"/>
      <c r="J1796" s="157"/>
      <c r="K1796" s="157"/>
      <c r="L1796" s="157"/>
      <c r="M1796" s="523"/>
      <c r="N1796" s="157"/>
      <c r="O1796" s="157"/>
    </row>
    <row r="1797" spans="3:15" ht="15" customHeight="1">
      <c r="C1797" s="498"/>
      <c r="D1797" s="256"/>
      <c r="E1797" s="195"/>
      <c r="F1797" s="157"/>
      <c r="G1797" s="157"/>
      <c r="H1797" s="157"/>
      <c r="I1797" s="157"/>
      <c r="J1797" s="157"/>
      <c r="K1797" s="157"/>
      <c r="L1797" s="157"/>
      <c r="M1797" s="523"/>
      <c r="N1797" s="157"/>
      <c r="O1797" s="157"/>
    </row>
    <row r="1798" spans="3:15" ht="15" customHeight="1">
      <c r="C1798" s="498"/>
      <c r="D1798" s="256"/>
      <c r="E1798" s="195"/>
      <c r="F1798" s="157"/>
      <c r="G1798" s="157"/>
      <c r="H1798" s="157"/>
      <c r="I1798" s="157"/>
      <c r="J1798" s="157"/>
      <c r="K1798" s="157"/>
      <c r="L1798" s="157"/>
      <c r="M1798" s="523"/>
      <c r="N1798" s="157"/>
      <c r="O1798" s="157"/>
    </row>
    <row r="1799" spans="3:15" ht="15" customHeight="1">
      <c r="C1799" s="498"/>
      <c r="D1799" s="256"/>
      <c r="E1799" s="195"/>
      <c r="F1799" s="157"/>
      <c r="G1799" s="157"/>
      <c r="H1799" s="157"/>
      <c r="I1799" s="157"/>
      <c r="J1799" s="157"/>
      <c r="K1799" s="157"/>
      <c r="L1799" s="157"/>
      <c r="M1799" s="523"/>
      <c r="N1799" s="157"/>
      <c r="O1799" s="157"/>
    </row>
    <row r="1800" spans="3:15" ht="15" customHeight="1">
      <c r="C1800" s="498"/>
      <c r="D1800" s="256"/>
      <c r="E1800" s="195"/>
      <c r="F1800" s="157"/>
      <c r="G1800" s="157"/>
      <c r="H1800" s="157"/>
      <c r="I1800" s="157"/>
      <c r="J1800" s="157"/>
      <c r="K1800" s="157"/>
      <c r="L1800" s="157"/>
      <c r="M1800" s="523"/>
      <c r="N1800" s="157"/>
      <c r="O1800" s="157"/>
    </row>
    <row r="1801" spans="3:15" ht="15" customHeight="1">
      <c r="C1801" s="498"/>
      <c r="D1801" s="256"/>
      <c r="E1801" s="195"/>
      <c r="F1801" s="157"/>
      <c r="G1801" s="157"/>
      <c r="H1801" s="157"/>
      <c r="I1801" s="157"/>
      <c r="J1801" s="157"/>
      <c r="K1801" s="157"/>
      <c r="L1801" s="157"/>
      <c r="M1801" s="523"/>
      <c r="N1801" s="157"/>
      <c r="O1801" s="157"/>
    </row>
    <row r="1802" spans="3:15" ht="15" customHeight="1">
      <c r="C1802" s="498"/>
      <c r="D1802" s="256"/>
      <c r="E1802" s="195"/>
      <c r="F1802" s="157"/>
      <c r="G1802" s="157"/>
      <c r="H1802" s="157"/>
      <c r="I1802" s="157"/>
      <c r="J1802" s="157"/>
      <c r="K1802" s="157"/>
      <c r="L1802" s="157"/>
      <c r="M1802" s="523"/>
      <c r="N1802" s="157"/>
      <c r="O1802" s="157"/>
    </row>
    <row r="1803" spans="3:15" ht="15" customHeight="1">
      <c r="C1803" s="498"/>
      <c r="D1803" s="256"/>
      <c r="E1803" s="195"/>
      <c r="F1803" s="157"/>
      <c r="G1803" s="157"/>
      <c r="H1803" s="157"/>
      <c r="I1803" s="157"/>
      <c r="J1803" s="157"/>
      <c r="K1803" s="157"/>
      <c r="L1803" s="157"/>
      <c r="M1803" s="523"/>
      <c r="N1803" s="157"/>
      <c r="O1803" s="157"/>
    </row>
    <row r="1804" spans="3:15" ht="15" customHeight="1">
      <c r="C1804" s="498"/>
      <c r="D1804" s="256"/>
      <c r="E1804" s="195"/>
      <c r="F1804" s="157"/>
      <c r="G1804" s="157"/>
      <c r="H1804" s="157"/>
      <c r="I1804" s="157"/>
      <c r="J1804" s="157"/>
      <c r="K1804" s="157"/>
      <c r="L1804" s="157"/>
      <c r="M1804" s="523"/>
      <c r="N1804" s="157"/>
      <c r="O1804" s="157"/>
    </row>
    <row r="1805" spans="3:15" ht="15" customHeight="1">
      <c r="C1805" s="498"/>
      <c r="D1805" s="256"/>
      <c r="E1805" s="195"/>
      <c r="F1805" s="157"/>
      <c r="G1805" s="157"/>
      <c r="H1805" s="157"/>
      <c r="I1805" s="157"/>
      <c r="J1805" s="157"/>
      <c r="K1805" s="157"/>
      <c r="L1805" s="157"/>
      <c r="M1805" s="523"/>
      <c r="N1805" s="157"/>
      <c r="O1805" s="157"/>
    </row>
    <row r="1806" spans="3:15" ht="15" customHeight="1">
      <c r="C1806" s="498"/>
      <c r="D1806" s="256"/>
      <c r="E1806" s="195"/>
      <c r="F1806" s="157"/>
      <c r="G1806" s="157"/>
      <c r="H1806" s="157"/>
      <c r="I1806" s="157"/>
      <c r="J1806" s="157"/>
      <c r="K1806" s="157"/>
      <c r="L1806" s="157"/>
      <c r="M1806" s="523"/>
      <c r="N1806" s="157"/>
      <c r="O1806" s="157"/>
    </row>
    <row r="1807" spans="3:15" ht="15" customHeight="1">
      <c r="C1807" s="498"/>
      <c r="D1807" s="256"/>
      <c r="E1807" s="195"/>
      <c r="F1807" s="157"/>
      <c r="G1807" s="157"/>
      <c r="H1807" s="157"/>
      <c r="I1807" s="157"/>
      <c r="J1807" s="157"/>
      <c r="K1807" s="157"/>
      <c r="L1807" s="157"/>
      <c r="M1807" s="523"/>
      <c r="N1807" s="157"/>
      <c r="O1807" s="157"/>
    </row>
    <row r="1808" spans="3:15" ht="15" customHeight="1">
      <c r="C1808" s="498"/>
      <c r="D1808" s="256"/>
      <c r="E1808" s="195"/>
      <c r="F1808" s="157"/>
      <c r="G1808" s="157"/>
      <c r="H1808" s="157"/>
      <c r="I1808" s="157"/>
      <c r="J1808" s="157"/>
      <c r="K1808" s="157"/>
      <c r="L1808" s="157"/>
      <c r="M1808" s="523"/>
      <c r="N1808" s="157"/>
      <c r="O1808" s="157"/>
    </row>
    <row r="1809" spans="3:15" ht="15" customHeight="1">
      <c r="C1809" s="498"/>
      <c r="D1809" s="256"/>
      <c r="E1809" s="195"/>
      <c r="F1809" s="157"/>
      <c r="G1809" s="157"/>
      <c r="H1809" s="157"/>
      <c r="I1809" s="157"/>
      <c r="J1809" s="157"/>
      <c r="K1809" s="157"/>
      <c r="L1809" s="157"/>
      <c r="M1809" s="523"/>
      <c r="N1809" s="157"/>
      <c r="O1809" s="157"/>
    </row>
    <row r="1810" spans="3:15" ht="15" customHeight="1">
      <c r="C1810" s="498"/>
      <c r="D1810" s="256"/>
      <c r="E1810" s="195"/>
      <c r="F1810" s="157"/>
      <c r="G1810" s="157"/>
      <c r="H1810" s="157"/>
      <c r="I1810" s="157"/>
      <c r="J1810" s="157"/>
      <c r="K1810" s="157"/>
      <c r="L1810" s="157"/>
      <c r="M1810" s="523"/>
      <c r="N1810" s="157"/>
      <c r="O1810" s="157"/>
    </row>
    <row r="1811" spans="3:15" ht="15" customHeight="1">
      <c r="C1811" s="498"/>
      <c r="D1811" s="256"/>
      <c r="E1811" s="195"/>
      <c r="F1811" s="157"/>
      <c r="G1811" s="157"/>
      <c r="H1811" s="157"/>
      <c r="I1811" s="157"/>
      <c r="J1811" s="157"/>
      <c r="K1811" s="157"/>
      <c r="L1811" s="157"/>
      <c r="M1811" s="523"/>
      <c r="N1811" s="157"/>
      <c r="O1811" s="157"/>
    </row>
    <row r="1812" spans="3:15" ht="15" customHeight="1">
      <c r="C1812" s="498"/>
      <c r="D1812" s="256"/>
      <c r="E1812" s="195"/>
      <c r="F1812" s="157"/>
      <c r="G1812" s="157"/>
      <c r="H1812" s="157"/>
      <c r="I1812" s="157"/>
      <c r="J1812" s="157"/>
      <c r="K1812" s="157"/>
      <c r="L1812" s="157"/>
      <c r="M1812" s="523"/>
      <c r="N1812" s="157"/>
      <c r="O1812" s="157"/>
    </row>
    <row r="1813" spans="3:15" ht="15" customHeight="1">
      <c r="C1813" s="498"/>
      <c r="D1813" s="256"/>
      <c r="E1813" s="195"/>
      <c r="F1813" s="157"/>
      <c r="G1813" s="157"/>
      <c r="H1813" s="157"/>
      <c r="I1813" s="157"/>
      <c r="J1813" s="157"/>
      <c r="K1813" s="157"/>
      <c r="L1813" s="157"/>
      <c r="M1813" s="523"/>
      <c r="N1813" s="157"/>
      <c r="O1813" s="157"/>
    </row>
    <row r="1814" spans="3:15" ht="15" customHeight="1">
      <c r="C1814" s="498"/>
      <c r="D1814" s="256"/>
      <c r="E1814" s="195"/>
      <c r="F1814" s="157"/>
      <c r="G1814" s="157"/>
      <c r="H1814" s="157"/>
      <c r="I1814" s="157"/>
      <c r="J1814" s="157"/>
      <c r="K1814" s="157"/>
      <c r="L1814" s="157"/>
      <c r="M1814" s="523"/>
      <c r="N1814" s="157"/>
      <c r="O1814" s="157"/>
    </row>
    <row r="1815" spans="3:15" ht="15" customHeight="1">
      <c r="C1815" s="498"/>
      <c r="D1815" s="256"/>
      <c r="E1815" s="195"/>
      <c r="F1815" s="157"/>
      <c r="G1815" s="157"/>
      <c r="H1815" s="157"/>
      <c r="I1815" s="157"/>
      <c r="J1815" s="157"/>
      <c r="K1815" s="157"/>
      <c r="L1815" s="157"/>
      <c r="M1815" s="523"/>
      <c r="N1815" s="157"/>
      <c r="O1815" s="157"/>
    </row>
    <row r="1816" spans="3:15" ht="15" customHeight="1">
      <c r="C1816" s="498"/>
      <c r="D1816" s="256"/>
      <c r="E1816" s="195"/>
      <c r="F1816" s="157"/>
      <c r="G1816" s="157"/>
      <c r="H1816" s="157"/>
      <c r="I1816" s="157"/>
      <c r="J1816" s="157"/>
      <c r="K1816" s="157"/>
      <c r="L1816" s="157"/>
      <c r="M1816" s="523"/>
      <c r="N1816" s="157"/>
      <c r="O1816" s="157"/>
    </row>
    <row r="1817" spans="3:15" ht="15" customHeight="1">
      <c r="C1817" s="498"/>
      <c r="D1817" s="256"/>
      <c r="E1817" s="195"/>
      <c r="F1817" s="157"/>
      <c r="G1817" s="157"/>
      <c r="H1817" s="157"/>
      <c r="I1817" s="157"/>
      <c r="J1817" s="157"/>
      <c r="K1817" s="157"/>
      <c r="L1817" s="157"/>
      <c r="M1817" s="523"/>
      <c r="N1817" s="157"/>
      <c r="O1817" s="157"/>
    </row>
    <row r="1818" spans="3:15" ht="15" customHeight="1">
      <c r="C1818" s="498"/>
      <c r="D1818" s="256"/>
      <c r="E1818" s="195"/>
      <c r="F1818" s="157"/>
      <c r="G1818" s="157"/>
      <c r="H1818" s="157"/>
      <c r="I1818" s="157"/>
      <c r="J1818" s="157"/>
      <c r="K1818" s="157"/>
      <c r="L1818" s="157"/>
      <c r="M1818" s="523"/>
      <c r="N1818" s="157"/>
      <c r="O1818" s="157"/>
    </row>
    <row r="1819" spans="3:15" ht="15" customHeight="1">
      <c r="C1819" s="498"/>
      <c r="D1819" s="256"/>
      <c r="E1819" s="195"/>
      <c r="F1819" s="157"/>
      <c r="G1819" s="157"/>
      <c r="H1819" s="157"/>
      <c r="I1819" s="157"/>
      <c r="J1819" s="157"/>
      <c r="K1819" s="157"/>
      <c r="L1819" s="157"/>
      <c r="M1819" s="523"/>
      <c r="N1819" s="157"/>
      <c r="O1819" s="157"/>
    </row>
    <row r="1820" spans="3:15" ht="15" customHeight="1">
      <c r="C1820" s="498"/>
      <c r="D1820" s="256"/>
      <c r="E1820" s="195"/>
      <c r="F1820" s="157"/>
      <c r="G1820" s="157"/>
      <c r="H1820" s="157"/>
      <c r="I1820" s="157"/>
      <c r="J1820" s="157"/>
      <c r="K1820" s="157"/>
      <c r="L1820" s="157"/>
      <c r="M1820" s="523"/>
      <c r="N1820" s="157"/>
      <c r="O1820" s="157"/>
    </row>
    <row r="1821" spans="3:15" ht="15" customHeight="1">
      <c r="C1821" s="498"/>
      <c r="D1821" s="256"/>
      <c r="E1821" s="195"/>
      <c r="F1821" s="157"/>
      <c r="G1821" s="157"/>
      <c r="H1821" s="157"/>
      <c r="I1821" s="157"/>
      <c r="J1821" s="157"/>
      <c r="K1821" s="157"/>
      <c r="L1821" s="157"/>
      <c r="M1821" s="523"/>
      <c r="N1821" s="157"/>
      <c r="O1821" s="157"/>
    </row>
    <row r="1822" spans="3:15" ht="15" customHeight="1">
      <c r="C1822" s="498"/>
      <c r="D1822" s="256"/>
      <c r="E1822" s="195"/>
      <c r="F1822" s="157"/>
      <c r="G1822" s="157"/>
      <c r="H1822" s="157"/>
      <c r="I1822" s="157"/>
      <c r="J1822" s="157"/>
      <c r="K1822" s="157"/>
      <c r="L1822" s="157"/>
      <c r="M1822" s="523"/>
      <c r="N1822" s="157"/>
      <c r="O1822" s="157"/>
    </row>
    <row r="1823" spans="3:15" ht="15" customHeight="1">
      <c r="C1823" s="498"/>
      <c r="D1823" s="256"/>
      <c r="E1823" s="195"/>
      <c r="F1823" s="157"/>
      <c r="G1823" s="157"/>
      <c r="H1823" s="157"/>
      <c r="I1823" s="157"/>
      <c r="J1823" s="157"/>
      <c r="K1823" s="157"/>
      <c r="L1823" s="157"/>
      <c r="M1823" s="523"/>
      <c r="N1823" s="157"/>
      <c r="O1823" s="157"/>
    </row>
    <row r="1824" spans="3:15" ht="15" customHeight="1">
      <c r="C1824" s="498"/>
      <c r="D1824" s="256"/>
      <c r="E1824" s="195"/>
      <c r="F1824" s="157"/>
      <c r="G1824" s="157"/>
      <c r="H1824" s="157"/>
      <c r="I1824" s="157"/>
      <c r="J1824" s="157"/>
      <c r="K1824" s="157"/>
      <c r="L1824" s="157"/>
      <c r="M1824" s="523"/>
      <c r="N1824" s="157"/>
      <c r="O1824" s="157"/>
    </row>
    <row r="1825" spans="3:15" ht="15" customHeight="1">
      <c r="C1825" s="498"/>
      <c r="D1825" s="256"/>
      <c r="E1825" s="195"/>
      <c r="F1825" s="157"/>
      <c r="G1825" s="157"/>
      <c r="H1825" s="157"/>
      <c r="I1825" s="157"/>
      <c r="J1825" s="157"/>
      <c r="K1825" s="157"/>
      <c r="L1825" s="157"/>
      <c r="M1825" s="523"/>
      <c r="N1825" s="157"/>
      <c r="O1825" s="157"/>
    </row>
    <row r="1826" spans="3:15" ht="15" customHeight="1">
      <c r="C1826" s="498"/>
      <c r="D1826" s="256"/>
      <c r="E1826" s="195"/>
      <c r="F1826" s="157"/>
      <c r="G1826" s="157"/>
      <c r="H1826" s="157"/>
      <c r="I1826" s="157"/>
      <c r="J1826" s="157"/>
      <c r="K1826" s="157"/>
      <c r="L1826" s="157"/>
      <c r="M1826" s="523"/>
      <c r="N1826" s="157"/>
      <c r="O1826" s="157"/>
    </row>
    <row r="1827" spans="3:15" ht="15" customHeight="1">
      <c r="C1827" s="498"/>
      <c r="D1827" s="256"/>
      <c r="E1827" s="195"/>
      <c r="F1827" s="157"/>
      <c r="G1827" s="157"/>
      <c r="H1827" s="157"/>
      <c r="I1827" s="157"/>
      <c r="J1827" s="157"/>
      <c r="K1827" s="157"/>
      <c r="L1827" s="157"/>
      <c r="M1827" s="523"/>
      <c r="N1827" s="157"/>
      <c r="O1827" s="157"/>
    </row>
    <row r="1828" spans="3:15" ht="15" customHeight="1">
      <c r="C1828" s="498"/>
      <c r="D1828" s="256"/>
      <c r="E1828" s="195"/>
      <c r="F1828" s="157"/>
      <c r="G1828" s="157"/>
      <c r="H1828" s="157"/>
      <c r="I1828" s="157"/>
      <c r="J1828" s="157"/>
      <c r="K1828" s="157"/>
      <c r="L1828" s="157"/>
      <c r="M1828" s="523"/>
      <c r="N1828" s="157"/>
      <c r="O1828" s="157"/>
    </row>
    <row r="1829" spans="3:15" ht="15" customHeight="1">
      <c r="C1829" s="498"/>
      <c r="D1829" s="256"/>
      <c r="E1829" s="195"/>
      <c r="F1829" s="157"/>
      <c r="G1829" s="157"/>
      <c r="H1829" s="157"/>
      <c r="I1829" s="157"/>
      <c r="J1829" s="157"/>
      <c r="K1829" s="157"/>
      <c r="L1829" s="157"/>
      <c r="M1829" s="523"/>
      <c r="N1829" s="157"/>
      <c r="O1829" s="157"/>
    </row>
    <row r="1830" spans="3:15" ht="15" customHeight="1">
      <c r="C1830" s="498"/>
      <c r="D1830" s="256"/>
      <c r="E1830" s="195"/>
      <c r="F1830" s="157"/>
      <c r="G1830" s="157"/>
      <c r="H1830" s="157"/>
      <c r="I1830" s="157"/>
      <c r="J1830" s="157"/>
      <c r="K1830" s="157"/>
      <c r="L1830" s="157"/>
      <c r="M1830" s="523"/>
      <c r="N1830" s="157"/>
      <c r="O1830" s="157"/>
    </row>
    <row r="1831" spans="3:15" ht="15" customHeight="1">
      <c r="C1831" s="498"/>
      <c r="D1831" s="256"/>
      <c r="E1831" s="195"/>
      <c r="F1831" s="157"/>
      <c r="G1831" s="157"/>
      <c r="H1831" s="157"/>
      <c r="I1831" s="157"/>
      <c r="J1831" s="157"/>
      <c r="K1831" s="157"/>
      <c r="L1831" s="157"/>
      <c r="M1831" s="523"/>
      <c r="N1831" s="157"/>
      <c r="O1831" s="157"/>
    </row>
    <row r="1832" spans="3:15" ht="15" customHeight="1">
      <c r="C1832" s="498"/>
      <c r="D1832" s="256"/>
      <c r="E1832" s="195"/>
      <c r="F1832" s="157"/>
      <c r="G1832" s="157"/>
      <c r="H1832" s="157"/>
      <c r="I1832" s="157"/>
      <c r="J1832" s="157"/>
      <c r="K1832" s="157"/>
      <c r="L1832" s="157"/>
      <c r="M1832" s="523"/>
      <c r="N1832" s="157"/>
      <c r="O1832" s="157"/>
    </row>
    <row r="1833" spans="3:15" ht="15" customHeight="1">
      <c r="C1833" s="498"/>
      <c r="D1833" s="256"/>
      <c r="E1833" s="195"/>
      <c r="F1833" s="157"/>
      <c r="G1833" s="157"/>
      <c r="H1833" s="157"/>
      <c r="I1833" s="157"/>
      <c r="J1833" s="157"/>
      <c r="K1833" s="157"/>
      <c r="L1833" s="157"/>
      <c r="M1833" s="523"/>
      <c r="N1833" s="157"/>
      <c r="O1833" s="157"/>
    </row>
    <row r="1834" spans="3:15" ht="15" customHeight="1">
      <c r="C1834" s="498"/>
      <c r="D1834" s="256"/>
      <c r="E1834" s="195"/>
      <c r="F1834" s="157"/>
      <c r="G1834" s="157"/>
      <c r="H1834" s="157"/>
      <c r="I1834" s="157"/>
      <c r="J1834" s="157"/>
      <c r="K1834" s="157"/>
      <c r="L1834" s="157"/>
      <c r="M1834" s="523"/>
      <c r="N1834" s="157"/>
      <c r="O1834" s="157"/>
    </row>
    <row r="1835" spans="3:15" ht="15" customHeight="1">
      <c r="C1835" s="498"/>
      <c r="D1835" s="256"/>
      <c r="E1835" s="195"/>
      <c r="F1835" s="157"/>
      <c r="G1835" s="157"/>
      <c r="H1835" s="157"/>
      <c r="I1835" s="157"/>
      <c r="J1835" s="157"/>
      <c r="K1835" s="157"/>
      <c r="L1835" s="157"/>
      <c r="M1835" s="523"/>
      <c r="N1835" s="157"/>
      <c r="O1835" s="157"/>
    </row>
    <row r="1836" spans="3:15" ht="15" customHeight="1">
      <c r="C1836" s="498"/>
      <c r="D1836" s="256"/>
      <c r="E1836" s="195"/>
      <c r="F1836" s="157"/>
      <c r="G1836" s="157"/>
      <c r="H1836" s="157"/>
      <c r="I1836" s="157"/>
      <c r="J1836" s="157"/>
      <c r="K1836" s="157"/>
      <c r="L1836" s="157"/>
      <c r="M1836" s="523"/>
      <c r="N1836" s="157"/>
      <c r="O1836" s="157"/>
    </row>
    <row r="1837" spans="3:15" ht="15" customHeight="1">
      <c r="C1837" s="498"/>
      <c r="D1837" s="256"/>
      <c r="E1837" s="195"/>
      <c r="F1837" s="157"/>
      <c r="G1837" s="157"/>
      <c r="H1837" s="157"/>
      <c r="I1837" s="157"/>
      <c r="J1837" s="157"/>
      <c r="K1837" s="157"/>
      <c r="L1837" s="157"/>
      <c r="M1837" s="523"/>
      <c r="N1837" s="157"/>
      <c r="O1837" s="157"/>
    </row>
    <row r="1838" spans="3:15" ht="15" customHeight="1">
      <c r="C1838" s="498"/>
      <c r="D1838" s="256"/>
      <c r="E1838" s="195"/>
      <c r="F1838" s="157"/>
      <c r="G1838" s="157"/>
      <c r="H1838" s="157"/>
      <c r="I1838" s="157"/>
      <c r="J1838" s="157"/>
      <c r="K1838" s="157"/>
      <c r="L1838" s="157"/>
      <c r="M1838" s="523"/>
      <c r="N1838" s="157"/>
      <c r="O1838" s="157"/>
    </row>
    <row r="1839" spans="3:15" ht="15" customHeight="1">
      <c r="C1839" s="498"/>
      <c r="D1839" s="256"/>
      <c r="E1839" s="195"/>
      <c r="F1839" s="157"/>
      <c r="G1839" s="157"/>
      <c r="H1839" s="157"/>
      <c r="I1839" s="157"/>
      <c r="J1839" s="157"/>
      <c r="K1839" s="157"/>
      <c r="L1839" s="157"/>
      <c r="M1839" s="523"/>
      <c r="N1839" s="157"/>
      <c r="O1839" s="157"/>
    </row>
    <row r="1840" spans="3:15" ht="15" customHeight="1">
      <c r="C1840" s="498"/>
      <c r="D1840" s="256"/>
      <c r="E1840" s="195"/>
      <c r="F1840" s="157"/>
      <c r="G1840" s="157"/>
      <c r="H1840" s="157"/>
      <c r="I1840" s="157"/>
      <c r="J1840" s="157"/>
      <c r="K1840" s="157"/>
      <c r="L1840" s="157"/>
      <c r="M1840" s="523"/>
      <c r="N1840" s="157"/>
      <c r="O1840" s="157"/>
    </row>
    <row r="1841" spans="3:15" ht="15" customHeight="1">
      <c r="C1841" s="498"/>
      <c r="D1841" s="256"/>
      <c r="E1841" s="195"/>
      <c r="F1841" s="157"/>
      <c r="G1841" s="157"/>
      <c r="H1841" s="157"/>
      <c r="I1841" s="157"/>
      <c r="J1841" s="157"/>
      <c r="K1841" s="157"/>
      <c r="L1841" s="157"/>
      <c r="M1841" s="523"/>
      <c r="N1841" s="157"/>
      <c r="O1841" s="157"/>
    </row>
    <row r="1842" spans="3:15" ht="15" customHeight="1">
      <c r="C1842" s="498"/>
      <c r="D1842" s="256"/>
      <c r="E1842" s="195"/>
      <c r="F1842" s="157"/>
      <c r="G1842" s="157"/>
      <c r="H1842" s="157"/>
      <c r="I1842" s="157"/>
      <c r="J1842" s="157"/>
      <c r="K1842" s="157"/>
      <c r="L1842" s="157"/>
      <c r="M1842" s="523"/>
      <c r="N1842" s="157"/>
      <c r="O1842" s="157"/>
    </row>
    <row r="1843" spans="3:15" ht="15" customHeight="1">
      <c r="C1843" s="498"/>
      <c r="D1843" s="256"/>
      <c r="E1843" s="195"/>
      <c r="F1843" s="157"/>
      <c r="G1843" s="157"/>
      <c r="H1843" s="157"/>
      <c r="I1843" s="157"/>
      <c r="J1843" s="157"/>
      <c r="K1843" s="157"/>
      <c r="L1843" s="157"/>
      <c r="M1843" s="523"/>
      <c r="N1843" s="157"/>
      <c r="O1843" s="157"/>
    </row>
    <row r="1844" spans="3:15" ht="15" customHeight="1">
      <c r="C1844" s="498"/>
      <c r="D1844" s="256"/>
      <c r="E1844" s="195"/>
      <c r="F1844" s="157"/>
      <c r="G1844" s="157"/>
      <c r="H1844" s="157"/>
      <c r="I1844" s="157"/>
      <c r="J1844" s="157"/>
      <c r="K1844" s="157"/>
      <c r="L1844" s="157"/>
      <c r="M1844" s="523"/>
      <c r="N1844" s="157"/>
      <c r="O1844" s="157"/>
    </row>
    <row r="1845" spans="3:15" ht="15" customHeight="1">
      <c r="C1845" s="498"/>
      <c r="D1845" s="256"/>
      <c r="E1845" s="195"/>
      <c r="F1845" s="157"/>
      <c r="G1845" s="157"/>
      <c r="H1845" s="157"/>
      <c r="I1845" s="157"/>
      <c r="J1845" s="157"/>
      <c r="K1845" s="157"/>
      <c r="L1845" s="157"/>
      <c r="M1845" s="523"/>
      <c r="N1845" s="157"/>
      <c r="O1845" s="157"/>
    </row>
    <row r="1846" spans="3:15" ht="15" customHeight="1">
      <c r="C1846" s="498"/>
      <c r="D1846" s="256"/>
      <c r="E1846" s="195"/>
      <c r="F1846" s="157"/>
      <c r="G1846" s="157"/>
      <c r="H1846" s="157"/>
      <c r="I1846" s="157"/>
      <c r="J1846" s="157"/>
      <c r="K1846" s="157"/>
      <c r="L1846" s="157"/>
      <c r="M1846" s="523"/>
      <c r="N1846" s="157"/>
      <c r="O1846" s="157"/>
    </row>
    <row r="1847" spans="3:15" ht="15" customHeight="1">
      <c r="C1847" s="498"/>
      <c r="D1847" s="256"/>
      <c r="E1847" s="195"/>
      <c r="F1847" s="157"/>
      <c r="G1847" s="157"/>
      <c r="H1847" s="157"/>
      <c r="I1847" s="157"/>
      <c r="J1847" s="157"/>
      <c r="K1847" s="157"/>
      <c r="L1847" s="157"/>
      <c r="M1847" s="523"/>
      <c r="N1847" s="157"/>
      <c r="O1847" s="157"/>
    </row>
    <row r="1848" spans="3:15" ht="15" customHeight="1">
      <c r="C1848" s="498"/>
      <c r="D1848" s="256"/>
      <c r="E1848" s="195"/>
      <c r="F1848" s="157"/>
      <c r="G1848" s="157"/>
      <c r="H1848" s="157"/>
      <c r="I1848" s="157"/>
      <c r="J1848" s="157"/>
      <c r="K1848" s="157"/>
      <c r="L1848" s="157"/>
      <c r="M1848" s="523"/>
      <c r="N1848" s="157"/>
      <c r="O1848" s="157"/>
    </row>
    <row r="1849" spans="3:15" ht="15" customHeight="1">
      <c r="C1849" s="498"/>
      <c r="D1849" s="256"/>
      <c r="E1849" s="195"/>
      <c r="F1849" s="157"/>
      <c r="G1849" s="157"/>
      <c r="H1849" s="157"/>
      <c r="I1849" s="157"/>
      <c r="J1849" s="157"/>
      <c r="K1849" s="157"/>
      <c r="L1849" s="157"/>
      <c r="M1849" s="523"/>
      <c r="N1849" s="157"/>
      <c r="O1849" s="157"/>
    </row>
    <row r="1850" spans="3:15" ht="15" customHeight="1">
      <c r="C1850" s="498"/>
      <c r="D1850" s="256"/>
      <c r="E1850" s="195"/>
      <c r="F1850" s="157"/>
      <c r="G1850" s="157"/>
      <c r="H1850" s="157"/>
      <c r="I1850" s="157"/>
      <c r="J1850" s="157"/>
      <c r="K1850" s="157"/>
      <c r="L1850" s="157"/>
      <c r="M1850" s="523"/>
      <c r="N1850" s="157"/>
      <c r="O1850" s="157"/>
    </row>
    <row r="1851" spans="3:15" ht="15" customHeight="1">
      <c r="C1851" s="498"/>
      <c r="D1851" s="256"/>
      <c r="E1851" s="195"/>
      <c r="F1851" s="157"/>
      <c r="G1851" s="157"/>
      <c r="H1851" s="157"/>
      <c r="I1851" s="157"/>
      <c r="J1851" s="157"/>
      <c r="K1851" s="157"/>
      <c r="L1851" s="157"/>
      <c r="M1851" s="523"/>
      <c r="N1851" s="157"/>
      <c r="O1851" s="157"/>
    </row>
    <row r="1852" spans="3:15" ht="15" customHeight="1">
      <c r="C1852" s="498"/>
      <c r="D1852" s="256"/>
      <c r="E1852" s="195"/>
      <c r="F1852" s="157"/>
      <c r="G1852" s="157"/>
      <c r="H1852" s="157"/>
      <c r="I1852" s="157"/>
      <c r="J1852" s="157"/>
      <c r="K1852" s="157"/>
      <c r="L1852" s="157"/>
      <c r="M1852" s="523"/>
      <c r="N1852" s="157"/>
      <c r="O1852" s="157"/>
    </row>
    <row r="1853" spans="3:15" ht="15" customHeight="1">
      <c r="C1853" s="498"/>
      <c r="D1853" s="256"/>
      <c r="E1853" s="195"/>
      <c r="F1853" s="157"/>
      <c r="G1853" s="157"/>
      <c r="H1853" s="157"/>
      <c r="I1853" s="157"/>
      <c r="J1853" s="157"/>
      <c r="K1853" s="157"/>
      <c r="L1853" s="157"/>
      <c r="M1853" s="523"/>
      <c r="N1853" s="157"/>
      <c r="O1853" s="157"/>
    </row>
    <row r="1854" spans="3:15" ht="15" customHeight="1">
      <c r="C1854" s="498"/>
      <c r="D1854" s="256"/>
      <c r="E1854" s="195"/>
      <c r="F1854" s="157"/>
      <c r="G1854" s="157"/>
      <c r="H1854" s="157"/>
      <c r="I1854" s="157"/>
      <c r="J1854" s="157"/>
      <c r="K1854" s="157"/>
      <c r="L1854" s="157"/>
      <c r="M1854" s="523"/>
      <c r="N1854" s="157"/>
      <c r="O1854" s="157"/>
    </row>
    <row r="1855" spans="3:15" ht="15" customHeight="1">
      <c r="C1855" s="498"/>
      <c r="D1855" s="256"/>
      <c r="E1855" s="195"/>
      <c r="F1855" s="157"/>
      <c r="G1855" s="157"/>
      <c r="H1855" s="157"/>
      <c r="I1855" s="157"/>
      <c r="J1855" s="157"/>
      <c r="K1855" s="157"/>
      <c r="L1855" s="157"/>
      <c r="M1855" s="523"/>
      <c r="N1855" s="157"/>
      <c r="O1855" s="157"/>
    </row>
    <row r="1856" spans="3:15" ht="15" customHeight="1">
      <c r="C1856" s="498"/>
      <c r="D1856" s="256"/>
      <c r="E1856" s="195"/>
      <c r="F1856" s="157"/>
      <c r="G1856" s="157"/>
      <c r="H1856" s="157"/>
      <c r="I1856" s="157"/>
      <c r="J1856" s="157"/>
      <c r="K1856" s="157"/>
      <c r="L1856" s="157"/>
      <c r="M1856" s="523"/>
      <c r="N1856" s="157"/>
      <c r="O1856" s="157"/>
    </row>
    <row r="1857" spans="3:15" ht="15" customHeight="1">
      <c r="C1857" s="498"/>
      <c r="D1857" s="256"/>
      <c r="E1857" s="195"/>
      <c r="F1857" s="157"/>
      <c r="G1857" s="157"/>
      <c r="H1857" s="157"/>
      <c r="I1857" s="157"/>
      <c r="J1857" s="157"/>
      <c r="K1857" s="157"/>
      <c r="L1857" s="157"/>
      <c r="M1857" s="523"/>
      <c r="N1857" s="157"/>
      <c r="O1857" s="157"/>
    </row>
    <row r="1858" spans="3:15" ht="15" customHeight="1">
      <c r="C1858" s="498"/>
      <c r="D1858" s="256"/>
      <c r="E1858" s="195"/>
      <c r="F1858" s="157"/>
      <c r="G1858" s="157"/>
      <c r="H1858" s="157"/>
      <c r="I1858" s="157"/>
      <c r="J1858" s="157"/>
      <c r="K1858" s="157"/>
      <c r="L1858" s="157"/>
      <c r="M1858" s="523"/>
      <c r="N1858" s="157"/>
      <c r="O1858" s="157"/>
    </row>
    <row r="1859" spans="3:15" ht="15" customHeight="1">
      <c r="C1859" s="498"/>
      <c r="D1859" s="256"/>
      <c r="E1859" s="195"/>
      <c r="F1859" s="157"/>
      <c r="G1859" s="157"/>
      <c r="H1859" s="157"/>
      <c r="I1859" s="157"/>
      <c r="J1859" s="157"/>
      <c r="K1859" s="157"/>
      <c r="L1859" s="157"/>
      <c r="M1859" s="523"/>
      <c r="N1859" s="157"/>
      <c r="O1859" s="157"/>
    </row>
    <row r="1860" spans="3:15" ht="15" customHeight="1">
      <c r="C1860" s="498"/>
      <c r="D1860" s="256"/>
      <c r="E1860" s="195"/>
      <c r="F1860" s="157"/>
      <c r="G1860" s="157"/>
      <c r="H1860" s="157"/>
      <c r="I1860" s="157"/>
      <c r="J1860" s="157"/>
      <c r="K1860" s="157"/>
      <c r="L1860" s="157"/>
      <c r="M1860" s="523"/>
      <c r="N1860" s="157"/>
      <c r="O1860" s="157"/>
    </row>
    <row r="1861" spans="3:15" ht="15" customHeight="1">
      <c r="C1861" s="498"/>
      <c r="D1861" s="256"/>
      <c r="E1861" s="195"/>
      <c r="F1861" s="157"/>
      <c r="G1861" s="157"/>
      <c r="H1861" s="157"/>
      <c r="I1861" s="157"/>
      <c r="J1861" s="157"/>
      <c r="K1861" s="157"/>
      <c r="L1861" s="157"/>
      <c r="M1861" s="523"/>
      <c r="N1861" s="157"/>
      <c r="O1861" s="157"/>
    </row>
    <row r="1862" spans="3:15" ht="15" customHeight="1">
      <c r="C1862" s="498"/>
      <c r="D1862" s="256"/>
      <c r="E1862" s="195"/>
      <c r="F1862" s="157"/>
      <c r="G1862" s="157"/>
      <c r="H1862" s="157"/>
      <c r="I1862" s="157"/>
      <c r="J1862" s="157"/>
      <c r="K1862" s="157"/>
      <c r="L1862" s="157"/>
      <c r="M1862" s="523"/>
      <c r="N1862" s="157"/>
      <c r="O1862" s="157"/>
    </row>
    <row r="1863" spans="3:15" ht="15" customHeight="1">
      <c r="C1863" s="498"/>
      <c r="D1863" s="256"/>
      <c r="E1863" s="195"/>
      <c r="F1863" s="157"/>
      <c r="G1863" s="157"/>
      <c r="H1863" s="157"/>
      <c r="I1863" s="157"/>
      <c r="J1863" s="157"/>
      <c r="K1863" s="157"/>
      <c r="L1863" s="157"/>
      <c r="M1863" s="523"/>
      <c r="N1863" s="157"/>
      <c r="O1863" s="157"/>
    </row>
    <row r="1864" spans="3:15" ht="15" customHeight="1">
      <c r="C1864" s="498"/>
      <c r="D1864" s="256"/>
      <c r="E1864" s="195"/>
      <c r="F1864" s="157"/>
      <c r="G1864" s="157"/>
      <c r="H1864" s="157"/>
      <c r="I1864" s="157"/>
      <c r="J1864" s="157"/>
      <c r="K1864" s="157"/>
      <c r="L1864" s="157"/>
      <c r="M1864" s="523"/>
      <c r="N1864" s="157"/>
      <c r="O1864" s="157"/>
    </row>
    <row r="1865" spans="3:15" ht="15" customHeight="1">
      <c r="C1865" s="498"/>
      <c r="D1865" s="256"/>
      <c r="E1865" s="195"/>
      <c r="F1865" s="157"/>
      <c r="G1865" s="157"/>
      <c r="H1865" s="157"/>
      <c r="I1865" s="157"/>
      <c r="J1865" s="157"/>
      <c r="K1865" s="157"/>
      <c r="L1865" s="157"/>
      <c r="M1865" s="523"/>
      <c r="N1865" s="157"/>
      <c r="O1865" s="157"/>
    </row>
    <row r="1866" spans="3:15" ht="15" customHeight="1">
      <c r="C1866" s="498"/>
      <c r="D1866" s="256"/>
      <c r="E1866" s="195"/>
      <c r="F1866" s="157"/>
      <c r="G1866" s="157"/>
      <c r="H1866" s="157"/>
      <c r="I1866" s="157"/>
      <c r="J1866" s="157"/>
      <c r="K1866" s="157"/>
      <c r="L1866" s="157"/>
      <c r="M1866" s="523"/>
      <c r="N1866" s="157"/>
      <c r="O1866" s="157"/>
    </row>
    <row r="1867" spans="3:15" ht="15" customHeight="1">
      <c r="C1867" s="498"/>
      <c r="D1867" s="256"/>
      <c r="E1867" s="195"/>
      <c r="F1867" s="157"/>
      <c r="G1867" s="157"/>
      <c r="H1867" s="157"/>
      <c r="I1867" s="157"/>
      <c r="J1867" s="157"/>
      <c r="K1867" s="157"/>
      <c r="L1867" s="157"/>
      <c r="M1867" s="523"/>
      <c r="N1867" s="157"/>
      <c r="O1867" s="157"/>
    </row>
    <row r="1868" spans="3:15" ht="15" customHeight="1">
      <c r="C1868" s="498"/>
      <c r="D1868" s="256"/>
      <c r="E1868" s="195"/>
      <c r="F1868" s="157"/>
      <c r="G1868" s="157"/>
      <c r="H1868" s="157"/>
      <c r="I1868" s="157"/>
      <c r="J1868" s="157"/>
      <c r="K1868" s="157"/>
      <c r="L1868" s="157"/>
      <c r="M1868" s="523"/>
      <c r="N1868" s="157"/>
      <c r="O1868" s="157"/>
    </row>
    <row r="1869" spans="3:15" ht="15" customHeight="1">
      <c r="C1869" s="498"/>
      <c r="D1869" s="256"/>
      <c r="E1869" s="195"/>
      <c r="F1869" s="157"/>
      <c r="G1869" s="157"/>
      <c r="H1869" s="157"/>
      <c r="I1869" s="157"/>
      <c r="J1869" s="157"/>
      <c r="K1869" s="157"/>
      <c r="L1869" s="157"/>
      <c r="M1869" s="523"/>
      <c r="N1869" s="157"/>
      <c r="O1869" s="157"/>
    </row>
    <row r="1870" spans="3:15" ht="15" customHeight="1">
      <c r="C1870" s="498"/>
      <c r="D1870" s="256"/>
      <c r="E1870" s="195"/>
      <c r="F1870" s="157"/>
      <c r="G1870" s="157"/>
      <c r="H1870" s="157"/>
      <c r="I1870" s="157"/>
      <c r="J1870" s="157"/>
      <c r="K1870" s="157"/>
      <c r="L1870" s="157"/>
      <c r="M1870" s="523"/>
      <c r="N1870" s="157"/>
      <c r="O1870" s="157"/>
    </row>
    <row r="1871" spans="3:15" ht="15" customHeight="1">
      <c r="C1871" s="498"/>
      <c r="D1871" s="256"/>
      <c r="E1871" s="195"/>
      <c r="F1871" s="157"/>
      <c r="G1871" s="157"/>
      <c r="H1871" s="157"/>
      <c r="I1871" s="157"/>
      <c r="J1871" s="157"/>
      <c r="K1871" s="157"/>
      <c r="L1871" s="157"/>
      <c r="M1871" s="523"/>
      <c r="N1871" s="157"/>
      <c r="O1871" s="157"/>
    </row>
    <row r="1872" spans="3:15" ht="15" customHeight="1">
      <c r="C1872" s="498"/>
      <c r="D1872" s="256"/>
      <c r="E1872" s="195"/>
      <c r="F1872" s="157"/>
      <c r="G1872" s="157"/>
      <c r="H1872" s="157"/>
      <c r="I1872" s="157"/>
      <c r="J1872" s="157"/>
      <c r="K1872" s="157"/>
      <c r="L1872" s="157"/>
      <c r="M1872" s="523"/>
      <c r="N1872" s="157"/>
      <c r="O1872" s="157"/>
    </row>
    <row r="1873" spans="3:15" ht="15" customHeight="1">
      <c r="C1873" s="498"/>
      <c r="D1873" s="256"/>
      <c r="E1873" s="195"/>
      <c r="F1873" s="157"/>
      <c r="G1873" s="157"/>
      <c r="H1873" s="157"/>
      <c r="I1873" s="157"/>
      <c r="J1873" s="157"/>
      <c r="K1873" s="157"/>
      <c r="L1873" s="157"/>
      <c r="M1873" s="523"/>
      <c r="N1873" s="157"/>
      <c r="O1873" s="157"/>
    </row>
    <row r="1874" spans="3:15" ht="15" customHeight="1">
      <c r="C1874" s="498"/>
      <c r="D1874" s="256"/>
      <c r="E1874" s="195"/>
      <c r="F1874" s="157"/>
      <c r="G1874" s="157"/>
      <c r="H1874" s="157"/>
      <c r="I1874" s="157"/>
      <c r="J1874" s="157"/>
      <c r="K1874" s="157"/>
      <c r="L1874" s="157"/>
      <c r="M1874" s="523"/>
      <c r="N1874" s="157"/>
      <c r="O1874" s="157"/>
    </row>
    <row r="1875" spans="3:15" ht="15" customHeight="1">
      <c r="C1875" s="498"/>
      <c r="D1875" s="256"/>
      <c r="E1875" s="195"/>
      <c r="F1875" s="157"/>
      <c r="G1875" s="157"/>
      <c r="H1875" s="157"/>
      <c r="I1875" s="157"/>
      <c r="J1875" s="157"/>
      <c r="K1875" s="157"/>
      <c r="L1875" s="157"/>
      <c r="M1875" s="523"/>
      <c r="N1875" s="157"/>
      <c r="O1875" s="157"/>
    </row>
    <row r="1876" spans="3:15" ht="15" customHeight="1">
      <c r="C1876" s="498"/>
      <c r="D1876" s="256"/>
      <c r="E1876" s="195"/>
      <c r="F1876" s="157"/>
      <c r="G1876" s="157"/>
      <c r="H1876" s="157"/>
      <c r="I1876" s="157"/>
      <c r="J1876" s="157"/>
      <c r="K1876" s="157"/>
      <c r="L1876" s="157"/>
      <c r="M1876" s="523"/>
      <c r="N1876" s="157"/>
      <c r="O1876" s="157"/>
    </row>
    <row r="1877" spans="3:15" ht="15" customHeight="1">
      <c r="C1877" s="498"/>
      <c r="D1877" s="256"/>
      <c r="E1877" s="195"/>
      <c r="F1877" s="157"/>
      <c r="G1877" s="157"/>
      <c r="H1877" s="157"/>
      <c r="I1877" s="157"/>
      <c r="J1877" s="157"/>
      <c r="K1877" s="157"/>
      <c r="L1877" s="157"/>
      <c r="M1877" s="523"/>
      <c r="N1877" s="157"/>
      <c r="O1877" s="157"/>
    </row>
    <row r="1878" spans="3:15" ht="15" customHeight="1">
      <c r="C1878" s="498"/>
      <c r="D1878" s="256"/>
      <c r="E1878" s="195"/>
      <c r="F1878" s="157"/>
      <c r="G1878" s="157"/>
      <c r="H1878" s="157"/>
      <c r="I1878" s="157"/>
      <c r="J1878" s="157"/>
      <c r="K1878" s="157"/>
      <c r="L1878" s="157"/>
      <c r="M1878" s="523"/>
      <c r="N1878" s="157"/>
      <c r="O1878" s="157"/>
    </row>
    <row r="1879" spans="3:15" ht="15" customHeight="1">
      <c r="C1879" s="498"/>
      <c r="D1879" s="256"/>
      <c r="E1879" s="195"/>
      <c r="F1879" s="157"/>
      <c r="G1879" s="157"/>
      <c r="H1879" s="157"/>
      <c r="I1879" s="157"/>
      <c r="J1879" s="157"/>
      <c r="K1879" s="157"/>
      <c r="L1879" s="157"/>
      <c r="M1879" s="523"/>
      <c r="N1879" s="157"/>
      <c r="O1879" s="157"/>
    </row>
    <row r="1880" spans="3:15" ht="15" customHeight="1">
      <c r="C1880" s="498"/>
      <c r="D1880" s="256"/>
      <c r="E1880" s="195"/>
      <c r="F1880" s="157"/>
      <c r="G1880" s="157"/>
      <c r="H1880" s="157"/>
      <c r="I1880" s="157"/>
      <c r="J1880" s="157"/>
      <c r="K1880" s="157"/>
      <c r="L1880" s="157"/>
      <c r="M1880" s="523"/>
      <c r="N1880" s="157"/>
      <c r="O1880" s="157"/>
    </row>
    <row r="1881" spans="3:15" ht="15" customHeight="1">
      <c r="C1881" s="498"/>
      <c r="D1881" s="256"/>
      <c r="E1881" s="195"/>
      <c r="F1881" s="157"/>
      <c r="G1881" s="157"/>
      <c r="H1881" s="157"/>
      <c r="I1881" s="157"/>
      <c r="J1881" s="157"/>
      <c r="K1881" s="157"/>
      <c r="L1881" s="157"/>
      <c r="M1881" s="523"/>
      <c r="N1881" s="157"/>
      <c r="O1881" s="157"/>
    </row>
    <row r="1882" spans="3:15" ht="15" customHeight="1">
      <c r="C1882" s="498"/>
      <c r="D1882" s="256"/>
      <c r="E1882" s="195"/>
      <c r="F1882" s="157"/>
      <c r="G1882" s="157"/>
      <c r="H1882" s="157"/>
      <c r="I1882" s="157"/>
      <c r="J1882" s="157"/>
      <c r="K1882" s="157"/>
      <c r="L1882" s="157"/>
      <c r="M1882" s="523"/>
      <c r="N1882" s="157"/>
      <c r="O1882" s="157"/>
    </row>
    <row r="1883" spans="3:15" ht="15" customHeight="1">
      <c r="C1883" s="498"/>
      <c r="D1883" s="256"/>
      <c r="E1883" s="195"/>
      <c r="F1883" s="157"/>
      <c r="G1883" s="157"/>
      <c r="H1883" s="157"/>
      <c r="I1883" s="157"/>
      <c r="J1883" s="157"/>
      <c r="K1883" s="157"/>
      <c r="L1883" s="157"/>
      <c r="M1883" s="523"/>
      <c r="N1883" s="157"/>
      <c r="O1883" s="157"/>
    </row>
    <row r="1884" spans="3:15" ht="15" customHeight="1">
      <c r="C1884" s="498"/>
      <c r="D1884" s="256"/>
      <c r="E1884" s="195"/>
      <c r="F1884" s="157"/>
      <c r="G1884" s="157"/>
      <c r="H1884" s="157"/>
      <c r="I1884" s="157"/>
      <c r="J1884" s="157"/>
      <c r="K1884" s="157"/>
      <c r="L1884" s="157"/>
      <c r="M1884" s="523"/>
      <c r="N1884" s="157"/>
      <c r="O1884" s="157"/>
    </row>
    <row r="1885" spans="3:15" ht="15" customHeight="1">
      <c r="C1885" s="498"/>
      <c r="D1885" s="256"/>
      <c r="E1885" s="195"/>
      <c r="F1885" s="157"/>
      <c r="G1885" s="157"/>
      <c r="H1885" s="157"/>
      <c r="I1885" s="157"/>
      <c r="J1885" s="157"/>
      <c r="K1885" s="157"/>
      <c r="L1885" s="157"/>
      <c r="M1885" s="523"/>
      <c r="N1885" s="157"/>
      <c r="O1885" s="157"/>
    </row>
    <row r="1886" spans="3:15" ht="15" customHeight="1">
      <c r="C1886" s="498"/>
      <c r="D1886" s="256"/>
      <c r="E1886" s="195"/>
      <c r="F1886" s="157"/>
      <c r="G1886" s="157"/>
      <c r="H1886" s="157"/>
      <c r="I1886" s="157"/>
      <c r="J1886" s="157"/>
      <c r="K1886" s="157"/>
      <c r="L1886" s="157"/>
      <c r="M1886" s="523"/>
      <c r="N1886" s="157"/>
      <c r="O1886" s="157"/>
    </row>
    <row r="1887" spans="3:15" ht="15" customHeight="1">
      <c r="C1887" s="498"/>
      <c r="D1887" s="256"/>
      <c r="E1887" s="195"/>
      <c r="F1887" s="157"/>
      <c r="G1887" s="157"/>
      <c r="H1887" s="157"/>
      <c r="I1887" s="157"/>
      <c r="J1887" s="157"/>
      <c r="K1887" s="157"/>
      <c r="L1887" s="157"/>
      <c r="M1887" s="523"/>
      <c r="N1887" s="157"/>
      <c r="O1887" s="157"/>
    </row>
    <row r="1888" spans="3:15" ht="15" customHeight="1">
      <c r="C1888" s="498"/>
      <c r="D1888" s="256"/>
      <c r="E1888" s="195"/>
      <c r="F1888" s="157"/>
      <c r="G1888" s="157"/>
      <c r="H1888" s="157"/>
      <c r="I1888" s="157"/>
      <c r="J1888" s="157"/>
      <c r="K1888" s="157"/>
      <c r="L1888" s="157"/>
      <c r="M1888" s="523"/>
      <c r="N1888" s="157"/>
      <c r="O1888" s="157"/>
    </row>
    <row r="1889" spans="3:15" ht="15" customHeight="1">
      <c r="C1889" s="498"/>
      <c r="D1889" s="256"/>
      <c r="E1889" s="195"/>
      <c r="F1889" s="157"/>
      <c r="G1889" s="157"/>
      <c r="H1889" s="157"/>
      <c r="I1889" s="157"/>
      <c r="J1889" s="157"/>
      <c r="K1889" s="157"/>
      <c r="L1889" s="157"/>
      <c r="M1889" s="523"/>
      <c r="N1889" s="157"/>
      <c r="O1889" s="157"/>
    </row>
    <row r="1890" spans="3:15" ht="15" customHeight="1">
      <c r="C1890" s="498"/>
      <c r="D1890" s="256"/>
      <c r="E1890" s="195"/>
      <c r="F1890" s="157"/>
      <c r="G1890" s="157"/>
      <c r="H1890" s="157"/>
      <c r="I1890" s="157"/>
      <c r="J1890" s="157"/>
      <c r="K1890" s="157"/>
      <c r="L1890" s="157"/>
      <c r="M1890" s="523"/>
      <c r="N1890" s="157"/>
      <c r="O1890" s="157"/>
    </row>
    <row r="1891" spans="3:15" ht="15" customHeight="1">
      <c r="C1891" s="498"/>
      <c r="D1891" s="256"/>
      <c r="E1891" s="195"/>
      <c r="F1891" s="157"/>
      <c r="G1891" s="157"/>
      <c r="H1891" s="157"/>
      <c r="I1891" s="157"/>
      <c r="J1891" s="157"/>
      <c r="K1891" s="157"/>
      <c r="L1891" s="157"/>
      <c r="M1891" s="523"/>
      <c r="N1891" s="157"/>
      <c r="O1891" s="157"/>
    </row>
    <row r="1892" spans="3:15" ht="15" customHeight="1">
      <c r="C1892" s="498"/>
      <c r="D1892" s="256"/>
      <c r="E1892" s="195"/>
      <c r="F1892" s="157"/>
      <c r="G1892" s="157"/>
      <c r="H1892" s="157"/>
      <c r="I1892" s="157"/>
      <c r="J1892" s="157"/>
      <c r="K1892" s="157"/>
      <c r="L1892" s="157"/>
      <c r="M1892" s="523"/>
      <c r="N1892" s="157"/>
      <c r="O1892" s="157"/>
    </row>
    <row r="1893" spans="3:15" ht="15" customHeight="1">
      <c r="C1893" s="498"/>
      <c r="D1893" s="256"/>
      <c r="E1893" s="195"/>
      <c r="F1893" s="157"/>
      <c r="G1893" s="157"/>
      <c r="H1893" s="157"/>
      <c r="I1893" s="157"/>
      <c r="J1893" s="157"/>
      <c r="K1893" s="157"/>
      <c r="L1893" s="157"/>
      <c r="M1893" s="523"/>
      <c r="N1893" s="157"/>
      <c r="O1893" s="157"/>
    </row>
    <row r="1894" spans="3:15" ht="15" customHeight="1">
      <c r="C1894" s="498"/>
      <c r="D1894" s="256"/>
      <c r="E1894" s="195"/>
      <c r="F1894" s="157"/>
      <c r="G1894" s="157"/>
      <c r="H1894" s="157"/>
      <c r="I1894" s="157"/>
      <c r="J1894" s="157"/>
      <c r="K1894" s="157"/>
      <c r="L1894" s="157"/>
      <c r="M1894" s="523"/>
      <c r="N1894" s="157"/>
      <c r="O1894" s="157"/>
    </row>
    <row r="1895" spans="3:15" ht="15" customHeight="1">
      <c r="C1895" s="498"/>
      <c r="D1895" s="256"/>
      <c r="E1895" s="195"/>
      <c r="F1895" s="157"/>
      <c r="G1895" s="157"/>
      <c r="H1895" s="157"/>
      <c r="I1895" s="157"/>
      <c r="J1895" s="157"/>
      <c r="K1895" s="157"/>
      <c r="L1895" s="157"/>
      <c r="M1895" s="523"/>
      <c r="N1895" s="157"/>
      <c r="O1895" s="157"/>
    </row>
    <row r="1896" spans="3:15" ht="15" customHeight="1">
      <c r="C1896" s="498"/>
      <c r="D1896" s="256"/>
      <c r="E1896" s="195"/>
      <c r="F1896" s="157"/>
      <c r="G1896" s="157"/>
      <c r="H1896" s="157"/>
      <c r="I1896" s="157"/>
      <c r="J1896" s="157"/>
      <c r="K1896" s="157"/>
      <c r="L1896" s="157"/>
      <c r="M1896" s="523"/>
      <c r="N1896" s="157"/>
      <c r="O1896" s="157"/>
    </row>
    <row r="1897" spans="3:15" ht="15" customHeight="1">
      <c r="C1897" s="498"/>
      <c r="D1897" s="256"/>
      <c r="E1897" s="195"/>
      <c r="F1897" s="157"/>
      <c r="G1897" s="157"/>
      <c r="H1897" s="157"/>
      <c r="I1897" s="157"/>
      <c r="J1897" s="157"/>
      <c r="K1897" s="157"/>
      <c r="L1897" s="157"/>
      <c r="M1897" s="523"/>
      <c r="N1897" s="157"/>
      <c r="O1897" s="157"/>
    </row>
    <row r="1898" spans="3:15" ht="15" customHeight="1">
      <c r="C1898" s="498"/>
      <c r="D1898" s="256"/>
      <c r="E1898" s="195"/>
      <c r="F1898" s="157"/>
      <c r="G1898" s="157"/>
      <c r="H1898" s="157"/>
      <c r="I1898" s="157"/>
      <c r="J1898" s="157"/>
      <c r="K1898" s="157"/>
      <c r="L1898" s="157"/>
      <c r="M1898" s="523"/>
      <c r="N1898" s="157"/>
      <c r="O1898" s="157"/>
    </row>
    <row r="1899" spans="3:15" ht="15" customHeight="1">
      <c r="C1899" s="498"/>
      <c r="D1899" s="256"/>
      <c r="E1899" s="195"/>
      <c r="F1899" s="157"/>
      <c r="G1899" s="157"/>
      <c r="H1899" s="157"/>
      <c r="I1899" s="157"/>
      <c r="J1899" s="157"/>
      <c r="K1899" s="157"/>
      <c r="L1899" s="157"/>
      <c r="M1899" s="523"/>
      <c r="N1899" s="157"/>
      <c r="O1899" s="157"/>
    </row>
    <row r="1900" spans="3:15" ht="15" customHeight="1">
      <c r="C1900" s="498"/>
      <c r="D1900" s="256"/>
      <c r="E1900" s="195"/>
      <c r="F1900" s="157"/>
      <c r="G1900" s="157"/>
      <c r="H1900" s="157"/>
      <c r="I1900" s="157"/>
      <c r="J1900" s="157"/>
      <c r="K1900" s="157"/>
      <c r="L1900" s="157"/>
      <c r="M1900" s="523"/>
      <c r="N1900" s="157"/>
      <c r="O1900" s="157"/>
    </row>
    <row r="1901" spans="3:15" ht="15" customHeight="1">
      <c r="C1901" s="498"/>
      <c r="D1901" s="256"/>
      <c r="E1901" s="195"/>
      <c r="F1901" s="157"/>
      <c r="G1901" s="157"/>
      <c r="H1901" s="157"/>
      <c r="I1901" s="157"/>
      <c r="J1901" s="157"/>
      <c r="K1901" s="157"/>
      <c r="L1901" s="157"/>
      <c r="M1901" s="523"/>
      <c r="N1901" s="157"/>
      <c r="O1901" s="157"/>
    </row>
    <row r="1902" spans="3:15" ht="15" customHeight="1">
      <c r="C1902" s="498"/>
      <c r="D1902" s="256"/>
      <c r="E1902" s="195"/>
      <c r="F1902" s="157"/>
      <c r="G1902" s="157"/>
      <c r="H1902" s="157"/>
      <c r="I1902" s="157"/>
      <c r="J1902" s="157"/>
      <c r="K1902" s="157"/>
      <c r="L1902" s="157"/>
      <c r="M1902" s="523"/>
      <c r="N1902" s="157"/>
      <c r="O1902" s="157"/>
    </row>
    <row r="1903" spans="3:15" ht="15" customHeight="1">
      <c r="C1903" s="498"/>
      <c r="D1903" s="256"/>
      <c r="E1903" s="195"/>
      <c r="F1903" s="157"/>
      <c r="G1903" s="157"/>
      <c r="H1903" s="157"/>
      <c r="I1903" s="157"/>
      <c r="J1903" s="157"/>
      <c r="K1903" s="157"/>
      <c r="L1903" s="157"/>
      <c r="M1903" s="523"/>
      <c r="N1903" s="157"/>
      <c r="O1903" s="157"/>
    </row>
    <row r="1904" spans="3:15" ht="15" customHeight="1">
      <c r="C1904" s="498"/>
      <c r="D1904" s="256"/>
      <c r="E1904" s="195"/>
      <c r="F1904" s="157"/>
      <c r="G1904" s="157"/>
      <c r="H1904" s="157"/>
      <c r="I1904" s="157"/>
      <c r="J1904" s="157"/>
      <c r="K1904" s="157"/>
      <c r="L1904" s="157"/>
      <c r="M1904" s="523"/>
      <c r="N1904" s="157"/>
      <c r="O1904" s="157"/>
    </row>
    <row r="1905" spans="3:15" ht="15" customHeight="1">
      <c r="C1905" s="498"/>
      <c r="D1905" s="256"/>
      <c r="E1905" s="195"/>
      <c r="F1905" s="157"/>
      <c r="G1905" s="157"/>
      <c r="H1905" s="157"/>
      <c r="I1905" s="157"/>
      <c r="J1905" s="157"/>
      <c r="K1905" s="157"/>
      <c r="L1905" s="157"/>
      <c r="M1905" s="523"/>
      <c r="N1905" s="157"/>
      <c r="O1905" s="157"/>
    </row>
    <row r="1906" spans="3:15" ht="15" customHeight="1">
      <c r="C1906" s="498"/>
      <c r="D1906" s="256"/>
      <c r="E1906" s="195"/>
      <c r="F1906" s="157"/>
      <c r="G1906" s="157"/>
      <c r="H1906" s="157"/>
      <c r="I1906" s="157"/>
      <c r="J1906" s="157"/>
      <c r="K1906" s="157"/>
      <c r="L1906" s="157"/>
      <c r="M1906" s="523"/>
      <c r="N1906" s="157"/>
      <c r="O1906" s="157"/>
    </row>
    <row r="1907" spans="3:15" ht="15" customHeight="1">
      <c r="C1907" s="498"/>
      <c r="D1907" s="256"/>
      <c r="E1907" s="195"/>
      <c r="F1907" s="157"/>
      <c r="G1907" s="157"/>
      <c r="H1907" s="157"/>
      <c r="I1907" s="157"/>
      <c r="J1907" s="157"/>
      <c r="K1907" s="157"/>
      <c r="L1907" s="157"/>
      <c r="M1907" s="523"/>
      <c r="N1907" s="157"/>
      <c r="O1907" s="157"/>
    </row>
    <row r="1908" spans="3:15" ht="15" customHeight="1">
      <c r="C1908" s="498"/>
      <c r="D1908" s="256"/>
      <c r="E1908" s="195"/>
      <c r="F1908" s="157"/>
      <c r="G1908" s="157"/>
      <c r="H1908" s="157"/>
      <c r="I1908" s="157"/>
      <c r="J1908" s="157"/>
      <c r="K1908" s="157"/>
      <c r="L1908" s="157"/>
      <c r="M1908" s="523"/>
      <c r="N1908" s="157"/>
      <c r="O1908" s="157"/>
    </row>
    <row r="1909" spans="3:15" ht="15" customHeight="1">
      <c r="C1909" s="498"/>
      <c r="D1909" s="256"/>
      <c r="E1909" s="195"/>
      <c r="F1909" s="157"/>
      <c r="G1909" s="157"/>
      <c r="H1909" s="157"/>
      <c r="I1909" s="157"/>
      <c r="J1909" s="157"/>
      <c r="K1909" s="157"/>
      <c r="L1909" s="157"/>
      <c r="M1909" s="523"/>
      <c r="N1909" s="157"/>
      <c r="O1909" s="157"/>
    </row>
    <row r="1910" spans="3:15" ht="15" customHeight="1">
      <c r="C1910" s="498"/>
      <c r="D1910" s="256"/>
      <c r="E1910" s="195"/>
      <c r="F1910" s="157"/>
      <c r="G1910" s="157"/>
      <c r="H1910" s="157"/>
      <c r="I1910" s="157"/>
      <c r="J1910" s="157"/>
      <c r="K1910" s="157"/>
      <c r="L1910" s="157"/>
      <c r="M1910" s="523"/>
      <c r="N1910" s="157"/>
      <c r="O1910" s="157"/>
    </row>
    <row r="1911" spans="3:15" ht="15" customHeight="1">
      <c r="C1911" s="498"/>
      <c r="D1911" s="256"/>
      <c r="E1911" s="195"/>
      <c r="F1911" s="157"/>
      <c r="G1911" s="157"/>
      <c r="H1911" s="157"/>
      <c r="I1911" s="157"/>
      <c r="J1911" s="157"/>
      <c r="K1911" s="157"/>
      <c r="L1911" s="157"/>
      <c r="M1911" s="523"/>
      <c r="N1911" s="157"/>
      <c r="O1911" s="157"/>
    </row>
    <row r="1912" spans="3:15" ht="15" customHeight="1">
      <c r="C1912" s="498"/>
      <c r="D1912" s="256"/>
      <c r="E1912" s="195"/>
      <c r="F1912" s="157"/>
      <c r="G1912" s="157"/>
      <c r="H1912" s="157"/>
      <c r="I1912" s="157"/>
      <c r="J1912" s="157"/>
      <c r="K1912" s="157"/>
      <c r="L1912" s="157"/>
      <c r="M1912" s="523"/>
      <c r="N1912" s="157"/>
      <c r="O1912" s="157"/>
    </row>
    <row r="1913" spans="3:15" ht="15" customHeight="1">
      <c r="C1913" s="498"/>
      <c r="D1913" s="256"/>
      <c r="E1913" s="195"/>
      <c r="F1913" s="157"/>
      <c r="G1913" s="157"/>
      <c r="H1913" s="157"/>
      <c r="I1913" s="157"/>
      <c r="J1913" s="157"/>
      <c r="K1913" s="157"/>
      <c r="L1913" s="157"/>
      <c r="M1913" s="523"/>
      <c r="N1913" s="157"/>
      <c r="O1913" s="157"/>
    </row>
    <row r="1914" spans="3:15" ht="15" customHeight="1">
      <c r="C1914" s="498"/>
      <c r="D1914" s="256"/>
      <c r="E1914" s="195"/>
      <c r="F1914" s="157"/>
      <c r="G1914" s="157"/>
      <c r="H1914" s="157"/>
      <c r="I1914" s="157"/>
      <c r="J1914" s="157"/>
      <c r="K1914" s="157"/>
      <c r="L1914" s="157"/>
      <c r="M1914" s="523"/>
      <c r="N1914" s="157"/>
      <c r="O1914" s="157"/>
    </row>
    <row r="1915" spans="3:15" ht="15" customHeight="1">
      <c r="C1915" s="498"/>
      <c r="D1915" s="256"/>
      <c r="E1915" s="195"/>
      <c r="F1915" s="157"/>
      <c r="G1915" s="157"/>
      <c r="H1915" s="157"/>
      <c r="I1915" s="157"/>
      <c r="J1915" s="157"/>
      <c r="K1915" s="157"/>
      <c r="L1915" s="157"/>
      <c r="M1915" s="523"/>
      <c r="N1915" s="157"/>
      <c r="O1915" s="157"/>
    </row>
    <row r="1916" spans="3:15" ht="15" customHeight="1">
      <c r="C1916" s="498"/>
      <c r="D1916" s="256"/>
      <c r="E1916" s="195"/>
      <c r="F1916" s="157"/>
      <c r="G1916" s="157"/>
      <c r="H1916" s="157"/>
      <c r="I1916" s="157"/>
      <c r="J1916" s="157"/>
      <c r="K1916" s="157"/>
      <c r="L1916" s="157"/>
      <c r="M1916" s="523"/>
      <c r="N1916" s="157"/>
      <c r="O1916" s="157"/>
    </row>
    <row r="1917" spans="3:15" ht="15" customHeight="1">
      <c r="C1917" s="498"/>
      <c r="D1917" s="256"/>
      <c r="E1917" s="195"/>
      <c r="F1917" s="157"/>
      <c r="G1917" s="157"/>
      <c r="H1917" s="157"/>
      <c r="I1917" s="157"/>
      <c r="J1917" s="157"/>
      <c r="K1917" s="157"/>
      <c r="L1917" s="157"/>
      <c r="M1917" s="523"/>
      <c r="N1917" s="157"/>
      <c r="O1917" s="157"/>
    </row>
    <row r="1918" spans="3:15" ht="15" customHeight="1">
      <c r="C1918" s="498"/>
      <c r="D1918" s="256"/>
      <c r="E1918" s="195"/>
      <c r="F1918" s="157"/>
      <c r="G1918" s="157"/>
      <c r="H1918" s="157"/>
      <c r="I1918" s="157"/>
      <c r="J1918" s="157"/>
      <c r="K1918" s="157"/>
      <c r="L1918" s="157"/>
      <c r="M1918" s="523"/>
      <c r="N1918" s="157"/>
      <c r="O1918" s="157"/>
    </row>
    <row r="1919" spans="3:15" ht="15" customHeight="1">
      <c r="C1919" s="498"/>
      <c r="D1919" s="256"/>
      <c r="E1919" s="195"/>
      <c r="F1919" s="157"/>
      <c r="G1919" s="157"/>
      <c r="H1919" s="157"/>
      <c r="I1919" s="157"/>
      <c r="J1919" s="157"/>
      <c r="K1919" s="157"/>
      <c r="L1919" s="157"/>
      <c r="M1919" s="523"/>
      <c r="N1919" s="157"/>
      <c r="O1919" s="157"/>
    </row>
    <row r="1920" spans="3:15" ht="15" customHeight="1">
      <c r="C1920" s="498"/>
      <c r="D1920" s="256"/>
      <c r="E1920" s="195"/>
      <c r="F1920" s="157"/>
      <c r="G1920" s="157"/>
      <c r="H1920" s="157"/>
      <c r="I1920" s="157"/>
      <c r="J1920" s="157"/>
      <c r="K1920" s="157"/>
      <c r="L1920" s="157"/>
      <c r="M1920" s="523"/>
      <c r="N1920" s="157"/>
      <c r="O1920" s="157"/>
    </row>
    <row r="1921" spans="3:15" ht="15" customHeight="1">
      <c r="C1921" s="498"/>
      <c r="D1921" s="256"/>
      <c r="E1921" s="195"/>
      <c r="F1921" s="157"/>
      <c r="G1921" s="157"/>
      <c r="H1921" s="157"/>
      <c r="I1921" s="157"/>
      <c r="J1921" s="157"/>
      <c r="K1921" s="157"/>
      <c r="L1921" s="157"/>
      <c r="M1921" s="523"/>
      <c r="N1921" s="157"/>
      <c r="O1921" s="157"/>
    </row>
    <row r="1922" spans="3:15" ht="15" customHeight="1">
      <c r="C1922" s="498"/>
      <c r="D1922" s="256"/>
      <c r="E1922" s="195"/>
      <c r="F1922" s="157"/>
      <c r="G1922" s="157"/>
      <c r="H1922" s="157"/>
      <c r="I1922" s="157"/>
      <c r="J1922" s="157"/>
      <c r="K1922" s="157"/>
      <c r="L1922" s="157"/>
      <c r="M1922" s="523"/>
      <c r="N1922" s="157"/>
      <c r="O1922" s="157"/>
    </row>
    <row r="1923" spans="3:15" ht="15" customHeight="1">
      <c r="C1923" s="498"/>
      <c r="D1923" s="256"/>
      <c r="E1923" s="195"/>
      <c r="F1923" s="157"/>
      <c r="G1923" s="157"/>
      <c r="H1923" s="157"/>
      <c r="I1923" s="157"/>
      <c r="J1923" s="157"/>
      <c r="K1923" s="157"/>
      <c r="L1923" s="157"/>
      <c r="M1923" s="523"/>
      <c r="N1923" s="157"/>
      <c r="O1923" s="157"/>
    </row>
    <row r="1924" spans="3:15" ht="15" customHeight="1">
      <c r="C1924" s="498"/>
      <c r="D1924" s="256"/>
      <c r="E1924" s="195"/>
      <c r="F1924" s="157"/>
      <c r="G1924" s="157"/>
      <c r="H1924" s="157"/>
      <c r="I1924" s="157"/>
      <c r="J1924" s="157"/>
      <c r="K1924" s="157"/>
      <c r="L1924" s="157"/>
      <c r="M1924" s="523"/>
      <c r="N1924" s="157"/>
      <c r="O1924" s="157"/>
    </row>
    <row r="1925" spans="3:15" ht="15" customHeight="1">
      <c r="C1925" s="498"/>
      <c r="D1925" s="256"/>
      <c r="E1925" s="195"/>
      <c r="F1925" s="157"/>
      <c r="G1925" s="157"/>
      <c r="H1925" s="157"/>
      <c r="I1925" s="157"/>
      <c r="J1925" s="157"/>
      <c r="K1925" s="157"/>
      <c r="L1925" s="157"/>
      <c r="M1925" s="523"/>
      <c r="N1925" s="157"/>
      <c r="O1925" s="157"/>
    </row>
    <row r="1926" spans="3:15" ht="15" customHeight="1">
      <c r="C1926" s="498"/>
      <c r="D1926" s="256"/>
      <c r="E1926" s="195"/>
      <c r="F1926" s="157"/>
      <c r="G1926" s="157"/>
      <c r="H1926" s="157"/>
      <c r="I1926" s="157"/>
      <c r="J1926" s="157"/>
      <c r="K1926" s="157"/>
      <c r="L1926" s="157"/>
      <c r="M1926" s="523"/>
      <c r="N1926" s="157"/>
      <c r="O1926" s="157"/>
    </row>
    <row r="1927" spans="3:15" ht="15" customHeight="1">
      <c r="C1927" s="498"/>
      <c r="D1927" s="256"/>
      <c r="E1927" s="195"/>
      <c r="F1927" s="157"/>
      <c r="G1927" s="157"/>
      <c r="H1927" s="157"/>
      <c r="I1927" s="157"/>
      <c r="J1927" s="157"/>
      <c r="K1927" s="157"/>
      <c r="L1927" s="157"/>
      <c r="M1927" s="523"/>
      <c r="N1927" s="157"/>
      <c r="O1927" s="157"/>
    </row>
    <row r="1928" spans="3:15" ht="15" customHeight="1">
      <c r="C1928" s="498"/>
      <c r="D1928" s="256"/>
      <c r="E1928" s="195"/>
      <c r="F1928" s="157"/>
      <c r="G1928" s="157"/>
      <c r="H1928" s="157"/>
      <c r="I1928" s="157"/>
      <c r="J1928" s="157"/>
      <c r="K1928" s="157"/>
      <c r="L1928" s="157"/>
      <c r="M1928" s="523"/>
      <c r="N1928" s="157"/>
      <c r="O1928" s="157"/>
    </row>
    <row r="1929" spans="3:15" ht="15" customHeight="1">
      <c r="C1929" s="498"/>
      <c r="D1929" s="256"/>
      <c r="E1929" s="195"/>
      <c r="F1929" s="157"/>
      <c r="G1929" s="157"/>
      <c r="H1929" s="157"/>
      <c r="I1929" s="157"/>
      <c r="J1929" s="157"/>
      <c r="K1929" s="157"/>
      <c r="L1929" s="157"/>
      <c r="M1929" s="523"/>
      <c r="N1929" s="157"/>
      <c r="O1929" s="157"/>
    </row>
    <row r="1930" spans="3:15" ht="15" customHeight="1">
      <c r="C1930" s="498"/>
      <c r="D1930" s="256"/>
      <c r="E1930" s="195"/>
      <c r="F1930" s="157"/>
      <c r="G1930" s="157"/>
      <c r="H1930" s="157"/>
      <c r="I1930" s="157"/>
      <c r="J1930" s="157"/>
      <c r="K1930" s="157"/>
      <c r="L1930" s="157"/>
      <c r="M1930" s="523"/>
      <c r="N1930" s="157"/>
      <c r="O1930" s="157"/>
    </row>
    <row r="1931" spans="3:15" ht="15" customHeight="1">
      <c r="C1931" s="498"/>
      <c r="D1931" s="256"/>
      <c r="E1931" s="195"/>
      <c r="F1931" s="157"/>
      <c r="G1931" s="157"/>
      <c r="H1931" s="157"/>
      <c r="I1931" s="157"/>
      <c r="J1931" s="157"/>
      <c r="K1931" s="157"/>
      <c r="L1931" s="157"/>
      <c r="M1931" s="523"/>
      <c r="N1931" s="157"/>
      <c r="O1931" s="157"/>
    </row>
    <row r="1932" spans="3:15" ht="15" customHeight="1">
      <c r="C1932" s="498"/>
      <c r="D1932" s="256"/>
      <c r="E1932" s="195"/>
      <c r="F1932" s="157"/>
      <c r="G1932" s="157"/>
      <c r="H1932" s="157"/>
      <c r="I1932" s="157"/>
      <c r="J1932" s="157"/>
      <c r="K1932" s="157"/>
      <c r="L1932" s="157"/>
      <c r="M1932" s="523"/>
      <c r="N1932" s="157"/>
      <c r="O1932" s="157"/>
    </row>
    <row r="1933" spans="3:15" ht="15" customHeight="1">
      <c r="C1933" s="498"/>
      <c r="D1933" s="256"/>
      <c r="E1933" s="195"/>
      <c r="F1933" s="157"/>
      <c r="G1933" s="157"/>
      <c r="H1933" s="157"/>
      <c r="I1933" s="157"/>
      <c r="J1933" s="157"/>
      <c r="K1933" s="157"/>
      <c r="L1933" s="157"/>
      <c r="M1933" s="523"/>
      <c r="N1933" s="157"/>
      <c r="O1933" s="157"/>
    </row>
    <row r="1934" spans="3:15" ht="15" customHeight="1">
      <c r="C1934" s="498"/>
      <c r="D1934" s="256"/>
      <c r="E1934" s="195"/>
      <c r="F1934" s="157"/>
      <c r="G1934" s="157"/>
      <c r="H1934" s="157"/>
      <c r="I1934" s="157"/>
      <c r="J1934" s="157"/>
      <c r="K1934" s="157"/>
      <c r="L1934" s="157"/>
      <c r="M1934" s="523"/>
      <c r="N1934" s="157"/>
      <c r="O1934" s="157"/>
    </row>
    <row r="1935" spans="3:15" ht="15" customHeight="1">
      <c r="C1935" s="498"/>
      <c r="D1935" s="256"/>
      <c r="E1935" s="195"/>
      <c r="F1935" s="157"/>
      <c r="G1935" s="157"/>
      <c r="H1935" s="157"/>
      <c r="I1935" s="157"/>
      <c r="J1935" s="157"/>
      <c r="K1935" s="157"/>
      <c r="L1935" s="157"/>
      <c r="M1935" s="523"/>
      <c r="N1935" s="157"/>
      <c r="O1935" s="157"/>
    </row>
    <row r="1936" spans="3:15" ht="15" customHeight="1">
      <c r="C1936" s="498"/>
      <c r="D1936" s="256"/>
      <c r="E1936" s="195"/>
      <c r="F1936" s="157"/>
      <c r="G1936" s="157"/>
      <c r="H1936" s="157"/>
      <c r="I1936" s="157"/>
      <c r="J1936" s="157"/>
      <c r="K1936" s="157"/>
      <c r="L1936" s="157"/>
      <c r="M1936" s="523"/>
      <c r="N1936" s="157"/>
      <c r="O1936" s="157"/>
    </row>
    <row r="1937" spans="3:15" ht="15" customHeight="1">
      <c r="C1937" s="498"/>
      <c r="D1937" s="256"/>
      <c r="E1937" s="195"/>
      <c r="F1937" s="157"/>
      <c r="G1937" s="157"/>
      <c r="H1937" s="157"/>
      <c r="I1937" s="157"/>
      <c r="J1937" s="157"/>
      <c r="K1937" s="157"/>
      <c r="L1937" s="157"/>
      <c r="M1937" s="523"/>
      <c r="N1937" s="157"/>
      <c r="O1937" s="157"/>
    </row>
    <row r="1938" spans="3:15" ht="15" customHeight="1">
      <c r="C1938" s="498"/>
      <c r="D1938" s="256"/>
      <c r="E1938" s="195"/>
      <c r="F1938" s="157"/>
      <c r="G1938" s="157"/>
      <c r="H1938" s="157"/>
      <c r="I1938" s="157"/>
      <c r="J1938" s="157"/>
      <c r="K1938" s="157"/>
      <c r="L1938" s="157"/>
      <c r="M1938" s="523"/>
      <c r="N1938" s="157"/>
      <c r="O1938" s="157"/>
    </row>
    <row r="1939" spans="3:15" ht="15" customHeight="1">
      <c r="C1939" s="498"/>
      <c r="D1939" s="256"/>
      <c r="E1939" s="195"/>
      <c r="F1939" s="157"/>
      <c r="G1939" s="157"/>
      <c r="H1939" s="157"/>
      <c r="I1939" s="157"/>
      <c r="J1939" s="157"/>
      <c r="K1939" s="157"/>
      <c r="L1939" s="157"/>
      <c r="M1939" s="523"/>
      <c r="N1939" s="157"/>
      <c r="O1939" s="157"/>
    </row>
    <row r="1940" spans="3:15" ht="15" customHeight="1">
      <c r="C1940" s="498"/>
      <c r="D1940" s="256"/>
      <c r="E1940" s="195"/>
      <c r="F1940" s="157"/>
      <c r="G1940" s="157"/>
      <c r="H1940" s="157"/>
      <c r="I1940" s="157"/>
      <c r="J1940" s="157"/>
      <c r="K1940" s="157"/>
      <c r="L1940" s="157"/>
      <c r="M1940" s="523"/>
      <c r="N1940" s="157"/>
      <c r="O1940" s="157"/>
    </row>
    <row r="1941" spans="3:15" ht="15" customHeight="1">
      <c r="C1941" s="498"/>
      <c r="D1941" s="256"/>
      <c r="E1941" s="195"/>
      <c r="F1941" s="157"/>
      <c r="G1941" s="157"/>
      <c r="H1941" s="157"/>
      <c r="I1941" s="157"/>
      <c r="J1941" s="157"/>
      <c r="K1941" s="157"/>
      <c r="L1941" s="157"/>
      <c r="M1941" s="523"/>
      <c r="N1941" s="157"/>
      <c r="O1941" s="157"/>
    </row>
    <row r="1942" spans="3:15" ht="15" customHeight="1">
      <c r="C1942" s="498"/>
      <c r="D1942" s="256"/>
      <c r="E1942" s="195"/>
      <c r="F1942" s="157"/>
      <c r="G1942" s="157"/>
      <c r="H1942" s="157"/>
      <c r="I1942" s="157"/>
      <c r="J1942" s="157"/>
      <c r="K1942" s="157"/>
      <c r="L1942" s="157"/>
      <c r="M1942" s="523"/>
      <c r="N1942" s="157"/>
      <c r="O1942" s="157"/>
    </row>
    <row r="1943" spans="3:15" ht="15" customHeight="1">
      <c r="C1943" s="498"/>
      <c r="D1943" s="256"/>
      <c r="E1943" s="195"/>
      <c r="F1943" s="157"/>
      <c r="G1943" s="157"/>
      <c r="H1943" s="157"/>
      <c r="I1943" s="157"/>
      <c r="J1943" s="157"/>
      <c r="K1943" s="157"/>
      <c r="L1943" s="157"/>
      <c r="M1943" s="523"/>
      <c r="N1943" s="157"/>
      <c r="O1943" s="157"/>
    </row>
    <row r="1944" spans="3:15" ht="15" customHeight="1">
      <c r="C1944" s="498"/>
      <c r="D1944" s="256"/>
      <c r="E1944" s="195"/>
      <c r="F1944" s="157"/>
      <c r="G1944" s="157"/>
      <c r="H1944" s="157"/>
      <c r="I1944" s="157"/>
      <c r="J1944" s="157"/>
      <c r="K1944" s="157"/>
      <c r="L1944" s="157"/>
      <c r="M1944" s="523"/>
      <c r="N1944" s="157"/>
      <c r="O1944" s="157"/>
    </row>
    <row r="1945" spans="3:15" ht="15" customHeight="1">
      <c r="C1945" s="498"/>
      <c r="D1945" s="256"/>
      <c r="E1945" s="195"/>
      <c r="F1945" s="157"/>
      <c r="G1945" s="157"/>
      <c r="H1945" s="157"/>
      <c r="I1945" s="157"/>
      <c r="J1945" s="157"/>
      <c r="K1945" s="157"/>
      <c r="L1945" s="157"/>
      <c r="M1945" s="523"/>
      <c r="N1945" s="157"/>
      <c r="O1945" s="157"/>
    </row>
    <row r="1946" spans="3:15" ht="15" customHeight="1">
      <c r="C1946" s="498"/>
      <c r="D1946" s="256"/>
      <c r="E1946" s="195"/>
      <c r="F1946" s="157"/>
      <c r="G1946" s="157"/>
      <c r="H1946" s="157"/>
      <c r="I1946" s="157"/>
      <c r="J1946" s="157"/>
      <c r="K1946" s="157"/>
      <c r="L1946" s="157"/>
      <c r="M1946" s="523"/>
      <c r="N1946" s="157"/>
      <c r="O1946" s="157"/>
    </row>
    <row r="1947" spans="3:15" ht="15" customHeight="1">
      <c r="C1947" s="498"/>
      <c r="D1947" s="256"/>
      <c r="E1947" s="195"/>
      <c r="F1947" s="157"/>
      <c r="G1947" s="157"/>
      <c r="H1947" s="157"/>
      <c r="I1947" s="157"/>
      <c r="J1947" s="157"/>
      <c r="K1947" s="157"/>
      <c r="L1947" s="157"/>
      <c r="M1947" s="523"/>
      <c r="N1947" s="157"/>
      <c r="O1947" s="157"/>
    </row>
    <row r="1948" spans="3:15" ht="15" customHeight="1">
      <c r="C1948" s="498"/>
      <c r="D1948" s="256"/>
      <c r="E1948" s="195"/>
      <c r="F1948" s="157"/>
      <c r="G1948" s="157"/>
      <c r="H1948" s="157"/>
      <c r="I1948" s="157"/>
      <c r="J1948" s="157"/>
      <c r="K1948" s="157"/>
      <c r="L1948" s="157"/>
      <c r="M1948" s="523"/>
      <c r="N1948" s="157"/>
      <c r="O1948" s="157"/>
    </row>
    <row r="1949" spans="3:15" ht="15" customHeight="1">
      <c r="C1949" s="498"/>
      <c r="D1949" s="256"/>
      <c r="E1949" s="195"/>
      <c r="F1949" s="157"/>
      <c r="G1949" s="157"/>
      <c r="H1949" s="157"/>
      <c r="I1949" s="157"/>
      <c r="J1949" s="157"/>
      <c r="K1949" s="157"/>
      <c r="L1949" s="157"/>
      <c r="M1949" s="523"/>
      <c r="N1949" s="157"/>
      <c r="O1949" s="157"/>
    </row>
    <row r="1950" spans="3:15" ht="15" customHeight="1">
      <c r="C1950" s="498"/>
      <c r="D1950" s="256"/>
      <c r="E1950" s="195"/>
      <c r="F1950" s="157"/>
      <c r="G1950" s="157"/>
      <c r="H1950" s="157"/>
      <c r="I1950" s="157"/>
      <c r="J1950" s="157"/>
      <c r="K1950" s="157"/>
      <c r="L1950" s="157"/>
      <c r="M1950" s="523"/>
      <c r="N1950" s="157"/>
      <c r="O1950" s="157"/>
    </row>
    <row r="1951" spans="3:15" ht="15" customHeight="1">
      <c r="C1951" s="498"/>
      <c r="D1951" s="256"/>
      <c r="E1951" s="195"/>
      <c r="F1951" s="157"/>
      <c r="G1951" s="157"/>
      <c r="H1951" s="157"/>
      <c r="I1951" s="157"/>
      <c r="J1951" s="157"/>
      <c r="K1951" s="157"/>
      <c r="L1951" s="157"/>
      <c r="M1951" s="523"/>
      <c r="N1951" s="157"/>
      <c r="O1951" s="157"/>
    </row>
    <row r="1952" spans="3:15" ht="15" customHeight="1">
      <c r="C1952" s="498"/>
      <c r="D1952" s="256"/>
      <c r="E1952" s="195"/>
      <c r="F1952" s="157"/>
      <c r="G1952" s="157"/>
      <c r="H1952" s="157"/>
      <c r="I1952" s="157"/>
      <c r="J1952" s="157"/>
      <c r="K1952" s="157"/>
      <c r="L1952" s="157"/>
      <c r="M1952" s="523"/>
      <c r="N1952" s="157"/>
      <c r="O1952" s="157"/>
    </row>
    <row r="1953" spans="3:15" ht="15" customHeight="1">
      <c r="C1953" s="498"/>
      <c r="D1953" s="256"/>
      <c r="E1953" s="195"/>
      <c r="F1953" s="157"/>
      <c r="G1953" s="157"/>
      <c r="H1953" s="157"/>
      <c r="I1953" s="157"/>
      <c r="J1953" s="157"/>
      <c r="K1953" s="157"/>
      <c r="L1953" s="157"/>
      <c r="M1953" s="523"/>
      <c r="N1953" s="157"/>
      <c r="O1953" s="157"/>
    </row>
    <row r="1954" spans="3:15" ht="15" customHeight="1">
      <c r="C1954" s="498"/>
      <c r="D1954" s="256"/>
      <c r="E1954" s="195"/>
      <c r="F1954" s="157"/>
      <c r="G1954" s="157"/>
      <c r="H1954" s="157"/>
      <c r="I1954" s="157"/>
      <c r="J1954" s="157"/>
      <c r="K1954" s="157"/>
      <c r="L1954" s="157"/>
      <c r="M1954" s="523"/>
      <c r="N1954" s="157"/>
      <c r="O1954" s="157"/>
    </row>
    <row r="1955" spans="3:15" ht="15" customHeight="1">
      <c r="C1955" s="498"/>
      <c r="D1955" s="256"/>
      <c r="E1955" s="195"/>
      <c r="F1955" s="157"/>
      <c r="G1955" s="157"/>
      <c r="H1955" s="157"/>
      <c r="I1955" s="157"/>
      <c r="J1955" s="157"/>
      <c r="K1955" s="157"/>
      <c r="L1955" s="157"/>
      <c r="M1955" s="523"/>
      <c r="N1955" s="157"/>
      <c r="O1955" s="157"/>
    </row>
    <row r="1956" spans="3:15" ht="15" customHeight="1">
      <c r="C1956" s="498"/>
      <c r="D1956" s="256"/>
      <c r="E1956" s="195"/>
      <c r="F1956" s="157"/>
      <c r="G1956" s="157"/>
      <c r="H1956" s="157"/>
      <c r="I1956" s="157"/>
      <c r="J1956" s="157"/>
      <c r="K1956" s="157"/>
      <c r="L1956" s="157"/>
      <c r="M1956" s="523"/>
      <c r="N1956" s="157"/>
      <c r="O1956" s="157"/>
    </row>
    <row r="1957" spans="3:15" ht="15" customHeight="1">
      <c r="C1957" s="498"/>
      <c r="D1957" s="256"/>
      <c r="E1957" s="195"/>
      <c r="F1957" s="157"/>
      <c r="G1957" s="157"/>
      <c r="H1957" s="157"/>
      <c r="I1957" s="157"/>
      <c r="J1957" s="157"/>
      <c r="K1957" s="157"/>
      <c r="L1957" s="157"/>
      <c r="M1957" s="523"/>
      <c r="N1957" s="157"/>
      <c r="O1957" s="157"/>
    </row>
    <row r="1958" spans="3:15" ht="15" customHeight="1">
      <c r="C1958" s="498"/>
      <c r="D1958" s="256"/>
      <c r="E1958" s="195"/>
      <c r="F1958" s="157"/>
      <c r="G1958" s="157"/>
      <c r="H1958" s="157"/>
      <c r="I1958" s="157"/>
      <c r="J1958" s="157"/>
      <c r="K1958" s="157"/>
      <c r="L1958" s="157"/>
      <c r="M1958" s="523"/>
      <c r="N1958" s="157"/>
      <c r="O1958" s="157"/>
    </row>
    <row r="1959" spans="3:15" ht="15" customHeight="1">
      <c r="C1959" s="498"/>
      <c r="D1959" s="256"/>
      <c r="E1959" s="195"/>
      <c r="F1959" s="157"/>
      <c r="G1959" s="157"/>
      <c r="H1959" s="157"/>
      <c r="I1959" s="157"/>
      <c r="J1959" s="157"/>
      <c r="K1959" s="157"/>
      <c r="L1959" s="157"/>
      <c r="M1959" s="523"/>
      <c r="N1959" s="157"/>
      <c r="O1959" s="157"/>
    </row>
    <row r="1960" spans="3:15" ht="15" customHeight="1">
      <c r="C1960" s="498"/>
      <c r="D1960" s="256"/>
      <c r="E1960" s="195"/>
      <c r="F1960" s="157"/>
      <c r="G1960" s="157"/>
      <c r="H1960" s="157"/>
      <c r="I1960" s="157"/>
      <c r="J1960" s="157"/>
      <c r="K1960" s="157"/>
      <c r="L1960" s="157"/>
      <c r="M1960" s="523"/>
      <c r="N1960" s="157"/>
      <c r="O1960" s="157"/>
    </row>
    <row r="1961" spans="3:15" ht="15" customHeight="1">
      <c r="C1961" s="498"/>
      <c r="D1961" s="256"/>
      <c r="E1961" s="195"/>
      <c r="F1961" s="157"/>
      <c r="G1961" s="157"/>
      <c r="H1961" s="157"/>
      <c r="I1961" s="157"/>
      <c r="J1961" s="157"/>
      <c r="K1961" s="157"/>
      <c r="L1961" s="157"/>
      <c r="M1961" s="523"/>
      <c r="N1961" s="157"/>
      <c r="O1961" s="157"/>
    </row>
    <row r="1962" spans="3:15" ht="15" customHeight="1">
      <c r="C1962" s="498"/>
      <c r="D1962" s="256"/>
      <c r="E1962" s="195"/>
      <c r="F1962" s="157"/>
      <c r="G1962" s="157"/>
      <c r="H1962" s="157"/>
      <c r="I1962" s="157"/>
      <c r="J1962" s="157"/>
      <c r="K1962" s="157"/>
      <c r="L1962" s="157"/>
      <c r="M1962" s="523"/>
      <c r="N1962" s="157"/>
      <c r="O1962" s="157"/>
    </row>
    <row r="1963" spans="3:15" ht="15" customHeight="1">
      <c r="C1963" s="498"/>
      <c r="D1963" s="256"/>
      <c r="E1963" s="195"/>
      <c r="F1963" s="157"/>
      <c r="G1963" s="157"/>
      <c r="H1963" s="157"/>
      <c r="I1963" s="157"/>
      <c r="J1963" s="157"/>
      <c r="K1963" s="157"/>
      <c r="L1963" s="157"/>
      <c r="M1963" s="523"/>
      <c r="N1963" s="157"/>
      <c r="O1963" s="157"/>
    </row>
    <row r="1964" spans="3:15" ht="15" customHeight="1">
      <c r="C1964" s="498"/>
      <c r="D1964" s="256"/>
      <c r="E1964" s="195"/>
      <c r="F1964" s="157"/>
      <c r="G1964" s="157"/>
      <c r="H1964" s="157"/>
      <c r="I1964" s="157"/>
      <c r="J1964" s="157"/>
      <c r="K1964" s="157"/>
      <c r="L1964" s="157"/>
      <c r="M1964" s="523"/>
      <c r="N1964" s="157"/>
      <c r="O1964" s="157"/>
    </row>
    <row r="1965" spans="3:15" ht="15" customHeight="1">
      <c r="C1965" s="498"/>
      <c r="D1965" s="256"/>
      <c r="E1965" s="195"/>
      <c r="F1965" s="157"/>
      <c r="G1965" s="157"/>
      <c r="H1965" s="157"/>
      <c r="I1965" s="157"/>
      <c r="J1965" s="157"/>
      <c r="K1965" s="157"/>
      <c r="L1965" s="157"/>
      <c r="M1965" s="523"/>
      <c r="N1965" s="157"/>
      <c r="O1965" s="157"/>
    </row>
    <row r="1966" spans="3:15" ht="15" customHeight="1">
      <c r="C1966" s="498"/>
      <c r="D1966" s="256"/>
      <c r="E1966" s="195"/>
      <c r="F1966" s="157"/>
      <c r="G1966" s="157"/>
      <c r="H1966" s="157"/>
      <c r="I1966" s="157"/>
      <c r="J1966" s="157"/>
      <c r="K1966" s="157"/>
      <c r="L1966" s="157"/>
      <c r="M1966" s="523"/>
      <c r="N1966" s="157"/>
      <c r="O1966" s="157"/>
    </row>
    <row r="1967" spans="3:15" ht="15" customHeight="1">
      <c r="C1967" s="498"/>
      <c r="D1967" s="256"/>
      <c r="E1967" s="195"/>
      <c r="F1967" s="157"/>
      <c r="G1967" s="157"/>
      <c r="H1967" s="157"/>
      <c r="I1967" s="157"/>
      <c r="J1967" s="157"/>
      <c r="K1967" s="157"/>
      <c r="L1967" s="157"/>
      <c r="M1967" s="523"/>
      <c r="N1967" s="157"/>
      <c r="O1967" s="157"/>
    </row>
    <row r="1968" spans="3:15" ht="15" customHeight="1">
      <c r="C1968" s="498"/>
      <c r="D1968" s="256"/>
      <c r="E1968" s="195"/>
      <c r="F1968" s="157"/>
      <c r="G1968" s="157"/>
      <c r="H1968" s="157"/>
      <c r="I1968" s="157"/>
      <c r="J1968" s="157"/>
      <c r="K1968" s="157"/>
      <c r="L1968" s="157"/>
      <c r="M1968" s="523"/>
      <c r="N1968" s="157"/>
      <c r="O1968" s="157"/>
    </row>
    <row r="1969" spans="3:15" ht="15" customHeight="1">
      <c r="C1969" s="498"/>
      <c r="D1969" s="256"/>
      <c r="E1969" s="195"/>
      <c r="F1969" s="157"/>
      <c r="G1969" s="157"/>
      <c r="H1969" s="157"/>
      <c r="I1969" s="157"/>
      <c r="J1969" s="157"/>
      <c r="K1969" s="157"/>
      <c r="L1969" s="157"/>
      <c r="M1969" s="523"/>
      <c r="N1969" s="157"/>
      <c r="O1969" s="157"/>
    </row>
    <row r="1970" spans="3:15" ht="15" customHeight="1">
      <c r="C1970" s="498"/>
      <c r="D1970" s="256"/>
      <c r="E1970" s="195"/>
      <c r="F1970" s="157"/>
      <c r="G1970" s="157"/>
      <c r="H1970" s="157"/>
      <c r="I1970" s="157"/>
      <c r="J1970" s="157"/>
      <c r="K1970" s="157"/>
      <c r="L1970" s="157"/>
      <c r="M1970" s="523"/>
      <c r="N1970" s="157"/>
      <c r="O1970" s="157"/>
    </row>
    <row r="1971" spans="3:15" ht="15" customHeight="1">
      <c r="C1971" s="498"/>
      <c r="D1971" s="256"/>
      <c r="E1971" s="195"/>
      <c r="F1971" s="157"/>
      <c r="G1971" s="157"/>
      <c r="H1971" s="157"/>
      <c r="I1971" s="157"/>
      <c r="J1971" s="157"/>
      <c r="K1971" s="157"/>
      <c r="L1971" s="157"/>
      <c r="M1971" s="523"/>
      <c r="N1971" s="157"/>
      <c r="O1971" s="157"/>
    </row>
    <row r="1972" spans="3:15" ht="15" customHeight="1">
      <c r="C1972" s="498"/>
      <c r="D1972" s="256"/>
      <c r="E1972" s="195"/>
      <c r="F1972" s="157"/>
      <c r="G1972" s="157"/>
      <c r="H1972" s="157"/>
      <c r="I1972" s="157"/>
      <c r="J1972" s="157"/>
      <c r="K1972" s="157"/>
      <c r="L1972" s="157"/>
      <c r="M1972" s="523"/>
      <c r="N1972" s="157"/>
      <c r="O1972" s="157"/>
    </row>
    <row r="1973" spans="3:15" ht="15" customHeight="1">
      <c r="C1973" s="498"/>
      <c r="D1973" s="256"/>
      <c r="E1973" s="195"/>
      <c r="F1973" s="157"/>
      <c r="G1973" s="157"/>
      <c r="H1973" s="157"/>
      <c r="I1973" s="157"/>
      <c r="J1973" s="157"/>
      <c r="K1973" s="157"/>
      <c r="L1973" s="157"/>
      <c r="M1973" s="523"/>
      <c r="N1973" s="157"/>
      <c r="O1973" s="157"/>
    </row>
    <row r="1974" spans="3:15" ht="15" customHeight="1">
      <c r="C1974" s="498"/>
      <c r="D1974" s="256"/>
      <c r="E1974" s="195"/>
      <c r="F1974" s="157"/>
      <c r="G1974" s="157"/>
      <c r="H1974" s="157"/>
      <c r="I1974" s="157"/>
      <c r="J1974" s="157"/>
      <c r="K1974" s="157"/>
      <c r="L1974" s="157"/>
      <c r="M1974" s="523"/>
      <c r="N1974" s="157"/>
      <c r="O1974" s="157"/>
    </row>
    <row r="1975" spans="3:15" ht="15" customHeight="1">
      <c r="C1975" s="498"/>
      <c r="D1975" s="256"/>
      <c r="E1975" s="195"/>
      <c r="F1975" s="157"/>
      <c r="G1975" s="157"/>
      <c r="H1975" s="157"/>
      <c r="I1975" s="157"/>
      <c r="J1975" s="157"/>
      <c r="K1975" s="157"/>
      <c r="L1975" s="157"/>
      <c r="M1975" s="523"/>
      <c r="N1975" s="157"/>
      <c r="O1975" s="157"/>
    </row>
    <row r="1976" spans="3:15" ht="15" customHeight="1">
      <c r="C1976" s="498"/>
      <c r="D1976" s="256"/>
      <c r="E1976" s="195"/>
      <c r="F1976" s="157"/>
      <c r="G1976" s="157"/>
      <c r="H1976" s="157"/>
      <c r="I1976" s="157"/>
      <c r="J1976" s="157"/>
      <c r="K1976" s="157"/>
      <c r="L1976" s="157"/>
      <c r="M1976" s="523"/>
      <c r="N1976" s="157"/>
      <c r="O1976" s="157"/>
    </row>
    <row r="1977" spans="3:15" ht="15" customHeight="1">
      <c r="C1977" s="498"/>
      <c r="D1977" s="256"/>
      <c r="E1977" s="195"/>
      <c r="F1977" s="157"/>
      <c r="G1977" s="157"/>
      <c r="H1977" s="157"/>
      <c r="I1977" s="157"/>
      <c r="J1977" s="157"/>
      <c r="K1977" s="157"/>
      <c r="L1977" s="157"/>
      <c r="M1977" s="523"/>
      <c r="N1977" s="157"/>
      <c r="O1977" s="157"/>
    </row>
    <row r="1978" spans="3:15" ht="15" customHeight="1">
      <c r="C1978" s="498"/>
      <c r="D1978" s="256"/>
      <c r="E1978" s="195"/>
      <c r="F1978" s="157"/>
      <c r="G1978" s="157"/>
      <c r="H1978" s="157"/>
      <c r="I1978" s="157"/>
      <c r="J1978" s="157"/>
      <c r="K1978" s="157"/>
      <c r="L1978" s="157"/>
      <c r="M1978" s="523"/>
      <c r="N1978" s="157"/>
      <c r="O1978" s="157"/>
    </row>
    <row r="1979" spans="3:15" ht="15" customHeight="1">
      <c r="C1979" s="498"/>
      <c r="D1979" s="256"/>
      <c r="E1979" s="195"/>
      <c r="F1979" s="157"/>
      <c r="G1979" s="157"/>
      <c r="H1979" s="157"/>
      <c r="I1979" s="157"/>
      <c r="J1979" s="157"/>
      <c r="K1979" s="157"/>
      <c r="L1979" s="157"/>
      <c r="M1979" s="523"/>
      <c r="N1979" s="157"/>
      <c r="O1979" s="157"/>
    </row>
    <row r="1980" spans="3:15" ht="15" customHeight="1">
      <c r="C1980" s="498"/>
      <c r="D1980" s="256"/>
      <c r="E1980" s="195"/>
      <c r="F1980" s="157"/>
      <c r="G1980" s="157"/>
      <c r="H1980" s="157"/>
      <c r="I1980" s="157"/>
      <c r="J1980" s="157"/>
      <c r="K1980" s="157"/>
      <c r="L1980" s="157"/>
      <c r="M1980" s="523"/>
      <c r="N1980" s="157"/>
      <c r="O1980" s="157"/>
    </row>
    <row r="1981" spans="3:15" ht="15" customHeight="1">
      <c r="C1981" s="498"/>
      <c r="D1981" s="256"/>
      <c r="E1981" s="195"/>
      <c r="F1981" s="157"/>
      <c r="G1981" s="157"/>
      <c r="H1981" s="157"/>
      <c r="I1981" s="157"/>
      <c r="J1981" s="157"/>
      <c r="K1981" s="157"/>
      <c r="L1981" s="157"/>
      <c r="M1981" s="523"/>
      <c r="N1981" s="157"/>
      <c r="O1981" s="157"/>
    </row>
    <row r="1982" spans="3:15" ht="15" customHeight="1">
      <c r="C1982" s="498"/>
      <c r="D1982" s="256"/>
      <c r="E1982" s="195"/>
      <c r="F1982" s="157"/>
      <c r="G1982" s="157"/>
      <c r="H1982" s="157"/>
      <c r="I1982" s="157"/>
      <c r="J1982" s="157"/>
      <c r="K1982" s="157"/>
      <c r="L1982" s="157"/>
      <c r="M1982" s="523"/>
      <c r="N1982" s="157"/>
      <c r="O1982" s="157"/>
    </row>
    <row r="1983" spans="3:15" ht="15" customHeight="1">
      <c r="C1983" s="498"/>
      <c r="D1983" s="256"/>
      <c r="E1983" s="195"/>
      <c r="F1983" s="157"/>
      <c r="G1983" s="157"/>
      <c r="H1983" s="157"/>
      <c r="I1983" s="157"/>
      <c r="J1983" s="157"/>
      <c r="K1983" s="157"/>
      <c r="L1983" s="157"/>
      <c r="M1983" s="523"/>
      <c r="N1983" s="157"/>
      <c r="O1983" s="157"/>
    </row>
    <row r="1984" spans="3:15" ht="15" customHeight="1">
      <c r="C1984" s="498"/>
      <c r="D1984" s="256"/>
      <c r="E1984" s="195"/>
      <c r="F1984" s="157"/>
      <c r="G1984" s="157"/>
      <c r="H1984" s="157"/>
      <c r="I1984" s="157"/>
      <c r="J1984" s="157"/>
      <c r="K1984" s="157"/>
      <c r="L1984" s="157"/>
      <c r="M1984" s="523"/>
      <c r="N1984" s="157"/>
      <c r="O1984" s="157"/>
    </row>
    <row r="1985" spans="3:15" ht="15" customHeight="1">
      <c r="C1985" s="498"/>
      <c r="D1985" s="256"/>
      <c r="E1985" s="195"/>
      <c r="F1985" s="157"/>
      <c r="G1985" s="157"/>
      <c r="H1985" s="157"/>
      <c r="I1985" s="157"/>
      <c r="J1985" s="157"/>
      <c r="K1985" s="157"/>
      <c r="L1985" s="157"/>
      <c r="M1985" s="523"/>
      <c r="N1985" s="157"/>
      <c r="O1985" s="157"/>
    </row>
    <row r="1986" spans="3:15" ht="15" customHeight="1">
      <c r="C1986" s="498"/>
      <c r="D1986" s="256"/>
      <c r="E1986" s="195"/>
      <c r="F1986" s="157"/>
      <c r="G1986" s="157"/>
      <c r="H1986" s="157"/>
      <c r="I1986" s="157"/>
      <c r="J1986" s="157"/>
      <c r="K1986" s="157"/>
      <c r="L1986" s="157"/>
      <c r="M1986" s="523"/>
      <c r="N1986" s="157"/>
      <c r="O1986" s="157"/>
    </row>
    <row r="1987" spans="3:15" ht="15" customHeight="1">
      <c r="C1987" s="498"/>
      <c r="D1987" s="256"/>
      <c r="E1987" s="195"/>
      <c r="F1987" s="157"/>
      <c r="G1987" s="157"/>
      <c r="H1987" s="157"/>
      <c r="I1987" s="157"/>
      <c r="J1987" s="157"/>
      <c r="K1987" s="157"/>
      <c r="L1987" s="157"/>
      <c r="M1987" s="523"/>
      <c r="N1987" s="157"/>
      <c r="O1987" s="157"/>
    </row>
    <row r="1988" spans="3:15" ht="15" customHeight="1">
      <c r="C1988" s="498"/>
      <c r="D1988" s="256"/>
      <c r="E1988" s="195"/>
      <c r="F1988" s="157"/>
      <c r="G1988" s="157"/>
      <c r="H1988" s="157"/>
      <c r="I1988" s="157"/>
      <c r="J1988" s="157"/>
      <c r="K1988" s="157"/>
      <c r="L1988" s="157"/>
      <c r="M1988" s="523"/>
      <c r="N1988" s="157"/>
      <c r="O1988" s="157"/>
    </row>
    <row r="1989" spans="3:15" ht="15" customHeight="1">
      <c r="C1989" s="498"/>
      <c r="D1989" s="256"/>
      <c r="E1989" s="195"/>
      <c r="F1989" s="157"/>
      <c r="G1989" s="157"/>
      <c r="H1989" s="157"/>
      <c r="I1989" s="157"/>
      <c r="J1989" s="157"/>
      <c r="K1989" s="157"/>
      <c r="L1989" s="157"/>
      <c r="M1989" s="523"/>
      <c r="N1989" s="157"/>
      <c r="O1989" s="157"/>
    </row>
    <row r="1990" spans="3:15" ht="15" customHeight="1">
      <c r="C1990" s="498"/>
      <c r="D1990" s="256"/>
      <c r="E1990" s="195"/>
      <c r="F1990" s="157"/>
      <c r="G1990" s="157"/>
      <c r="H1990" s="157"/>
      <c r="I1990" s="157"/>
      <c r="J1990" s="157"/>
      <c r="K1990" s="157"/>
      <c r="L1990" s="157"/>
      <c r="M1990" s="523"/>
      <c r="N1990" s="157"/>
      <c r="O1990" s="157"/>
    </row>
    <row r="1991" spans="3:15" ht="15" customHeight="1">
      <c r="C1991" s="498"/>
      <c r="D1991" s="256"/>
      <c r="E1991" s="195"/>
      <c r="F1991" s="157"/>
      <c r="G1991" s="157"/>
      <c r="H1991" s="157"/>
      <c r="I1991" s="157"/>
      <c r="J1991" s="157"/>
      <c r="K1991" s="157"/>
      <c r="L1991" s="157"/>
      <c r="M1991" s="523"/>
      <c r="N1991" s="157"/>
      <c r="O1991" s="157"/>
    </row>
    <row r="1992" spans="3:15" ht="15" customHeight="1">
      <c r="C1992" s="498"/>
      <c r="D1992" s="256"/>
      <c r="E1992" s="195"/>
      <c r="F1992" s="157"/>
      <c r="G1992" s="157"/>
      <c r="H1992" s="157"/>
      <c r="I1992" s="157"/>
      <c r="J1992" s="157"/>
      <c r="K1992" s="157"/>
      <c r="L1992" s="157"/>
      <c r="M1992" s="523"/>
      <c r="N1992" s="157"/>
      <c r="O1992" s="157"/>
    </row>
    <row r="1993" spans="3:15" ht="15" customHeight="1">
      <c r="C1993" s="498"/>
      <c r="D1993" s="256"/>
      <c r="E1993" s="195"/>
      <c r="F1993" s="157"/>
      <c r="G1993" s="157"/>
      <c r="H1993" s="157"/>
      <c r="I1993" s="157"/>
      <c r="J1993" s="157"/>
      <c r="K1993" s="157"/>
      <c r="L1993" s="157"/>
      <c r="M1993" s="523"/>
      <c r="N1993" s="157"/>
      <c r="O1993" s="157"/>
    </row>
    <row r="1994" spans="3:15" ht="15" customHeight="1">
      <c r="C1994" s="498"/>
      <c r="D1994" s="256"/>
      <c r="E1994" s="195"/>
      <c r="F1994" s="157"/>
      <c r="G1994" s="157"/>
      <c r="H1994" s="157"/>
      <c r="I1994" s="157"/>
      <c r="J1994" s="157"/>
      <c r="K1994" s="157"/>
      <c r="L1994" s="157"/>
      <c r="M1994" s="523"/>
      <c r="N1994" s="157"/>
      <c r="O1994" s="157"/>
    </row>
    <row r="1995" spans="3:15" ht="15" customHeight="1">
      <c r="C1995" s="498"/>
      <c r="D1995" s="256"/>
      <c r="E1995" s="195"/>
      <c r="F1995" s="157"/>
      <c r="G1995" s="157"/>
      <c r="H1995" s="157"/>
      <c r="I1995" s="157"/>
      <c r="J1995" s="157"/>
      <c r="K1995" s="157"/>
      <c r="L1995" s="157"/>
      <c r="M1995" s="523"/>
      <c r="N1995" s="157"/>
      <c r="O1995" s="157"/>
    </row>
    <row r="1996" spans="3:15" ht="15" customHeight="1">
      <c r="C1996" s="498"/>
      <c r="D1996" s="256"/>
      <c r="E1996" s="195"/>
      <c r="F1996" s="157"/>
      <c r="G1996" s="157"/>
      <c r="H1996" s="157"/>
      <c r="I1996" s="157"/>
      <c r="J1996" s="157"/>
      <c r="K1996" s="157"/>
      <c r="L1996" s="157"/>
      <c r="M1996" s="523"/>
      <c r="N1996" s="157"/>
      <c r="O1996" s="157"/>
    </row>
    <row r="1997" spans="3:15" ht="15" customHeight="1">
      <c r="C1997" s="498"/>
      <c r="D1997" s="256"/>
      <c r="E1997" s="195"/>
      <c r="F1997" s="157"/>
      <c r="G1997" s="157"/>
      <c r="H1997" s="157"/>
      <c r="I1997" s="157"/>
      <c r="J1997" s="157"/>
      <c r="K1997" s="157"/>
      <c r="L1997" s="157"/>
      <c r="M1997" s="523"/>
      <c r="N1997" s="157"/>
      <c r="O1997" s="157"/>
    </row>
    <row r="1998" spans="3:15" ht="15" customHeight="1">
      <c r="C1998" s="498"/>
      <c r="D1998" s="256"/>
      <c r="E1998" s="195"/>
      <c r="F1998" s="157"/>
      <c r="G1998" s="157"/>
      <c r="H1998" s="157"/>
      <c r="I1998" s="157"/>
      <c r="J1998" s="157"/>
      <c r="K1998" s="157"/>
      <c r="L1998" s="157"/>
      <c r="M1998" s="523"/>
      <c r="N1998" s="157"/>
      <c r="O1998" s="157"/>
    </row>
    <row r="1999" spans="3:15" ht="15" customHeight="1">
      <c r="C1999" s="498"/>
      <c r="D1999" s="256"/>
      <c r="E1999" s="195"/>
      <c r="F1999" s="157"/>
      <c r="G1999" s="157"/>
      <c r="H1999" s="157"/>
      <c r="I1999" s="157"/>
      <c r="J1999" s="157"/>
      <c r="K1999" s="157"/>
      <c r="L1999" s="157"/>
      <c r="M1999" s="523"/>
      <c r="N1999" s="157"/>
      <c r="O1999" s="157"/>
    </row>
    <row r="2000" spans="3:15" ht="15" customHeight="1">
      <c r="C2000" s="498"/>
      <c r="D2000" s="256"/>
      <c r="E2000" s="195"/>
      <c r="F2000" s="157"/>
      <c r="G2000" s="157"/>
      <c r="H2000" s="157"/>
      <c r="I2000" s="157"/>
      <c r="J2000" s="157"/>
      <c r="K2000" s="157"/>
      <c r="L2000" s="157"/>
      <c r="M2000" s="523"/>
      <c r="N2000" s="157"/>
      <c r="O2000" s="157"/>
    </row>
    <row r="2001" spans="3:15" ht="15" customHeight="1">
      <c r="C2001" s="498"/>
      <c r="D2001" s="256"/>
      <c r="E2001" s="195"/>
      <c r="F2001" s="157"/>
      <c r="G2001" s="157"/>
      <c r="H2001" s="157"/>
      <c r="I2001" s="157"/>
      <c r="J2001" s="157"/>
      <c r="K2001" s="157"/>
      <c r="L2001" s="157"/>
      <c r="M2001" s="523"/>
      <c r="N2001" s="157"/>
      <c r="O2001" s="157"/>
    </row>
    <row r="2002" spans="3:15" ht="15" customHeight="1">
      <c r="C2002" s="498"/>
      <c r="D2002" s="256"/>
      <c r="E2002" s="195"/>
      <c r="F2002" s="157"/>
      <c r="G2002" s="157"/>
      <c r="H2002" s="157"/>
      <c r="I2002" s="157"/>
      <c r="J2002" s="157"/>
      <c r="K2002" s="157"/>
      <c r="L2002" s="157"/>
      <c r="M2002" s="523"/>
      <c r="N2002" s="157"/>
      <c r="O2002" s="157"/>
    </row>
    <row r="2003" spans="3:15" ht="15" customHeight="1">
      <c r="C2003" s="498"/>
      <c r="D2003" s="256"/>
      <c r="E2003" s="195"/>
      <c r="F2003" s="157"/>
      <c r="G2003" s="157"/>
      <c r="H2003" s="157"/>
      <c r="I2003" s="157"/>
      <c r="J2003" s="157"/>
      <c r="K2003" s="157"/>
      <c r="L2003" s="157"/>
      <c r="M2003" s="523"/>
      <c r="N2003" s="157"/>
      <c r="O2003" s="157"/>
    </row>
    <row r="2004" spans="3:15" ht="15" customHeight="1">
      <c r="C2004" s="498"/>
      <c r="D2004" s="256"/>
      <c r="E2004" s="195"/>
      <c r="F2004" s="157"/>
      <c r="G2004" s="157"/>
      <c r="H2004" s="157"/>
      <c r="I2004" s="157"/>
      <c r="J2004" s="157"/>
      <c r="K2004" s="157"/>
      <c r="L2004" s="157"/>
      <c r="M2004" s="523"/>
      <c r="N2004" s="157"/>
      <c r="O2004" s="157"/>
    </row>
    <row r="2005" spans="3:15" ht="15" customHeight="1">
      <c r="C2005" s="498"/>
      <c r="D2005" s="256"/>
      <c r="E2005" s="195"/>
      <c r="F2005" s="157"/>
      <c r="G2005" s="157"/>
      <c r="H2005" s="157"/>
      <c r="I2005" s="157"/>
      <c r="J2005" s="157"/>
      <c r="K2005" s="157"/>
      <c r="L2005" s="157"/>
      <c r="M2005" s="523"/>
      <c r="N2005" s="157"/>
      <c r="O2005" s="157"/>
    </row>
    <row r="2006" spans="3:15" ht="15" customHeight="1">
      <c r="C2006" s="498"/>
      <c r="D2006" s="256"/>
      <c r="E2006" s="195"/>
      <c r="F2006" s="157"/>
      <c r="G2006" s="157"/>
      <c r="H2006" s="157"/>
      <c r="I2006" s="157"/>
      <c r="J2006" s="157"/>
      <c r="K2006" s="157"/>
      <c r="L2006" s="157"/>
      <c r="M2006" s="523"/>
      <c r="N2006" s="157"/>
      <c r="O2006" s="157"/>
    </row>
    <row r="2007" spans="3:15" ht="15" customHeight="1">
      <c r="C2007" s="498"/>
      <c r="D2007" s="256"/>
      <c r="E2007" s="195"/>
      <c r="F2007" s="157"/>
      <c r="G2007" s="157"/>
      <c r="H2007" s="157"/>
      <c r="I2007" s="157"/>
      <c r="J2007" s="157"/>
      <c r="K2007" s="157"/>
      <c r="L2007" s="157"/>
      <c r="M2007" s="523"/>
      <c r="N2007" s="157"/>
      <c r="O2007" s="157"/>
    </row>
    <row r="2008" spans="3:15" ht="15" customHeight="1">
      <c r="C2008" s="498"/>
      <c r="D2008" s="256"/>
      <c r="E2008" s="195"/>
      <c r="F2008" s="157"/>
      <c r="G2008" s="157"/>
      <c r="H2008" s="157"/>
      <c r="I2008" s="157"/>
      <c r="J2008" s="157"/>
      <c r="K2008" s="157"/>
      <c r="L2008" s="157"/>
      <c r="M2008" s="523"/>
      <c r="N2008" s="157"/>
      <c r="O2008" s="157"/>
    </row>
    <row r="2009" spans="3:15" ht="15" customHeight="1">
      <c r="C2009" s="498"/>
      <c r="D2009" s="256"/>
      <c r="E2009" s="195"/>
      <c r="F2009" s="157"/>
      <c r="G2009" s="157"/>
      <c r="H2009" s="157"/>
      <c r="I2009" s="157"/>
      <c r="J2009" s="157"/>
      <c r="K2009" s="157"/>
      <c r="L2009" s="157"/>
      <c r="M2009" s="523"/>
      <c r="N2009" s="157"/>
      <c r="O2009" s="157"/>
    </row>
    <row r="2010" spans="3:15" ht="15" customHeight="1">
      <c r="C2010" s="498"/>
      <c r="D2010" s="256"/>
      <c r="E2010" s="195"/>
      <c r="F2010" s="157"/>
      <c r="G2010" s="157"/>
      <c r="H2010" s="157"/>
      <c r="I2010" s="157"/>
      <c r="J2010" s="157"/>
      <c r="K2010" s="157"/>
      <c r="L2010" s="157"/>
      <c r="M2010" s="523"/>
      <c r="N2010" s="157"/>
      <c r="O2010" s="157"/>
    </row>
    <row r="2011" spans="3:15" ht="15" customHeight="1">
      <c r="C2011" s="498"/>
      <c r="D2011" s="256"/>
      <c r="E2011" s="195"/>
      <c r="F2011" s="157"/>
      <c r="G2011" s="157"/>
      <c r="H2011" s="157"/>
      <c r="I2011" s="157"/>
      <c r="J2011" s="157"/>
      <c r="K2011" s="157"/>
      <c r="L2011" s="157"/>
      <c r="M2011" s="523"/>
      <c r="N2011" s="157"/>
      <c r="O2011" s="157"/>
    </row>
    <row r="2012" spans="3:15" ht="15" customHeight="1">
      <c r="C2012" s="498"/>
      <c r="D2012" s="256"/>
      <c r="E2012" s="195"/>
      <c r="F2012" s="157"/>
      <c r="G2012" s="157"/>
      <c r="H2012" s="157"/>
      <c r="I2012" s="157"/>
      <c r="J2012" s="157"/>
      <c r="K2012" s="157"/>
      <c r="L2012" s="157"/>
      <c r="M2012" s="523"/>
      <c r="N2012" s="157"/>
      <c r="O2012" s="157"/>
    </row>
    <row r="2013" spans="3:15" ht="15" customHeight="1">
      <c r="C2013" s="498"/>
      <c r="D2013" s="256"/>
      <c r="E2013" s="195"/>
      <c r="F2013" s="157"/>
      <c r="G2013" s="157"/>
      <c r="H2013" s="157"/>
      <c r="I2013" s="157"/>
      <c r="J2013" s="157"/>
      <c r="K2013" s="157"/>
      <c r="L2013" s="157"/>
      <c r="M2013" s="523"/>
      <c r="N2013" s="157"/>
      <c r="O2013" s="157"/>
    </row>
    <row r="2014" spans="3:15" ht="15" customHeight="1">
      <c r="C2014" s="498"/>
      <c r="D2014" s="256"/>
      <c r="E2014" s="195"/>
      <c r="F2014" s="157"/>
      <c r="G2014" s="157"/>
      <c r="H2014" s="157"/>
      <c r="I2014" s="157"/>
      <c r="J2014" s="157"/>
      <c r="K2014" s="157"/>
      <c r="L2014" s="157"/>
      <c r="M2014" s="523"/>
      <c r="N2014" s="157"/>
      <c r="O2014" s="157"/>
    </row>
    <row r="2015" spans="3:15" ht="15" customHeight="1">
      <c r="C2015" s="498"/>
      <c r="D2015" s="256"/>
      <c r="E2015" s="195"/>
      <c r="F2015" s="157"/>
      <c r="G2015" s="157"/>
      <c r="H2015" s="157"/>
      <c r="I2015" s="157"/>
      <c r="J2015" s="157"/>
      <c r="K2015" s="157"/>
      <c r="L2015" s="157"/>
      <c r="M2015" s="523"/>
      <c r="N2015" s="157"/>
      <c r="O2015" s="157"/>
    </row>
    <row r="2016" spans="3:15" ht="15" customHeight="1">
      <c r="C2016" s="498"/>
      <c r="D2016" s="256"/>
      <c r="E2016" s="195"/>
      <c r="F2016" s="157"/>
      <c r="G2016" s="157"/>
      <c r="H2016" s="157"/>
      <c r="I2016" s="157"/>
      <c r="J2016" s="157"/>
      <c r="K2016" s="157"/>
      <c r="L2016" s="157"/>
      <c r="M2016" s="523"/>
      <c r="N2016" s="157"/>
      <c r="O2016" s="157"/>
    </row>
    <row r="2017" spans="3:15" ht="15" customHeight="1">
      <c r="C2017" s="498"/>
      <c r="D2017" s="256"/>
      <c r="E2017" s="195"/>
      <c r="F2017" s="157"/>
      <c r="G2017" s="157"/>
      <c r="H2017" s="157"/>
      <c r="I2017" s="157"/>
      <c r="J2017" s="157"/>
      <c r="K2017" s="157"/>
      <c r="L2017" s="157"/>
      <c r="M2017" s="523"/>
      <c r="N2017" s="157"/>
      <c r="O2017" s="157"/>
    </row>
    <row r="2018" spans="3:15" ht="15" customHeight="1">
      <c r="C2018" s="498"/>
      <c r="D2018" s="256"/>
      <c r="E2018" s="195"/>
      <c r="F2018" s="157"/>
      <c r="G2018" s="157"/>
      <c r="H2018" s="157"/>
      <c r="I2018" s="157"/>
      <c r="J2018" s="157"/>
      <c r="K2018" s="157"/>
      <c r="L2018" s="157"/>
      <c r="M2018" s="523"/>
      <c r="N2018" s="157"/>
      <c r="O2018" s="157"/>
    </row>
    <row r="2019" spans="3:15" ht="15" customHeight="1">
      <c r="C2019" s="498"/>
      <c r="D2019" s="256"/>
      <c r="E2019" s="195"/>
      <c r="F2019" s="157"/>
      <c r="G2019" s="157"/>
      <c r="H2019" s="157"/>
      <c r="I2019" s="157"/>
      <c r="J2019" s="157"/>
      <c r="K2019" s="157"/>
      <c r="L2019" s="157"/>
      <c r="M2019" s="523"/>
      <c r="N2019" s="157"/>
      <c r="O2019" s="157"/>
    </row>
    <row r="2020" spans="3:15" ht="15" customHeight="1">
      <c r="C2020" s="498"/>
      <c r="D2020" s="256"/>
      <c r="E2020" s="195"/>
      <c r="F2020" s="157"/>
      <c r="G2020" s="157"/>
      <c r="H2020" s="157"/>
      <c r="I2020" s="157"/>
      <c r="J2020" s="157"/>
      <c r="K2020" s="157"/>
      <c r="L2020" s="157"/>
      <c r="M2020" s="523"/>
      <c r="N2020" s="157"/>
      <c r="O2020" s="157"/>
    </row>
    <row r="2021" spans="3:15" ht="15" customHeight="1">
      <c r="C2021" s="498"/>
      <c r="D2021" s="256"/>
      <c r="E2021" s="195"/>
      <c r="F2021" s="157"/>
      <c r="G2021" s="157"/>
      <c r="H2021" s="157"/>
      <c r="I2021" s="157"/>
      <c r="J2021" s="157"/>
      <c r="K2021" s="157"/>
      <c r="L2021" s="157"/>
      <c r="M2021" s="523"/>
      <c r="N2021" s="157"/>
      <c r="O2021" s="157"/>
    </row>
    <row r="2022" spans="3:15" ht="15" customHeight="1">
      <c r="C2022" s="498"/>
      <c r="D2022" s="256"/>
      <c r="E2022" s="195"/>
      <c r="F2022" s="157"/>
      <c r="G2022" s="157"/>
      <c r="H2022" s="157"/>
      <c r="I2022" s="157"/>
      <c r="J2022" s="157"/>
      <c r="K2022" s="157"/>
      <c r="L2022" s="157"/>
      <c r="M2022" s="523"/>
      <c r="N2022" s="157"/>
      <c r="O2022" s="157"/>
    </row>
    <row r="2023" spans="3:15" ht="15" customHeight="1">
      <c r="C2023" s="498"/>
      <c r="D2023" s="256"/>
      <c r="E2023" s="195"/>
      <c r="F2023" s="157"/>
      <c r="G2023" s="157"/>
      <c r="H2023" s="157"/>
      <c r="I2023" s="157"/>
      <c r="J2023" s="157"/>
      <c r="K2023" s="157"/>
      <c r="L2023" s="157"/>
      <c r="M2023" s="523"/>
      <c r="N2023" s="157"/>
      <c r="O2023" s="157"/>
    </row>
    <row r="2024" spans="3:15" ht="15" customHeight="1">
      <c r="C2024" s="498"/>
      <c r="D2024" s="256"/>
      <c r="E2024" s="195"/>
      <c r="F2024" s="157"/>
      <c r="G2024" s="157"/>
      <c r="H2024" s="157"/>
      <c r="I2024" s="157"/>
      <c r="J2024" s="157"/>
      <c r="K2024" s="157"/>
      <c r="L2024" s="157"/>
      <c r="M2024" s="523"/>
      <c r="N2024" s="157"/>
      <c r="O2024" s="157"/>
    </row>
    <row r="2025" spans="3:15" ht="15" customHeight="1">
      <c r="C2025" s="498"/>
      <c r="D2025" s="256"/>
      <c r="E2025" s="195"/>
      <c r="F2025" s="157"/>
      <c r="G2025" s="157"/>
      <c r="H2025" s="157"/>
      <c r="I2025" s="157"/>
      <c r="J2025" s="157"/>
      <c r="K2025" s="157"/>
      <c r="L2025" s="157"/>
      <c r="M2025" s="523"/>
      <c r="N2025" s="157"/>
      <c r="O2025" s="157"/>
    </row>
    <row r="2026" spans="3:15" ht="15" customHeight="1">
      <c r="C2026" s="498"/>
      <c r="D2026" s="256"/>
      <c r="E2026" s="195"/>
      <c r="F2026" s="157"/>
      <c r="G2026" s="157"/>
      <c r="H2026" s="157"/>
      <c r="I2026" s="157"/>
      <c r="J2026" s="157"/>
      <c r="K2026" s="157"/>
      <c r="L2026" s="157"/>
      <c r="M2026" s="523"/>
      <c r="N2026" s="157"/>
      <c r="O2026" s="157"/>
    </row>
    <row r="2027" spans="3:15" ht="15" customHeight="1">
      <c r="C2027" s="498"/>
      <c r="D2027" s="256"/>
      <c r="E2027" s="195"/>
      <c r="F2027" s="157"/>
      <c r="G2027" s="157"/>
      <c r="H2027" s="157"/>
      <c r="I2027" s="157"/>
      <c r="J2027" s="157"/>
      <c r="K2027" s="157"/>
      <c r="L2027" s="157"/>
      <c r="M2027" s="523"/>
      <c r="N2027" s="157"/>
      <c r="O2027" s="157"/>
    </row>
    <row r="2028" spans="3:15" ht="15" customHeight="1">
      <c r="C2028" s="498"/>
      <c r="D2028" s="256"/>
      <c r="E2028" s="195"/>
      <c r="F2028" s="157"/>
      <c r="G2028" s="157"/>
      <c r="H2028" s="157"/>
      <c r="I2028" s="157"/>
      <c r="J2028" s="157"/>
      <c r="K2028" s="157"/>
      <c r="L2028" s="157"/>
      <c r="M2028" s="523"/>
      <c r="N2028" s="157"/>
      <c r="O2028" s="157"/>
    </row>
    <row r="2029" spans="3:15" ht="15" customHeight="1">
      <c r="C2029" s="498"/>
      <c r="D2029" s="256"/>
      <c r="E2029" s="195"/>
      <c r="F2029" s="157"/>
      <c r="G2029" s="157"/>
      <c r="H2029" s="157"/>
      <c r="I2029" s="157"/>
      <c r="J2029" s="157"/>
      <c r="K2029" s="157"/>
      <c r="L2029" s="157"/>
      <c r="M2029" s="523"/>
      <c r="N2029" s="157"/>
      <c r="O2029" s="157"/>
    </row>
    <row r="2030" spans="3:15" ht="15" customHeight="1">
      <c r="C2030" s="498"/>
      <c r="D2030" s="256"/>
      <c r="E2030" s="195"/>
      <c r="F2030" s="157"/>
      <c r="G2030" s="157"/>
      <c r="H2030" s="157"/>
      <c r="I2030" s="157"/>
      <c r="J2030" s="157"/>
      <c r="K2030" s="157"/>
      <c r="L2030" s="157"/>
      <c r="M2030" s="523"/>
      <c r="N2030" s="157"/>
      <c r="O2030" s="157"/>
    </row>
    <row r="2031" spans="3:15" ht="15" customHeight="1">
      <c r="C2031" s="498"/>
      <c r="D2031" s="256"/>
      <c r="E2031" s="195"/>
      <c r="F2031" s="157"/>
      <c r="G2031" s="157"/>
      <c r="H2031" s="157"/>
      <c r="I2031" s="157"/>
      <c r="J2031" s="157"/>
      <c r="K2031" s="157"/>
      <c r="L2031" s="157"/>
      <c r="M2031" s="523"/>
      <c r="N2031" s="157"/>
      <c r="O2031" s="157"/>
    </row>
    <row r="2032" spans="3:15" ht="15" customHeight="1">
      <c r="C2032" s="498"/>
      <c r="D2032" s="256"/>
      <c r="E2032" s="195"/>
      <c r="F2032" s="157"/>
      <c r="G2032" s="157"/>
      <c r="H2032" s="157"/>
      <c r="I2032" s="157"/>
      <c r="J2032" s="157"/>
      <c r="K2032" s="157"/>
      <c r="L2032" s="157"/>
      <c r="M2032" s="523"/>
      <c r="N2032" s="157"/>
      <c r="O2032" s="157"/>
    </row>
    <row r="2033" spans="3:15" ht="15" customHeight="1">
      <c r="C2033" s="498"/>
      <c r="D2033" s="256"/>
      <c r="E2033" s="195"/>
      <c r="F2033" s="157"/>
      <c r="G2033" s="157"/>
      <c r="H2033" s="157"/>
      <c r="I2033" s="157"/>
      <c r="J2033" s="157"/>
      <c r="K2033" s="157"/>
      <c r="L2033" s="157"/>
      <c r="M2033" s="523"/>
      <c r="N2033" s="157"/>
      <c r="O2033" s="157"/>
    </row>
    <row r="2034" spans="3:15" ht="15" customHeight="1">
      <c r="C2034" s="498"/>
      <c r="D2034" s="256"/>
      <c r="E2034" s="195"/>
      <c r="F2034" s="157"/>
      <c r="G2034" s="157"/>
      <c r="H2034" s="157"/>
      <c r="I2034" s="157"/>
      <c r="J2034" s="157"/>
      <c r="K2034" s="157"/>
      <c r="L2034" s="157"/>
      <c r="M2034" s="523"/>
      <c r="N2034" s="157"/>
      <c r="O2034" s="157"/>
    </row>
    <row r="2035" spans="3:15" ht="15" customHeight="1">
      <c r="C2035" s="498"/>
      <c r="D2035" s="256"/>
      <c r="E2035" s="195"/>
      <c r="F2035" s="157"/>
      <c r="G2035" s="157"/>
      <c r="H2035" s="157"/>
      <c r="I2035" s="157"/>
      <c r="J2035" s="157"/>
      <c r="K2035" s="157"/>
      <c r="L2035" s="157"/>
      <c r="M2035" s="523"/>
      <c r="N2035" s="157"/>
      <c r="O2035" s="157"/>
    </row>
    <row r="2036" spans="3:15" ht="15" customHeight="1">
      <c r="C2036" s="498"/>
      <c r="D2036" s="256"/>
      <c r="E2036" s="195"/>
      <c r="F2036" s="157"/>
      <c r="G2036" s="157"/>
      <c r="H2036" s="157"/>
      <c r="I2036" s="157"/>
      <c r="J2036" s="157"/>
      <c r="K2036" s="157"/>
      <c r="L2036" s="157"/>
      <c r="M2036" s="523"/>
      <c r="N2036" s="157"/>
      <c r="O2036" s="157"/>
    </row>
    <row r="2037" spans="3:15" ht="15" customHeight="1">
      <c r="C2037" s="498"/>
      <c r="D2037" s="256"/>
      <c r="E2037" s="195"/>
      <c r="F2037" s="157"/>
      <c r="G2037" s="157"/>
      <c r="H2037" s="157"/>
      <c r="I2037" s="157"/>
      <c r="J2037" s="157"/>
      <c r="K2037" s="157"/>
      <c r="L2037" s="157"/>
      <c r="M2037" s="523"/>
      <c r="N2037" s="157"/>
      <c r="O2037" s="157"/>
    </row>
    <row r="2038" spans="3:15" ht="15" customHeight="1">
      <c r="C2038" s="498"/>
      <c r="D2038" s="256"/>
      <c r="E2038" s="195"/>
      <c r="F2038" s="157"/>
      <c r="G2038" s="157"/>
      <c r="H2038" s="157"/>
      <c r="I2038" s="157"/>
      <c r="J2038" s="157"/>
      <c r="K2038" s="157"/>
      <c r="L2038" s="157"/>
      <c r="M2038" s="523"/>
      <c r="N2038" s="157"/>
      <c r="O2038" s="157"/>
    </row>
    <row r="2039" spans="3:15" ht="15" customHeight="1">
      <c r="C2039" s="498"/>
      <c r="D2039" s="256"/>
      <c r="E2039" s="195"/>
      <c r="F2039" s="157"/>
      <c r="G2039" s="157"/>
      <c r="H2039" s="157"/>
      <c r="I2039" s="157"/>
      <c r="J2039" s="157"/>
      <c r="K2039" s="157"/>
      <c r="L2039" s="157"/>
      <c r="M2039" s="523"/>
      <c r="N2039" s="157"/>
      <c r="O2039" s="157"/>
    </row>
    <row r="2040" spans="3:15" ht="15" customHeight="1">
      <c r="C2040" s="498"/>
      <c r="D2040" s="256"/>
      <c r="E2040" s="195"/>
      <c r="F2040" s="157"/>
      <c r="G2040" s="157"/>
      <c r="H2040" s="157"/>
      <c r="I2040" s="157"/>
      <c r="J2040" s="157"/>
      <c r="K2040" s="157"/>
      <c r="L2040" s="157"/>
      <c r="M2040" s="523"/>
      <c r="N2040" s="157"/>
      <c r="O2040" s="157"/>
    </row>
    <row r="2041" spans="3:15" ht="15" customHeight="1">
      <c r="C2041" s="498"/>
      <c r="D2041" s="256"/>
      <c r="E2041" s="195"/>
      <c r="F2041" s="157"/>
      <c r="G2041" s="157"/>
      <c r="H2041" s="157"/>
      <c r="I2041" s="157"/>
      <c r="J2041" s="157"/>
      <c r="K2041" s="157"/>
      <c r="L2041" s="157"/>
      <c r="M2041" s="523"/>
      <c r="N2041" s="157"/>
      <c r="O2041" s="157"/>
    </row>
    <row r="2042" spans="3:15" ht="15" customHeight="1">
      <c r="C2042" s="498"/>
      <c r="D2042" s="256"/>
      <c r="E2042" s="195"/>
      <c r="F2042" s="157"/>
      <c r="G2042" s="157"/>
      <c r="H2042" s="157"/>
      <c r="I2042" s="157"/>
      <c r="J2042" s="157"/>
      <c r="K2042" s="157"/>
      <c r="L2042" s="157"/>
      <c r="M2042" s="523"/>
      <c r="N2042" s="157"/>
      <c r="O2042" s="157"/>
    </row>
    <row r="2043" spans="3:15" ht="15" customHeight="1">
      <c r="C2043" s="498"/>
      <c r="D2043" s="256"/>
      <c r="E2043" s="195"/>
      <c r="F2043" s="157"/>
      <c r="G2043" s="157"/>
      <c r="H2043" s="157"/>
      <c r="I2043" s="157"/>
      <c r="J2043" s="157"/>
      <c r="K2043" s="157"/>
      <c r="L2043" s="157"/>
      <c r="M2043" s="523"/>
      <c r="N2043" s="157"/>
      <c r="O2043" s="157"/>
    </row>
    <row r="2044" spans="3:15" ht="15" customHeight="1">
      <c r="C2044" s="498"/>
      <c r="D2044" s="256"/>
      <c r="E2044" s="195"/>
      <c r="F2044" s="157"/>
      <c r="G2044" s="157"/>
      <c r="H2044" s="157"/>
      <c r="I2044" s="157"/>
      <c r="J2044" s="157"/>
      <c r="K2044" s="157"/>
      <c r="L2044" s="157"/>
      <c r="M2044" s="523"/>
      <c r="N2044" s="157"/>
      <c r="O2044" s="157"/>
    </row>
    <row r="2045" spans="3:15" ht="15" customHeight="1">
      <c r="C2045" s="498"/>
      <c r="D2045" s="256"/>
      <c r="E2045" s="195"/>
      <c r="F2045" s="157"/>
      <c r="G2045" s="157"/>
      <c r="H2045" s="157"/>
      <c r="I2045" s="157"/>
      <c r="J2045" s="157"/>
      <c r="K2045" s="157"/>
      <c r="L2045" s="157"/>
      <c r="M2045" s="523"/>
      <c r="N2045" s="157"/>
      <c r="O2045" s="157"/>
    </row>
    <row r="2046" spans="3:15" ht="15" customHeight="1">
      <c r="C2046" s="498"/>
      <c r="D2046" s="256"/>
      <c r="E2046" s="195"/>
      <c r="F2046" s="157"/>
      <c r="G2046" s="157"/>
      <c r="H2046" s="157"/>
      <c r="I2046" s="157"/>
      <c r="J2046" s="157"/>
      <c r="K2046" s="157"/>
      <c r="L2046" s="157"/>
      <c r="M2046" s="523"/>
      <c r="N2046" s="157"/>
      <c r="O2046" s="157"/>
    </row>
    <row r="2047" spans="3:15" ht="15" customHeight="1">
      <c r="C2047" s="498"/>
      <c r="D2047" s="256"/>
      <c r="E2047" s="195"/>
      <c r="F2047" s="157"/>
      <c r="G2047" s="157"/>
      <c r="H2047" s="157"/>
      <c r="I2047" s="157"/>
      <c r="J2047" s="157"/>
      <c r="K2047" s="157"/>
      <c r="L2047" s="157"/>
      <c r="M2047" s="523"/>
      <c r="N2047" s="157"/>
      <c r="O2047" s="157"/>
    </row>
    <row r="2048" spans="3:15" ht="15" customHeight="1">
      <c r="C2048" s="498"/>
      <c r="D2048" s="256"/>
      <c r="E2048" s="195"/>
      <c r="F2048" s="157"/>
      <c r="G2048" s="157"/>
      <c r="H2048" s="157"/>
      <c r="I2048" s="157"/>
      <c r="J2048" s="157"/>
      <c r="K2048" s="157"/>
      <c r="L2048" s="157"/>
      <c r="M2048" s="523"/>
      <c r="N2048" s="157"/>
      <c r="O2048" s="157"/>
    </row>
    <row r="2049" spans="3:15" ht="15" customHeight="1">
      <c r="C2049" s="498"/>
      <c r="D2049" s="256"/>
      <c r="E2049" s="195"/>
      <c r="F2049" s="157"/>
      <c r="G2049" s="157"/>
      <c r="H2049" s="157"/>
      <c r="I2049" s="157"/>
      <c r="J2049" s="157"/>
      <c r="K2049" s="157"/>
      <c r="L2049" s="157"/>
      <c r="M2049" s="523"/>
      <c r="N2049" s="157"/>
      <c r="O2049" s="157"/>
    </row>
    <row r="2050" spans="3:15" ht="15" customHeight="1">
      <c r="C2050" s="498"/>
      <c r="D2050" s="256"/>
      <c r="E2050" s="195"/>
      <c r="F2050" s="157"/>
      <c r="G2050" s="157"/>
      <c r="H2050" s="157"/>
      <c r="I2050" s="157"/>
      <c r="J2050" s="157"/>
      <c r="K2050" s="157"/>
      <c r="L2050" s="157"/>
      <c r="M2050" s="523"/>
      <c r="N2050" s="157"/>
      <c r="O2050" s="157"/>
    </row>
    <row r="2051" spans="3:15" ht="15" customHeight="1">
      <c r="C2051" s="498"/>
      <c r="D2051" s="256"/>
      <c r="E2051" s="195"/>
      <c r="F2051" s="157"/>
      <c r="G2051" s="157"/>
      <c r="H2051" s="157"/>
      <c r="I2051" s="157"/>
      <c r="J2051" s="157"/>
      <c r="K2051" s="157"/>
      <c r="L2051" s="157"/>
      <c r="M2051" s="523"/>
      <c r="N2051" s="157"/>
      <c r="O2051" s="157"/>
    </row>
    <row r="2052" spans="3:15" ht="15" customHeight="1">
      <c r="C2052" s="498"/>
      <c r="D2052" s="256"/>
      <c r="E2052" s="195"/>
      <c r="F2052" s="157"/>
      <c r="G2052" s="157"/>
      <c r="H2052" s="157"/>
      <c r="I2052" s="157"/>
      <c r="J2052" s="157"/>
      <c r="K2052" s="157"/>
      <c r="L2052" s="157"/>
      <c r="M2052" s="523"/>
      <c r="N2052" s="157"/>
      <c r="O2052" s="157"/>
    </row>
    <row r="2053" spans="3:15" ht="15" customHeight="1">
      <c r="C2053" s="498"/>
      <c r="D2053" s="256"/>
      <c r="E2053" s="195"/>
      <c r="F2053" s="157"/>
      <c r="G2053" s="157"/>
      <c r="H2053" s="157"/>
      <c r="I2053" s="157"/>
      <c r="J2053" s="157"/>
      <c r="K2053" s="157"/>
      <c r="L2053" s="157"/>
      <c r="M2053" s="523"/>
      <c r="N2053" s="157"/>
      <c r="O2053" s="157"/>
    </row>
    <row r="2054" spans="3:15" ht="15" customHeight="1">
      <c r="C2054" s="498"/>
      <c r="D2054" s="256"/>
      <c r="E2054" s="195"/>
      <c r="F2054" s="157"/>
      <c r="G2054" s="157"/>
      <c r="H2054" s="157"/>
      <c r="I2054" s="157"/>
      <c r="J2054" s="157"/>
      <c r="K2054" s="157"/>
      <c r="L2054" s="157"/>
      <c r="M2054" s="523"/>
      <c r="N2054" s="157"/>
      <c r="O2054" s="157"/>
    </row>
    <row r="2055" spans="3:15" ht="15" customHeight="1">
      <c r="C2055" s="498"/>
      <c r="D2055" s="256"/>
      <c r="E2055" s="195"/>
      <c r="F2055" s="157"/>
      <c r="G2055" s="157"/>
      <c r="H2055" s="157"/>
      <c r="I2055" s="157"/>
      <c r="J2055" s="157"/>
      <c r="K2055" s="157"/>
      <c r="L2055" s="157"/>
      <c r="M2055" s="523"/>
      <c r="N2055" s="157"/>
      <c r="O2055" s="157"/>
    </row>
    <row r="2056" spans="3:15" ht="15" customHeight="1">
      <c r="C2056" s="498"/>
      <c r="D2056" s="256"/>
      <c r="E2056" s="195"/>
      <c r="F2056" s="157"/>
      <c r="G2056" s="157"/>
      <c r="H2056" s="157"/>
      <c r="I2056" s="157"/>
      <c r="J2056" s="157"/>
      <c r="K2056" s="157"/>
      <c r="L2056" s="157"/>
      <c r="M2056" s="523"/>
      <c r="N2056" s="157"/>
      <c r="O2056" s="157"/>
    </row>
    <row r="2057" spans="3:15" ht="15" customHeight="1">
      <c r="C2057" s="498"/>
      <c r="D2057" s="256"/>
      <c r="E2057" s="195"/>
      <c r="F2057" s="157"/>
      <c r="G2057" s="157"/>
      <c r="H2057" s="157"/>
      <c r="I2057" s="157"/>
      <c r="J2057" s="157"/>
      <c r="K2057" s="157"/>
      <c r="L2057" s="157"/>
      <c r="M2057" s="523"/>
      <c r="N2057" s="157"/>
      <c r="O2057" s="157"/>
    </row>
    <row r="2058" spans="3:15" ht="15" customHeight="1">
      <c r="C2058" s="498"/>
      <c r="D2058" s="256"/>
      <c r="E2058" s="195"/>
      <c r="F2058" s="157"/>
      <c r="G2058" s="157"/>
      <c r="H2058" s="157"/>
      <c r="I2058" s="157"/>
      <c r="J2058" s="157"/>
      <c r="K2058" s="157"/>
      <c r="L2058" s="157"/>
      <c r="M2058" s="523"/>
      <c r="N2058" s="157"/>
      <c r="O2058" s="157"/>
    </row>
    <row r="2059" spans="3:15" ht="15" customHeight="1">
      <c r="C2059" s="498"/>
      <c r="D2059" s="256"/>
      <c r="E2059" s="195"/>
      <c r="F2059" s="157"/>
      <c r="G2059" s="157"/>
      <c r="H2059" s="157"/>
      <c r="I2059" s="157"/>
      <c r="J2059" s="157"/>
      <c r="K2059" s="157"/>
      <c r="L2059" s="157"/>
      <c r="M2059" s="523"/>
      <c r="N2059" s="157"/>
      <c r="O2059" s="157"/>
    </row>
    <row r="2060" spans="3:15" ht="15" customHeight="1">
      <c r="C2060" s="498"/>
      <c r="D2060" s="256"/>
      <c r="E2060" s="195"/>
      <c r="F2060" s="157"/>
      <c r="G2060" s="157"/>
      <c r="H2060" s="157"/>
      <c r="I2060" s="157"/>
      <c r="J2060" s="157"/>
      <c r="K2060" s="157"/>
      <c r="L2060" s="157"/>
      <c r="M2060" s="523"/>
      <c r="N2060" s="157"/>
      <c r="O2060" s="157"/>
    </row>
    <row r="2061" spans="3:15" ht="15" customHeight="1">
      <c r="C2061" s="498"/>
      <c r="D2061" s="256"/>
      <c r="E2061" s="195"/>
      <c r="F2061" s="157"/>
      <c r="G2061" s="157"/>
      <c r="H2061" s="157"/>
      <c r="I2061" s="157"/>
      <c r="J2061" s="157"/>
      <c r="K2061" s="157"/>
      <c r="L2061" s="157"/>
      <c r="M2061" s="523"/>
      <c r="N2061" s="157"/>
      <c r="O2061" s="157"/>
    </row>
    <row r="2062" spans="3:15" ht="15" customHeight="1">
      <c r="C2062" s="498"/>
      <c r="D2062" s="256"/>
      <c r="E2062" s="195"/>
      <c r="F2062" s="157"/>
      <c r="G2062" s="157"/>
      <c r="H2062" s="157"/>
      <c r="I2062" s="157"/>
      <c r="J2062" s="157"/>
      <c r="K2062" s="157"/>
      <c r="L2062" s="157"/>
      <c r="M2062" s="523"/>
      <c r="N2062" s="157"/>
      <c r="O2062" s="157"/>
    </row>
    <row r="2063" spans="3:15" ht="15" customHeight="1">
      <c r="C2063" s="498"/>
      <c r="D2063" s="256"/>
      <c r="E2063" s="195"/>
      <c r="F2063" s="157"/>
      <c r="G2063" s="157"/>
      <c r="H2063" s="157"/>
      <c r="I2063" s="157"/>
      <c r="J2063" s="157"/>
      <c r="K2063" s="157"/>
      <c r="L2063" s="157"/>
      <c r="M2063" s="523"/>
      <c r="N2063" s="157"/>
      <c r="O2063" s="157"/>
    </row>
    <row r="2064" spans="3:15" ht="15" customHeight="1">
      <c r="C2064" s="498"/>
      <c r="D2064" s="256"/>
      <c r="E2064" s="195"/>
      <c r="F2064" s="157"/>
      <c r="G2064" s="157"/>
      <c r="H2064" s="157"/>
      <c r="I2064" s="157"/>
      <c r="J2064" s="157"/>
      <c r="K2064" s="157"/>
      <c r="L2064" s="157"/>
      <c r="M2064" s="523"/>
      <c r="N2064" s="157"/>
      <c r="O2064" s="157"/>
    </row>
    <row r="2065" spans="3:15" ht="15" customHeight="1">
      <c r="C2065" s="498"/>
      <c r="D2065" s="256"/>
      <c r="E2065" s="195"/>
      <c r="F2065" s="157"/>
      <c r="G2065" s="157"/>
      <c r="H2065" s="157"/>
      <c r="I2065" s="157"/>
      <c r="J2065" s="157"/>
      <c r="K2065" s="157"/>
      <c r="L2065" s="157"/>
      <c r="M2065" s="523"/>
      <c r="N2065" s="157"/>
      <c r="O2065" s="157"/>
    </row>
    <row r="2066" spans="3:15" ht="15" customHeight="1">
      <c r="C2066" s="498"/>
      <c r="D2066" s="256"/>
      <c r="E2066" s="195"/>
      <c r="F2066" s="157"/>
      <c r="G2066" s="157"/>
      <c r="H2066" s="157"/>
      <c r="I2066" s="157"/>
      <c r="J2066" s="157"/>
      <c r="K2066" s="157"/>
      <c r="L2066" s="157"/>
      <c r="M2066" s="523"/>
      <c r="N2066" s="157"/>
      <c r="O2066" s="157"/>
    </row>
    <row r="2067" spans="3:15" ht="15" customHeight="1">
      <c r="C2067" s="498"/>
      <c r="D2067" s="256"/>
      <c r="E2067" s="195"/>
      <c r="F2067" s="157"/>
      <c r="G2067" s="157"/>
      <c r="H2067" s="157"/>
      <c r="I2067" s="157"/>
      <c r="J2067" s="157"/>
      <c r="K2067" s="157"/>
      <c r="L2067" s="157"/>
      <c r="M2067" s="523"/>
      <c r="N2067" s="157"/>
      <c r="O2067" s="157"/>
    </row>
    <row r="2068" spans="3:15" ht="15" customHeight="1">
      <c r="C2068" s="498"/>
      <c r="D2068" s="256"/>
      <c r="E2068" s="195"/>
      <c r="F2068" s="157"/>
      <c r="G2068" s="157"/>
      <c r="H2068" s="157"/>
      <c r="I2068" s="157"/>
      <c r="J2068" s="157"/>
      <c r="K2068" s="157"/>
      <c r="L2068" s="157"/>
      <c r="M2068" s="523"/>
      <c r="N2068" s="157"/>
      <c r="O2068" s="157"/>
    </row>
    <row r="2069" spans="3:15" ht="15" customHeight="1">
      <c r="C2069" s="498"/>
      <c r="D2069" s="256"/>
      <c r="E2069" s="195"/>
      <c r="F2069" s="157"/>
      <c r="G2069" s="157"/>
      <c r="H2069" s="157"/>
      <c r="I2069" s="157"/>
      <c r="J2069" s="157"/>
      <c r="K2069" s="157"/>
      <c r="L2069" s="157"/>
      <c r="M2069" s="523"/>
      <c r="N2069" s="157"/>
      <c r="O2069" s="157"/>
    </row>
    <row r="2070" spans="3:15" ht="15" customHeight="1">
      <c r="C2070" s="498"/>
      <c r="D2070" s="256"/>
      <c r="E2070" s="195"/>
      <c r="F2070" s="157"/>
      <c r="G2070" s="157"/>
      <c r="H2070" s="157"/>
      <c r="I2070" s="157"/>
      <c r="J2070" s="157"/>
      <c r="K2070" s="157"/>
      <c r="L2070" s="157"/>
      <c r="M2070" s="523"/>
      <c r="N2070" s="157"/>
      <c r="O2070" s="157"/>
    </row>
    <row r="2071" spans="3:15" ht="15" customHeight="1">
      <c r="C2071" s="498"/>
      <c r="D2071" s="256"/>
      <c r="E2071" s="195"/>
      <c r="F2071" s="157"/>
      <c r="G2071" s="157"/>
      <c r="H2071" s="157"/>
      <c r="I2071" s="157"/>
      <c r="J2071" s="157"/>
      <c r="K2071" s="157"/>
      <c r="L2071" s="157"/>
      <c r="M2071" s="523"/>
      <c r="N2071" s="157"/>
      <c r="O2071" s="157"/>
    </row>
    <row r="2072" spans="3:15" ht="15" customHeight="1">
      <c r="C2072" s="498"/>
      <c r="D2072" s="256"/>
      <c r="E2072" s="195"/>
      <c r="F2072" s="157"/>
      <c r="G2072" s="157"/>
      <c r="H2072" s="157"/>
      <c r="I2072" s="157"/>
      <c r="J2072" s="157"/>
      <c r="K2072" s="157"/>
      <c r="L2072" s="157"/>
      <c r="M2072" s="523"/>
      <c r="N2072" s="157"/>
      <c r="O2072" s="157"/>
    </row>
    <row r="2073" spans="3:15" ht="15" customHeight="1">
      <c r="C2073" s="498"/>
      <c r="D2073" s="256"/>
      <c r="E2073" s="195"/>
      <c r="F2073" s="157"/>
      <c r="G2073" s="157"/>
      <c r="H2073" s="157"/>
      <c r="I2073" s="157"/>
      <c r="J2073" s="157"/>
      <c r="K2073" s="157"/>
      <c r="L2073" s="157"/>
      <c r="M2073" s="523"/>
      <c r="N2073" s="157"/>
      <c r="O2073" s="157"/>
    </row>
    <row r="2074" spans="3:15" ht="15" customHeight="1">
      <c r="C2074" s="498"/>
      <c r="D2074" s="256"/>
      <c r="E2074" s="195"/>
      <c r="F2074" s="157"/>
      <c r="G2074" s="157"/>
      <c r="H2074" s="157"/>
      <c r="I2074" s="157"/>
      <c r="J2074" s="157"/>
      <c r="K2074" s="157"/>
      <c r="L2074" s="157"/>
      <c r="M2074" s="523"/>
      <c r="N2074" s="157"/>
      <c r="O2074" s="157"/>
    </row>
    <row r="2075" spans="3:15" ht="15" customHeight="1">
      <c r="C2075" s="498"/>
      <c r="D2075" s="256"/>
      <c r="E2075" s="195"/>
      <c r="F2075" s="157"/>
      <c r="G2075" s="157"/>
      <c r="H2075" s="157"/>
      <c r="I2075" s="157"/>
      <c r="J2075" s="157"/>
      <c r="K2075" s="157"/>
      <c r="L2075" s="157"/>
      <c r="M2075" s="523"/>
      <c r="N2075" s="157"/>
      <c r="O2075" s="157"/>
    </row>
    <row r="2076" spans="3:15" ht="15" customHeight="1">
      <c r="C2076" s="498"/>
      <c r="D2076" s="256"/>
      <c r="E2076" s="195"/>
      <c r="F2076" s="157"/>
      <c r="G2076" s="157"/>
      <c r="H2076" s="157"/>
      <c r="I2076" s="157"/>
      <c r="J2076" s="157"/>
      <c r="K2076" s="157"/>
      <c r="L2076" s="157"/>
      <c r="M2076" s="523"/>
      <c r="N2076" s="157"/>
      <c r="O2076" s="157"/>
    </row>
    <row r="2077" spans="3:15" ht="15" customHeight="1">
      <c r="C2077" s="498"/>
      <c r="D2077" s="256"/>
      <c r="E2077" s="195"/>
      <c r="F2077" s="157"/>
      <c r="G2077" s="157"/>
      <c r="H2077" s="157"/>
      <c r="I2077" s="157"/>
      <c r="J2077" s="157"/>
      <c r="K2077" s="157"/>
      <c r="L2077" s="157"/>
      <c r="M2077" s="523"/>
      <c r="N2077" s="157"/>
      <c r="O2077" s="157"/>
    </row>
    <row r="2078" spans="3:15" ht="15" customHeight="1">
      <c r="C2078" s="498"/>
      <c r="D2078" s="256"/>
      <c r="E2078" s="195"/>
      <c r="F2078" s="157"/>
      <c r="G2078" s="157"/>
      <c r="H2078" s="157"/>
      <c r="I2078" s="157"/>
      <c r="J2078" s="157"/>
      <c r="K2078" s="157"/>
      <c r="L2078" s="157"/>
      <c r="M2078" s="523"/>
      <c r="N2078" s="157"/>
      <c r="O2078" s="157"/>
    </row>
    <row r="2079" spans="3:15" ht="15" customHeight="1">
      <c r="C2079" s="498"/>
      <c r="D2079" s="256"/>
      <c r="E2079" s="195"/>
      <c r="F2079" s="157"/>
      <c r="G2079" s="157"/>
      <c r="H2079" s="157"/>
      <c r="I2079" s="157"/>
      <c r="J2079" s="157"/>
      <c r="K2079" s="157"/>
      <c r="L2079" s="157"/>
      <c r="M2079" s="523"/>
      <c r="N2079" s="157"/>
      <c r="O2079" s="157"/>
    </row>
    <row r="2080" spans="3:15" ht="15" customHeight="1">
      <c r="C2080" s="498"/>
      <c r="D2080" s="256"/>
      <c r="E2080" s="195"/>
      <c r="F2080" s="157"/>
      <c r="G2080" s="157"/>
      <c r="H2080" s="157"/>
      <c r="I2080" s="157"/>
      <c r="J2080" s="157"/>
      <c r="K2080" s="157"/>
      <c r="L2080" s="157"/>
      <c r="M2080" s="523"/>
      <c r="N2080" s="157"/>
      <c r="O2080" s="157"/>
    </row>
    <row r="2081" spans="3:15" ht="15" customHeight="1">
      <c r="C2081" s="498"/>
      <c r="D2081" s="256"/>
      <c r="E2081" s="195"/>
      <c r="F2081" s="157"/>
      <c r="G2081" s="157"/>
      <c r="H2081" s="157"/>
      <c r="I2081" s="157"/>
      <c r="J2081" s="157"/>
      <c r="K2081" s="157"/>
      <c r="L2081" s="157"/>
      <c r="M2081" s="523"/>
      <c r="N2081" s="157"/>
      <c r="O2081" s="157"/>
    </row>
    <row r="2082" spans="3:15" ht="15" customHeight="1">
      <c r="C2082" s="498"/>
      <c r="D2082" s="256"/>
      <c r="E2082" s="195"/>
      <c r="F2082" s="157"/>
      <c r="G2082" s="157"/>
      <c r="H2082" s="157"/>
      <c r="I2082" s="157"/>
      <c r="J2082" s="157"/>
      <c r="K2082" s="157"/>
      <c r="L2082" s="157"/>
      <c r="M2082" s="523"/>
      <c r="N2082" s="157"/>
      <c r="O2082" s="157"/>
    </row>
    <row r="2083" spans="3:15" ht="15" customHeight="1">
      <c r="C2083" s="498"/>
      <c r="D2083" s="256"/>
      <c r="E2083" s="195"/>
      <c r="F2083" s="157"/>
      <c r="G2083" s="157"/>
      <c r="H2083" s="157"/>
      <c r="I2083" s="157"/>
      <c r="J2083" s="157"/>
      <c r="K2083" s="157"/>
      <c r="L2083" s="157"/>
      <c r="M2083" s="523"/>
      <c r="N2083" s="157"/>
      <c r="O2083" s="157"/>
    </row>
    <row r="2084" spans="3:15" ht="15" customHeight="1">
      <c r="C2084" s="498"/>
      <c r="D2084" s="256"/>
      <c r="E2084" s="195"/>
      <c r="F2084" s="157"/>
      <c r="G2084" s="157"/>
      <c r="H2084" s="157"/>
      <c r="I2084" s="157"/>
      <c r="J2084" s="157"/>
      <c r="K2084" s="157"/>
      <c r="L2084" s="157"/>
      <c r="M2084" s="523"/>
      <c r="N2084" s="157"/>
      <c r="O2084" s="157"/>
    </row>
    <row r="2085" spans="3:15" ht="15" customHeight="1">
      <c r="C2085" s="498"/>
      <c r="D2085" s="256"/>
      <c r="E2085" s="195"/>
      <c r="F2085" s="157"/>
      <c r="G2085" s="157"/>
      <c r="H2085" s="157"/>
      <c r="I2085" s="157"/>
      <c r="J2085" s="157"/>
      <c r="K2085" s="157"/>
      <c r="L2085" s="157"/>
      <c r="M2085" s="523"/>
      <c r="N2085" s="157"/>
      <c r="O2085" s="157"/>
    </row>
    <row r="2086" spans="3:15" ht="15" customHeight="1">
      <c r="C2086" s="498"/>
      <c r="D2086" s="256"/>
      <c r="E2086" s="195"/>
      <c r="F2086" s="157"/>
      <c r="G2086" s="157"/>
      <c r="H2086" s="157"/>
      <c r="I2086" s="157"/>
      <c r="J2086" s="157"/>
      <c r="K2086" s="157"/>
      <c r="L2086" s="157"/>
      <c r="M2086" s="523"/>
      <c r="N2086" s="157"/>
      <c r="O2086" s="157"/>
    </row>
    <row r="2087" spans="3:15" ht="15" customHeight="1">
      <c r="C2087" s="498"/>
      <c r="D2087" s="256"/>
      <c r="E2087" s="195"/>
      <c r="F2087" s="157"/>
      <c r="G2087" s="157"/>
      <c r="H2087" s="157"/>
      <c r="I2087" s="157"/>
      <c r="J2087" s="157"/>
      <c r="K2087" s="157"/>
      <c r="L2087" s="157"/>
      <c r="M2087" s="523"/>
      <c r="N2087" s="157"/>
      <c r="O2087" s="157"/>
    </row>
    <row r="2088" spans="3:15" ht="15" customHeight="1">
      <c r="C2088" s="498"/>
      <c r="D2088" s="256"/>
      <c r="E2088" s="195"/>
      <c r="F2088" s="157"/>
      <c r="G2088" s="157"/>
      <c r="H2088" s="157"/>
      <c r="I2088" s="157"/>
      <c r="J2088" s="157"/>
      <c r="K2088" s="157"/>
      <c r="L2088" s="157"/>
      <c r="M2088" s="523"/>
      <c r="N2088" s="157"/>
      <c r="O2088" s="157"/>
    </row>
    <row r="2089" spans="3:15" ht="15" customHeight="1">
      <c r="C2089" s="498"/>
      <c r="D2089" s="256"/>
      <c r="E2089" s="195"/>
      <c r="F2089" s="157"/>
      <c r="G2089" s="157"/>
      <c r="H2089" s="157"/>
      <c r="I2089" s="157"/>
      <c r="J2089" s="157"/>
      <c r="K2089" s="157"/>
      <c r="L2089" s="157"/>
      <c r="M2089" s="523"/>
      <c r="N2089" s="157"/>
      <c r="O2089" s="157"/>
    </row>
    <row r="2090" spans="3:15" ht="15" customHeight="1">
      <c r="C2090" s="498"/>
      <c r="D2090" s="256"/>
      <c r="E2090" s="195"/>
      <c r="F2090" s="157"/>
      <c r="G2090" s="157"/>
      <c r="H2090" s="157"/>
      <c r="I2090" s="157"/>
      <c r="J2090" s="157"/>
      <c r="K2090" s="157"/>
      <c r="L2090" s="157"/>
      <c r="M2090" s="523"/>
      <c r="N2090" s="157"/>
      <c r="O2090" s="157"/>
    </row>
    <row r="2091" spans="3:15" ht="15" customHeight="1">
      <c r="C2091" s="498"/>
      <c r="D2091" s="256"/>
      <c r="E2091" s="195"/>
      <c r="F2091" s="157"/>
      <c r="G2091" s="157"/>
      <c r="H2091" s="157"/>
      <c r="I2091" s="157"/>
      <c r="J2091" s="157"/>
      <c r="K2091" s="157"/>
      <c r="L2091" s="157"/>
      <c r="M2091" s="523"/>
      <c r="N2091" s="157"/>
      <c r="O2091" s="157"/>
    </row>
    <row r="2092" spans="3:15" ht="15" customHeight="1">
      <c r="C2092" s="498"/>
      <c r="D2092" s="256"/>
      <c r="E2092" s="195"/>
      <c r="F2092" s="157"/>
      <c r="G2092" s="157"/>
      <c r="H2092" s="157"/>
      <c r="I2092" s="157"/>
      <c r="J2092" s="157"/>
      <c r="K2092" s="157"/>
      <c r="L2092" s="157"/>
      <c r="M2092" s="523"/>
      <c r="N2092" s="157"/>
      <c r="O2092" s="157"/>
    </row>
    <row r="2093" spans="3:15" ht="15" customHeight="1">
      <c r="C2093" s="498"/>
      <c r="D2093" s="256"/>
      <c r="E2093" s="195"/>
      <c r="F2093" s="157"/>
      <c r="G2093" s="157"/>
      <c r="H2093" s="157"/>
      <c r="I2093" s="157"/>
      <c r="J2093" s="157"/>
      <c r="K2093" s="157"/>
      <c r="L2093" s="157"/>
      <c r="M2093" s="523"/>
      <c r="N2093" s="157"/>
      <c r="O2093" s="157"/>
    </row>
    <row r="2094" spans="3:15" ht="15" customHeight="1">
      <c r="C2094" s="498"/>
      <c r="D2094" s="256"/>
      <c r="E2094" s="195"/>
      <c r="F2094" s="157"/>
      <c r="G2094" s="157"/>
      <c r="H2094" s="157"/>
      <c r="I2094" s="157"/>
      <c r="J2094" s="157"/>
      <c r="K2094" s="157"/>
      <c r="L2094" s="157"/>
      <c r="M2094" s="523"/>
      <c r="N2094" s="157"/>
      <c r="O2094" s="157"/>
    </row>
    <row r="2095" spans="3:15" ht="15" customHeight="1">
      <c r="C2095" s="498"/>
      <c r="D2095" s="256"/>
      <c r="E2095" s="195"/>
      <c r="F2095" s="157"/>
      <c r="G2095" s="157"/>
      <c r="H2095" s="157"/>
      <c r="I2095" s="157"/>
      <c r="J2095" s="157"/>
      <c r="K2095" s="157"/>
      <c r="L2095" s="157"/>
      <c r="M2095" s="523"/>
      <c r="N2095" s="157"/>
      <c r="O2095" s="157"/>
    </row>
    <row r="2096" spans="3:15" ht="15" customHeight="1">
      <c r="C2096" s="498"/>
      <c r="D2096" s="256"/>
      <c r="E2096" s="195"/>
      <c r="F2096" s="157"/>
      <c r="G2096" s="157"/>
      <c r="H2096" s="157"/>
      <c r="I2096" s="157"/>
      <c r="J2096" s="157"/>
      <c r="K2096" s="157"/>
      <c r="L2096" s="157"/>
      <c r="M2096" s="523"/>
      <c r="N2096" s="157"/>
      <c r="O2096" s="157"/>
    </row>
    <row r="2097" spans="3:15" ht="15" customHeight="1">
      <c r="C2097" s="498"/>
      <c r="D2097" s="256"/>
      <c r="E2097" s="195"/>
      <c r="F2097" s="157"/>
      <c r="G2097" s="157"/>
      <c r="H2097" s="157"/>
      <c r="I2097" s="157"/>
      <c r="J2097" s="157"/>
      <c r="K2097" s="157"/>
      <c r="L2097" s="157"/>
      <c r="M2097" s="523"/>
      <c r="N2097" s="157"/>
      <c r="O2097" s="157"/>
    </row>
    <row r="2098" spans="3:15" ht="15" customHeight="1">
      <c r="C2098" s="498"/>
      <c r="D2098" s="256"/>
      <c r="E2098" s="195"/>
      <c r="F2098" s="157"/>
      <c r="G2098" s="157"/>
      <c r="H2098" s="157"/>
      <c r="I2098" s="157"/>
      <c r="J2098" s="157"/>
      <c r="K2098" s="157"/>
      <c r="L2098" s="157"/>
      <c r="M2098" s="523"/>
      <c r="N2098" s="157"/>
      <c r="O2098" s="157"/>
    </row>
    <row r="2099" spans="3:15" ht="15" customHeight="1">
      <c r="C2099" s="498"/>
      <c r="D2099" s="256"/>
      <c r="E2099" s="195"/>
      <c r="F2099" s="157"/>
      <c r="G2099" s="157"/>
      <c r="H2099" s="157"/>
      <c r="I2099" s="157"/>
      <c r="J2099" s="157"/>
      <c r="K2099" s="157"/>
      <c r="L2099" s="157"/>
      <c r="M2099" s="523"/>
      <c r="N2099" s="157"/>
      <c r="O2099" s="157"/>
    </row>
    <row r="2100" spans="3:15" ht="15" customHeight="1">
      <c r="C2100" s="498"/>
      <c r="D2100" s="256"/>
      <c r="E2100" s="195"/>
      <c r="F2100" s="157"/>
      <c r="G2100" s="157"/>
      <c r="H2100" s="157"/>
      <c r="I2100" s="157"/>
      <c r="J2100" s="157"/>
      <c r="K2100" s="157"/>
      <c r="L2100" s="157"/>
      <c r="M2100" s="523"/>
      <c r="N2100" s="157"/>
      <c r="O2100" s="157"/>
    </row>
    <row r="2101" spans="3:15" ht="15" customHeight="1">
      <c r="C2101" s="498"/>
      <c r="D2101" s="256"/>
      <c r="E2101" s="195"/>
      <c r="F2101" s="157"/>
      <c r="G2101" s="157"/>
      <c r="H2101" s="157"/>
      <c r="I2101" s="157"/>
      <c r="J2101" s="157"/>
      <c r="K2101" s="157"/>
      <c r="L2101" s="157"/>
      <c r="M2101" s="523"/>
      <c r="N2101" s="157"/>
      <c r="O2101" s="157"/>
    </row>
    <row r="2102" spans="3:15" ht="15" customHeight="1">
      <c r="C2102" s="498"/>
      <c r="D2102" s="256"/>
      <c r="E2102" s="195"/>
      <c r="F2102" s="157"/>
      <c r="G2102" s="157"/>
      <c r="H2102" s="157"/>
      <c r="I2102" s="157"/>
      <c r="J2102" s="157"/>
      <c r="K2102" s="157"/>
      <c r="L2102" s="157"/>
      <c r="M2102" s="523"/>
      <c r="N2102" s="157"/>
      <c r="O2102" s="157"/>
    </row>
    <row r="2103" spans="3:15" ht="15" customHeight="1">
      <c r="C2103" s="498"/>
      <c r="D2103" s="256"/>
      <c r="E2103" s="195"/>
      <c r="F2103" s="157"/>
      <c r="G2103" s="157"/>
      <c r="H2103" s="157"/>
      <c r="I2103" s="157"/>
      <c r="J2103" s="157"/>
      <c r="K2103" s="157"/>
      <c r="L2103" s="157"/>
      <c r="M2103" s="523"/>
      <c r="N2103" s="157"/>
      <c r="O2103" s="157"/>
    </row>
    <row r="2104" spans="3:15" ht="15" customHeight="1">
      <c r="C2104" s="498"/>
      <c r="D2104" s="256"/>
      <c r="E2104" s="195"/>
      <c r="F2104" s="157"/>
      <c r="G2104" s="157"/>
      <c r="H2104" s="157"/>
      <c r="I2104" s="157"/>
      <c r="J2104" s="157"/>
      <c r="K2104" s="157"/>
      <c r="L2104" s="157"/>
      <c r="M2104" s="523"/>
      <c r="N2104" s="157"/>
      <c r="O2104" s="157"/>
    </row>
    <row r="2105" spans="3:15" ht="15" customHeight="1">
      <c r="C2105" s="498"/>
      <c r="D2105" s="256"/>
      <c r="E2105" s="195"/>
      <c r="F2105" s="157"/>
      <c r="G2105" s="157"/>
      <c r="H2105" s="157"/>
      <c r="I2105" s="157"/>
      <c r="J2105" s="157"/>
      <c r="K2105" s="157"/>
      <c r="L2105" s="157"/>
      <c r="M2105" s="523"/>
      <c r="N2105" s="157"/>
      <c r="O2105" s="157"/>
    </row>
    <row r="2106" spans="3:15" ht="15" customHeight="1">
      <c r="C2106" s="498"/>
      <c r="D2106" s="256"/>
      <c r="E2106" s="195"/>
      <c r="F2106" s="157"/>
      <c r="G2106" s="157"/>
      <c r="H2106" s="157"/>
      <c r="I2106" s="157"/>
      <c r="J2106" s="157"/>
      <c r="K2106" s="157"/>
      <c r="L2106" s="157"/>
      <c r="M2106" s="523"/>
      <c r="N2106" s="157"/>
      <c r="O2106" s="157"/>
    </row>
    <row r="2107" spans="3:15" ht="15" customHeight="1">
      <c r="C2107" s="498"/>
      <c r="D2107" s="256"/>
      <c r="E2107" s="195"/>
      <c r="F2107" s="157"/>
      <c r="G2107" s="157"/>
      <c r="H2107" s="157"/>
      <c r="I2107" s="157"/>
      <c r="J2107" s="157"/>
      <c r="K2107" s="157"/>
      <c r="L2107" s="157"/>
      <c r="M2107" s="523"/>
      <c r="N2107" s="157"/>
      <c r="O2107" s="157"/>
    </row>
    <row r="2108" spans="3:15" ht="15" customHeight="1">
      <c r="C2108" s="498"/>
      <c r="D2108" s="256"/>
      <c r="E2108" s="195"/>
      <c r="F2108" s="157"/>
      <c r="G2108" s="157"/>
      <c r="H2108" s="157"/>
      <c r="I2108" s="157"/>
      <c r="J2108" s="157"/>
      <c r="K2108" s="157"/>
      <c r="L2108" s="157"/>
      <c r="M2108" s="523"/>
      <c r="N2108" s="157"/>
      <c r="O2108" s="157"/>
    </row>
    <row r="2109" spans="3:15" ht="15" customHeight="1">
      <c r="C2109" s="498"/>
      <c r="D2109" s="256"/>
      <c r="E2109" s="195"/>
      <c r="F2109" s="157"/>
      <c r="G2109" s="157"/>
      <c r="H2109" s="157"/>
      <c r="I2109" s="157"/>
      <c r="J2109" s="157"/>
      <c r="K2109" s="157"/>
      <c r="L2109" s="157"/>
      <c r="M2109" s="523"/>
      <c r="N2109" s="157"/>
      <c r="O2109" s="157"/>
    </row>
    <row r="2110" spans="3:15" ht="15" customHeight="1">
      <c r="C2110" s="498"/>
      <c r="D2110" s="256"/>
      <c r="E2110" s="195"/>
      <c r="F2110" s="157"/>
      <c r="G2110" s="157"/>
      <c r="H2110" s="157"/>
      <c r="I2110" s="157"/>
      <c r="J2110" s="157"/>
      <c r="K2110" s="157"/>
      <c r="L2110" s="157"/>
      <c r="M2110" s="523"/>
      <c r="N2110" s="157"/>
      <c r="O2110" s="157"/>
    </row>
    <row r="2111" spans="3:15" ht="15" customHeight="1">
      <c r="C2111" s="498"/>
      <c r="D2111" s="256"/>
      <c r="E2111" s="195"/>
      <c r="F2111" s="157"/>
      <c r="G2111" s="157"/>
      <c r="H2111" s="157"/>
      <c r="I2111" s="157"/>
      <c r="J2111" s="157"/>
      <c r="K2111" s="157"/>
      <c r="L2111" s="157"/>
      <c r="M2111" s="523"/>
      <c r="N2111" s="157"/>
      <c r="O2111" s="157"/>
    </row>
    <row r="2112" spans="3:15" ht="15" customHeight="1">
      <c r="C2112" s="498"/>
      <c r="D2112" s="256"/>
      <c r="E2112" s="195"/>
      <c r="F2112" s="157"/>
      <c r="G2112" s="157"/>
      <c r="H2112" s="157"/>
      <c r="I2112" s="157"/>
      <c r="J2112" s="157"/>
      <c r="K2112" s="157"/>
      <c r="L2112" s="157"/>
      <c r="M2112" s="523"/>
      <c r="N2112" s="157"/>
      <c r="O2112" s="157"/>
    </row>
    <row r="2113" spans="3:15" ht="15" customHeight="1">
      <c r="C2113" s="498"/>
      <c r="D2113" s="256"/>
      <c r="E2113" s="195"/>
      <c r="F2113" s="157"/>
      <c r="G2113" s="157"/>
      <c r="H2113" s="157"/>
      <c r="I2113" s="157"/>
      <c r="J2113" s="157"/>
      <c r="K2113" s="157"/>
      <c r="L2113" s="157"/>
      <c r="M2113" s="523"/>
      <c r="N2113" s="157"/>
      <c r="O2113" s="157"/>
    </row>
    <row r="2114" spans="3:15" ht="15" customHeight="1">
      <c r="C2114" s="498"/>
      <c r="D2114" s="256"/>
      <c r="E2114" s="195"/>
      <c r="F2114" s="157"/>
      <c r="G2114" s="157"/>
      <c r="H2114" s="157"/>
      <c r="I2114" s="157"/>
      <c r="J2114" s="157"/>
      <c r="K2114" s="157"/>
      <c r="L2114" s="157"/>
      <c r="M2114" s="523"/>
      <c r="N2114" s="157"/>
      <c r="O2114" s="157"/>
    </row>
    <row r="2115" spans="3:15" ht="15" customHeight="1">
      <c r="C2115" s="498"/>
      <c r="D2115" s="256"/>
      <c r="E2115" s="195"/>
      <c r="F2115" s="157"/>
      <c r="G2115" s="157"/>
      <c r="H2115" s="157"/>
      <c r="I2115" s="157"/>
      <c r="J2115" s="157"/>
      <c r="K2115" s="157"/>
      <c r="L2115" s="157"/>
      <c r="M2115" s="523"/>
      <c r="N2115" s="157"/>
      <c r="O2115" s="157"/>
    </row>
    <row r="2116" spans="3:15" ht="15" customHeight="1">
      <c r="C2116" s="498"/>
      <c r="D2116" s="256"/>
      <c r="E2116" s="195"/>
      <c r="F2116" s="157"/>
      <c r="G2116" s="157"/>
      <c r="H2116" s="157"/>
      <c r="I2116" s="157"/>
      <c r="J2116" s="157"/>
      <c r="K2116" s="157"/>
      <c r="L2116" s="157"/>
      <c r="M2116" s="523"/>
      <c r="N2116" s="157"/>
      <c r="O2116" s="157"/>
    </row>
    <row r="2117" spans="3:15" ht="15" customHeight="1">
      <c r="C2117" s="498"/>
      <c r="D2117" s="256"/>
      <c r="E2117" s="195"/>
      <c r="F2117" s="157"/>
      <c r="G2117" s="157"/>
      <c r="H2117" s="157"/>
      <c r="I2117" s="157"/>
      <c r="J2117" s="157"/>
      <c r="K2117" s="157"/>
      <c r="L2117" s="157"/>
      <c r="M2117" s="523"/>
      <c r="N2117" s="157"/>
      <c r="O2117" s="157"/>
    </row>
    <row r="2118" spans="3:15" ht="15" customHeight="1">
      <c r="C2118" s="498"/>
      <c r="D2118" s="256"/>
      <c r="E2118" s="195"/>
      <c r="F2118" s="157"/>
      <c r="G2118" s="157"/>
      <c r="H2118" s="157"/>
      <c r="I2118" s="157"/>
      <c r="J2118" s="157"/>
      <c r="K2118" s="157"/>
      <c r="L2118" s="157"/>
      <c r="M2118" s="523"/>
      <c r="N2118" s="157"/>
      <c r="O2118" s="157"/>
    </row>
    <row r="2119" spans="3:15" ht="15" customHeight="1">
      <c r="C2119" s="498"/>
      <c r="D2119" s="256"/>
      <c r="E2119" s="195"/>
      <c r="F2119" s="157"/>
      <c r="G2119" s="157"/>
      <c r="H2119" s="157"/>
      <c r="I2119" s="157"/>
      <c r="J2119" s="157"/>
      <c r="K2119" s="157"/>
      <c r="L2119" s="157"/>
      <c r="M2119" s="523"/>
      <c r="N2119" s="157"/>
      <c r="O2119" s="157"/>
    </row>
    <row r="2120" spans="3:15" ht="15" customHeight="1">
      <c r="C2120" s="498"/>
      <c r="D2120" s="256"/>
      <c r="E2120" s="195"/>
      <c r="F2120" s="157"/>
      <c r="G2120" s="157"/>
      <c r="H2120" s="157"/>
      <c r="I2120" s="157"/>
      <c r="J2120" s="157"/>
      <c r="K2120" s="157"/>
      <c r="L2120" s="157"/>
      <c r="M2120" s="523"/>
      <c r="N2120" s="157"/>
      <c r="O2120" s="157"/>
    </row>
    <row r="2121" spans="3:15" ht="15" customHeight="1">
      <c r="C2121" s="498"/>
      <c r="D2121" s="256"/>
      <c r="E2121" s="195"/>
      <c r="F2121" s="157"/>
      <c r="G2121" s="157"/>
      <c r="H2121" s="157"/>
      <c r="I2121" s="157"/>
      <c r="J2121" s="157"/>
      <c r="K2121" s="157"/>
      <c r="L2121" s="157"/>
      <c r="M2121" s="523"/>
      <c r="N2121" s="157"/>
      <c r="O2121" s="157"/>
    </row>
    <row r="2122" spans="3:15" ht="15" customHeight="1">
      <c r="C2122" s="498"/>
      <c r="D2122" s="256"/>
      <c r="E2122" s="195"/>
      <c r="F2122" s="157"/>
      <c r="G2122" s="157"/>
      <c r="H2122" s="157"/>
      <c r="I2122" s="157"/>
      <c r="J2122" s="157"/>
      <c r="K2122" s="157"/>
      <c r="L2122" s="157"/>
      <c r="M2122" s="523"/>
      <c r="N2122" s="157"/>
      <c r="O2122" s="157"/>
    </row>
    <row r="2123" spans="3:15" ht="15" customHeight="1">
      <c r="C2123" s="498"/>
      <c r="D2123" s="256"/>
      <c r="E2123" s="195"/>
      <c r="F2123" s="157"/>
      <c r="G2123" s="157"/>
      <c r="H2123" s="157"/>
      <c r="I2123" s="157"/>
      <c r="J2123" s="157"/>
      <c r="K2123" s="157"/>
      <c r="L2123" s="157"/>
      <c r="M2123" s="523"/>
      <c r="N2123" s="157"/>
      <c r="O2123" s="157"/>
    </row>
    <row r="2124" spans="3:15" ht="15" customHeight="1">
      <c r="C2124" s="498"/>
      <c r="D2124" s="256"/>
      <c r="E2124" s="195"/>
      <c r="F2124" s="157"/>
      <c r="G2124" s="157"/>
      <c r="H2124" s="157"/>
      <c r="I2124" s="157"/>
      <c r="J2124" s="157"/>
      <c r="K2124" s="157"/>
      <c r="L2124" s="157"/>
      <c r="M2124" s="523"/>
      <c r="N2124" s="157"/>
      <c r="O2124" s="157"/>
    </row>
    <row r="2125" spans="3:15" ht="15" customHeight="1">
      <c r="C2125" s="498"/>
      <c r="D2125" s="256"/>
      <c r="E2125" s="195"/>
      <c r="F2125" s="157"/>
      <c r="G2125" s="157"/>
      <c r="H2125" s="157"/>
      <c r="I2125" s="157"/>
      <c r="J2125" s="157"/>
      <c r="K2125" s="157"/>
      <c r="L2125" s="157"/>
      <c r="M2125" s="523"/>
      <c r="N2125" s="157"/>
      <c r="O2125" s="157"/>
    </row>
    <row r="2126" spans="3:15" ht="15" customHeight="1">
      <c r="C2126" s="498"/>
      <c r="D2126" s="256"/>
      <c r="E2126" s="195"/>
      <c r="F2126" s="157"/>
      <c r="G2126" s="157"/>
      <c r="H2126" s="157"/>
      <c r="I2126" s="157"/>
      <c r="J2126" s="157"/>
      <c r="K2126" s="157"/>
      <c r="L2126" s="157"/>
      <c r="M2126" s="523"/>
      <c r="N2126" s="157"/>
      <c r="O2126" s="157"/>
    </row>
    <row r="2127" spans="3:15" ht="15" customHeight="1">
      <c r="C2127" s="498"/>
      <c r="D2127" s="256"/>
      <c r="E2127" s="195"/>
      <c r="F2127" s="157"/>
      <c r="G2127" s="157"/>
      <c r="H2127" s="157"/>
      <c r="I2127" s="157"/>
      <c r="J2127" s="157"/>
      <c r="K2127" s="157"/>
      <c r="L2127" s="157"/>
      <c r="M2127" s="523"/>
      <c r="N2127" s="157"/>
      <c r="O2127" s="157"/>
    </row>
    <row r="2128" spans="3:15" ht="15" customHeight="1">
      <c r="C2128" s="498"/>
      <c r="D2128" s="256"/>
      <c r="E2128" s="195"/>
      <c r="F2128" s="157"/>
      <c r="G2128" s="157"/>
      <c r="H2128" s="157"/>
      <c r="I2128" s="157"/>
      <c r="J2128" s="157"/>
      <c r="K2128" s="157"/>
      <c r="L2128" s="157"/>
      <c r="M2128" s="523"/>
      <c r="N2128" s="157"/>
      <c r="O2128" s="157"/>
    </row>
    <row r="2129" spans="3:15" ht="15" customHeight="1">
      <c r="C2129" s="498"/>
      <c r="D2129" s="256"/>
      <c r="E2129" s="195"/>
      <c r="F2129" s="157"/>
      <c r="G2129" s="157"/>
      <c r="H2129" s="157"/>
      <c r="I2129" s="157"/>
      <c r="J2129" s="157"/>
      <c r="K2129" s="157"/>
      <c r="L2129" s="157"/>
      <c r="M2129" s="523"/>
      <c r="N2129" s="157"/>
      <c r="O2129" s="157"/>
    </row>
    <row r="2130" spans="3:15" ht="15" customHeight="1">
      <c r="C2130" s="498"/>
      <c r="D2130" s="256"/>
      <c r="E2130" s="195"/>
      <c r="F2130" s="157"/>
      <c r="G2130" s="157"/>
      <c r="H2130" s="157"/>
      <c r="I2130" s="157"/>
      <c r="J2130" s="157"/>
      <c r="K2130" s="157"/>
      <c r="L2130" s="157"/>
      <c r="M2130" s="523"/>
      <c r="N2130" s="157"/>
      <c r="O2130" s="157"/>
    </row>
    <row r="2131" spans="3:15" ht="15" customHeight="1">
      <c r="C2131" s="498"/>
      <c r="D2131" s="256"/>
      <c r="E2131" s="195"/>
      <c r="F2131" s="157"/>
      <c r="G2131" s="157"/>
      <c r="H2131" s="157"/>
      <c r="I2131" s="157"/>
      <c r="J2131" s="157"/>
      <c r="K2131" s="157"/>
      <c r="L2131" s="157"/>
      <c r="M2131" s="523"/>
      <c r="N2131" s="157"/>
      <c r="O2131" s="157"/>
    </row>
    <row r="2132" spans="3:15" ht="15" customHeight="1">
      <c r="C2132" s="498"/>
      <c r="D2132" s="256"/>
      <c r="E2132" s="195"/>
      <c r="F2132" s="157"/>
      <c r="G2132" s="157"/>
      <c r="H2132" s="157"/>
      <c r="I2132" s="157"/>
      <c r="J2132" s="157"/>
      <c r="K2132" s="157"/>
      <c r="L2132" s="157"/>
      <c r="M2132" s="523"/>
      <c r="N2132" s="157"/>
      <c r="O2132" s="157"/>
    </row>
    <row r="2133" spans="3:15" ht="15" customHeight="1">
      <c r="C2133" s="498"/>
      <c r="D2133" s="256"/>
      <c r="E2133" s="195"/>
      <c r="F2133" s="157"/>
      <c r="G2133" s="157"/>
      <c r="H2133" s="157"/>
      <c r="I2133" s="157"/>
      <c r="J2133" s="157"/>
      <c r="K2133" s="157"/>
      <c r="L2133" s="157"/>
      <c r="M2133" s="523"/>
      <c r="N2133" s="157"/>
      <c r="O2133" s="157"/>
    </row>
    <row r="2134" spans="3:15" ht="15" customHeight="1">
      <c r="C2134" s="498"/>
      <c r="D2134" s="256"/>
      <c r="E2134" s="195"/>
      <c r="F2134" s="157"/>
      <c r="G2134" s="157"/>
      <c r="H2134" s="157"/>
      <c r="I2134" s="157"/>
      <c r="J2134" s="157"/>
      <c r="K2134" s="157"/>
      <c r="L2134" s="157"/>
      <c r="M2134" s="523"/>
      <c r="N2134" s="157"/>
      <c r="O2134" s="157"/>
    </row>
    <row r="2135" spans="3:15" ht="15" customHeight="1">
      <c r="C2135" s="498"/>
      <c r="D2135" s="256"/>
      <c r="E2135" s="195"/>
      <c r="F2135" s="157"/>
      <c r="G2135" s="157"/>
      <c r="H2135" s="157"/>
      <c r="I2135" s="157"/>
      <c r="J2135" s="157"/>
      <c r="K2135" s="157"/>
      <c r="L2135" s="157"/>
      <c r="M2135" s="523"/>
      <c r="N2135" s="157"/>
      <c r="O2135" s="157"/>
    </row>
    <row r="2136" spans="3:15" ht="15" customHeight="1">
      <c r="C2136" s="498"/>
      <c r="D2136" s="256"/>
      <c r="E2136" s="195"/>
      <c r="F2136" s="157"/>
      <c r="G2136" s="157"/>
      <c r="H2136" s="157"/>
      <c r="I2136" s="157"/>
      <c r="J2136" s="157"/>
      <c r="K2136" s="157"/>
      <c r="L2136" s="157"/>
      <c r="M2136" s="523"/>
      <c r="N2136" s="157"/>
      <c r="O2136" s="157"/>
    </row>
    <row r="2137" spans="3:15" ht="15" customHeight="1">
      <c r="C2137" s="498"/>
      <c r="D2137" s="256"/>
      <c r="E2137" s="195"/>
      <c r="F2137" s="157"/>
      <c r="G2137" s="157"/>
      <c r="H2137" s="157"/>
      <c r="I2137" s="157"/>
      <c r="J2137" s="157"/>
      <c r="K2137" s="157"/>
      <c r="L2137" s="157"/>
      <c r="M2137" s="523"/>
      <c r="N2137" s="157"/>
      <c r="O2137" s="157"/>
    </row>
    <row r="2138" spans="3:15" ht="15" customHeight="1">
      <c r="C2138" s="498"/>
      <c r="D2138" s="256"/>
      <c r="E2138" s="195"/>
      <c r="F2138" s="157"/>
      <c r="G2138" s="157"/>
      <c r="H2138" s="157"/>
      <c r="I2138" s="157"/>
      <c r="J2138" s="157"/>
      <c r="K2138" s="157"/>
      <c r="L2138" s="157"/>
      <c r="M2138" s="523"/>
      <c r="N2138" s="157"/>
      <c r="O2138" s="157"/>
    </row>
    <row r="2139" spans="3:15" ht="15" customHeight="1">
      <c r="C2139" s="498"/>
      <c r="D2139" s="256"/>
      <c r="E2139" s="195"/>
      <c r="F2139" s="157"/>
      <c r="G2139" s="157"/>
      <c r="H2139" s="157"/>
      <c r="I2139" s="157"/>
      <c r="J2139" s="157"/>
      <c r="K2139" s="157"/>
      <c r="L2139" s="157"/>
      <c r="M2139" s="523"/>
      <c r="N2139" s="157"/>
      <c r="O2139" s="157"/>
    </row>
    <row r="2140" spans="3:15" ht="15" customHeight="1">
      <c r="C2140" s="498"/>
      <c r="D2140" s="256"/>
      <c r="E2140" s="195"/>
      <c r="F2140" s="157"/>
      <c r="G2140" s="157"/>
      <c r="H2140" s="157"/>
      <c r="I2140" s="157"/>
      <c r="J2140" s="157"/>
      <c r="K2140" s="157"/>
      <c r="L2140" s="157"/>
      <c r="M2140" s="523"/>
      <c r="N2140" s="157"/>
      <c r="O2140" s="157"/>
    </row>
    <row r="2141" spans="3:15" ht="15" customHeight="1">
      <c r="C2141" s="498"/>
      <c r="D2141" s="256"/>
      <c r="E2141" s="195"/>
      <c r="F2141" s="157"/>
      <c r="G2141" s="157"/>
      <c r="H2141" s="157"/>
      <c r="I2141" s="157"/>
      <c r="J2141" s="157"/>
      <c r="K2141" s="157"/>
      <c r="L2141" s="157"/>
      <c r="M2141" s="523"/>
      <c r="N2141" s="157"/>
      <c r="O2141" s="157"/>
    </row>
    <row r="2142" spans="3:15" ht="15" customHeight="1">
      <c r="C2142" s="498"/>
      <c r="D2142" s="256"/>
      <c r="E2142" s="195"/>
      <c r="F2142" s="157"/>
      <c r="G2142" s="157"/>
      <c r="H2142" s="157"/>
      <c r="I2142" s="157"/>
      <c r="J2142" s="157"/>
      <c r="K2142" s="157"/>
      <c r="L2142" s="157"/>
      <c r="M2142" s="523"/>
      <c r="N2142" s="157"/>
      <c r="O2142" s="157"/>
    </row>
    <row r="2143" spans="3:15" ht="15" customHeight="1">
      <c r="C2143" s="498"/>
      <c r="D2143" s="256"/>
      <c r="E2143" s="195"/>
      <c r="F2143" s="157"/>
      <c r="G2143" s="157"/>
      <c r="H2143" s="157"/>
      <c r="I2143" s="157"/>
      <c r="J2143" s="157"/>
      <c r="K2143" s="157"/>
      <c r="L2143" s="157"/>
      <c r="M2143" s="523"/>
      <c r="N2143" s="157"/>
      <c r="O2143" s="157"/>
    </row>
    <row r="2144" spans="3:15" ht="15" customHeight="1">
      <c r="C2144" s="498"/>
      <c r="D2144" s="256"/>
      <c r="E2144" s="195"/>
      <c r="F2144" s="157"/>
      <c r="G2144" s="157"/>
      <c r="H2144" s="157"/>
      <c r="I2144" s="157"/>
      <c r="J2144" s="157"/>
      <c r="K2144" s="157"/>
      <c r="L2144" s="157"/>
      <c r="M2144" s="523"/>
      <c r="N2144" s="157"/>
      <c r="O2144" s="157"/>
    </row>
    <row r="2145" spans="3:15" ht="15" customHeight="1">
      <c r="C2145" s="498"/>
      <c r="D2145" s="256"/>
      <c r="E2145" s="195"/>
      <c r="F2145" s="157"/>
      <c r="G2145" s="157"/>
      <c r="H2145" s="157"/>
      <c r="I2145" s="157"/>
      <c r="J2145" s="157"/>
      <c r="K2145" s="157"/>
      <c r="L2145" s="157"/>
      <c r="M2145" s="523"/>
      <c r="N2145" s="157"/>
      <c r="O2145" s="157"/>
    </row>
    <row r="2146" spans="3:15" ht="15" customHeight="1">
      <c r="C2146" s="498"/>
      <c r="D2146" s="256"/>
      <c r="E2146" s="195"/>
      <c r="F2146" s="157"/>
      <c r="G2146" s="157"/>
      <c r="H2146" s="157"/>
      <c r="I2146" s="157"/>
      <c r="J2146" s="157"/>
      <c r="K2146" s="157"/>
      <c r="L2146" s="157"/>
      <c r="M2146" s="523"/>
      <c r="N2146" s="157"/>
      <c r="O2146" s="157"/>
    </row>
    <row r="2147" spans="3:15" ht="15" customHeight="1">
      <c r="C2147" s="498"/>
      <c r="D2147" s="256"/>
      <c r="E2147" s="195"/>
      <c r="F2147" s="157"/>
      <c r="G2147" s="157"/>
      <c r="H2147" s="157"/>
      <c r="I2147" s="157"/>
      <c r="J2147" s="157"/>
      <c r="K2147" s="157"/>
      <c r="L2147" s="157"/>
      <c r="M2147" s="523"/>
      <c r="N2147" s="157"/>
      <c r="O2147" s="157"/>
    </row>
    <row r="2148" spans="3:15" ht="15" customHeight="1">
      <c r="C2148" s="498"/>
      <c r="D2148" s="256"/>
      <c r="E2148" s="195"/>
      <c r="F2148" s="157"/>
      <c r="G2148" s="157"/>
      <c r="H2148" s="157"/>
      <c r="I2148" s="157"/>
      <c r="J2148" s="157"/>
      <c r="K2148" s="157"/>
      <c r="L2148" s="157"/>
      <c r="M2148" s="523"/>
      <c r="N2148" s="157"/>
      <c r="O2148" s="157"/>
    </row>
    <row r="2149" spans="3:15" ht="15" customHeight="1">
      <c r="C2149" s="498"/>
      <c r="D2149" s="256"/>
      <c r="E2149" s="195"/>
      <c r="F2149" s="157"/>
      <c r="G2149" s="157"/>
      <c r="H2149" s="157"/>
      <c r="I2149" s="157"/>
      <c r="J2149" s="157"/>
      <c r="K2149" s="157"/>
      <c r="L2149" s="157"/>
      <c r="M2149" s="523"/>
      <c r="N2149" s="157"/>
      <c r="O2149" s="157"/>
    </row>
    <row r="2150" spans="3:15" ht="15" customHeight="1">
      <c r="C2150" s="498"/>
      <c r="D2150" s="256"/>
      <c r="E2150" s="195"/>
      <c r="F2150" s="157"/>
      <c r="G2150" s="157"/>
      <c r="H2150" s="157"/>
      <c r="I2150" s="157"/>
      <c r="J2150" s="157"/>
      <c r="K2150" s="157"/>
      <c r="L2150" s="157"/>
      <c r="M2150" s="523"/>
      <c r="N2150" s="157"/>
      <c r="O2150" s="157"/>
    </row>
    <row r="2151" spans="3:15" ht="15" customHeight="1">
      <c r="C2151" s="498"/>
      <c r="D2151" s="256"/>
      <c r="E2151" s="195"/>
      <c r="F2151" s="157"/>
      <c r="G2151" s="157"/>
      <c r="H2151" s="157"/>
      <c r="I2151" s="157"/>
      <c r="J2151" s="157"/>
      <c r="K2151" s="157"/>
      <c r="L2151" s="157"/>
      <c r="M2151" s="523"/>
      <c r="N2151" s="157"/>
      <c r="O2151" s="157"/>
    </row>
    <row r="2152" spans="3:15" ht="15" customHeight="1">
      <c r="C2152" s="498"/>
      <c r="D2152" s="256"/>
      <c r="E2152" s="195"/>
      <c r="F2152" s="157"/>
      <c r="G2152" s="157"/>
      <c r="H2152" s="157"/>
      <c r="I2152" s="157"/>
      <c r="J2152" s="157"/>
      <c r="K2152" s="157"/>
      <c r="L2152" s="157"/>
      <c r="M2152" s="523"/>
      <c r="N2152" s="157"/>
      <c r="O2152" s="157"/>
    </row>
    <row r="2153" spans="3:15" ht="15" customHeight="1">
      <c r="C2153" s="498"/>
      <c r="D2153" s="256"/>
      <c r="E2153" s="195"/>
      <c r="F2153" s="157"/>
      <c r="G2153" s="157"/>
      <c r="H2153" s="157"/>
      <c r="I2153" s="157"/>
      <c r="J2153" s="157"/>
      <c r="K2153" s="157"/>
      <c r="L2153" s="157"/>
      <c r="M2153" s="523"/>
      <c r="N2153" s="157"/>
      <c r="O2153" s="157"/>
    </row>
    <row r="2154" spans="3:15" ht="15" customHeight="1">
      <c r="C2154" s="498"/>
      <c r="D2154" s="256"/>
      <c r="E2154" s="195"/>
      <c r="F2154" s="157"/>
      <c r="G2154" s="157"/>
      <c r="H2154" s="157"/>
      <c r="I2154" s="157"/>
      <c r="J2154" s="157"/>
      <c r="K2154" s="157"/>
      <c r="L2154" s="157"/>
      <c r="M2154" s="523"/>
      <c r="N2154" s="157"/>
      <c r="O2154" s="157"/>
    </row>
    <row r="2155" spans="3:15" ht="15" customHeight="1">
      <c r="C2155" s="498"/>
      <c r="D2155" s="256"/>
      <c r="E2155" s="195"/>
      <c r="F2155" s="157"/>
      <c r="G2155" s="157"/>
      <c r="H2155" s="157"/>
      <c r="I2155" s="157"/>
      <c r="J2155" s="157"/>
      <c r="K2155" s="157"/>
      <c r="L2155" s="157"/>
      <c r="M2155" s="523"/>
      <c r="N2155" s="157"/>
      <c r="O2155" s="157"/>
    </row>
    <row r="2156" spans="3:15" ht="15" customHeight="1">
      <c r="C2156" s="498"/>
      <c r="D2156" s="256"/>
      <c r="E2156" s="195"/>
      <c r="F2156" s="157"/>
      <c r="G2156" s="157"/>
      <c r="H2156" s="157"/>
      <c r="I2156" s="157"/>
      <c r="J2156" s="157"/>
      <c r="K2156" s="157"/>
      <c r="L2156" s="157"/>
      <c r="M2156" s="523"/>
      <c r="N2156" s="157"/>
      <c r="O2156" s="157"/>
    </row>
    <row r="2157" spans="3:15" ht="15" customHeight="1">
      <c r="C2157" s="498"/>
      <c r="D2157" s="256"/>
      <c r="E2157" s="195"/>
      <c r="F2157" s="157"/>
      <c r="G2157" s="157"/>
      <c r="H2157" s="157"/>
      <c r="I2157" s="157"/>
      <c r="J2157" s="157"/>
      <c r="K2157" s="157"/>
      <c r="L2157" s="157"/>
      <c r="M2157" s="523"/>
      <c r="N2157" s="157"/>
      <c r="O2157" s="157"/>
    </row>
    <row r="2158" spans="3:15" ht="15" customHeight="1">
      <c r="C2158" s="498"/>
      <c r="D2158" s="256"/>
      <c r="E2158" s="195"/>
      <c r="F2158" s="157"/>
      <c r="G2158" s="157"/>
      <c r="H2158" s="157"/>
      <c r="I2158" s="157"/>
      <c r="J2158" s="157"/>
      <c r="K2158" s="157"/>
      <c r="L2158" s="157"/>
      <c r="M2158" s="523"/>
      <c r="N2158" s="157"/>
      <c r="O2158" s="157"/>
    </row>
    <row r="2159" spans="3:15" ht="15" customHeight="1">
      <c r="C2159" s="498"/>
      <c r="D2159" s="256"/>
      <c r="E2159" s="195"/>
      <c r="F2159" s="157"/>
      <c r="G2159" s="157"/>
      <c r="H2159" s="157"/>
      <c r="I2159" s="157"/>
      <c r="J2159" s="157"/>
      <c r="K2159" s="157"/>
      <c r="L2159" s="157"/>
      <c r="M2159" s="523"/>
      <c r="N2159" s="157"/>
      <c r="O2159" s="157"/>
    </row>
    <row r="2160" spans="3:15" ht="15" customHeight="1">
      <c r="C2160" s="498"/>
      <c r="D2160" s="256"/>
      <c r="E2160" s="195"/>
      <c r="F2160" s="157"/>
      <c r="G2160" s="157"/>
      <c r="H2160" s="157"/>
      <c r="I2160" s="157"/>
      <c r="J2160" s="157"/>
      <c r="K2160" s="157"/>
      <c r="L2160" s="157"/>
      <c r="M2160" s="523"/>
      <c r="N2160" s="157"/>
      <c r="O2160" s="157"/>
    </row>
    <row r="2161" spans="3:15" ht="15" customHeight="1">
      <c r="C2161" s="498"/>
      <c r="D2161" s="256"/>
      <c r="E2161" s="195"/>
      <c r="F2161" s="157"/>
      <c r="G2161" s="157"/>
      <c r="H2161" s="157"/>
      <c r="I2161" s="157"/>
      <c r="J2161" s="157"/>
      <c r="K2161" s="157"/>
      <c r="L2161" s="157"/>
      <c r="M2161" s="523"/>
      <c r="N2161" s="157"/>
      <c r="O2161" s="157"/>
    </row>
    <row r="2162" spans="3:15" ht="15" customHeight="1">
      <c r="C2162" s="498"/>
      <c r="D2162" s="256"/>
      <c r="E2162" s="195"/>
      <c r="F2162" s="157"/>
      <c r="G2162" s="157"/>
      <c r="H2162" s="157"/>
      <c r="I2162" s="157"/>
      <c r="J2162" s="157"/>
      <c r="K2162" s="157"/>
      <c r="L2162" s="157"/>
      <c r="M2162" s="523"/>
      <c r="N2162" s="157"/>
      <c r="O2162" s="157"/>
    </row>
    <row r="2163" spans="3:15" ht="15" customHeight="1">
      <c r="C2163" s="498"/>
      <c r="D2163" s="256"/>
      <c r="E2163" s="195"/>
      <c r="F2163" s="157"/>
      <c r="G2163" s="157"/>
      <c r="H2163" s="157"/>
      <c r="I2163" s="157"/>
      <c r="J2163" s="157"/>
      <c r="K2163" s="157"/>
      <c r="L2163" s="157"/>
      <c r="M2163" s="523"/>
      <c r="N2163" s="157"/>
      <c r="O2163" s="157"/>
    </row>
    <row r="2164" spans="3:15" ht="15" customHeight="1">
      <c r="C2164" s="498"/>
      <c r="D2164" s="256"/>
      <c r="E2164" s="195"/>
      <c r="F2164" s="157"/>
      <c r="G2164" s="157"/>
      <c r="H2164" s="157"/>
      <c r="I2164" s="157"/>
      <c r="J2164" s="157"/>
      <c r="K2164" s="157"/>
      <c r="L2164" s="157"/>
      <c r="M2164" s="523"/>
      <c r="N2164" s="157"/>
      <c r="O2164" s="157"/>
    </row>
    <row r="2165" spans="3:15" ht="15" customHeight="1">
      <c r="C2165" s="498"/>
      <c r="D2165" s="256"/>
      <c r="E2165" s="195"/>
      <c r="F2165" s="157"/>
      <c r="G2165" s="157"/>
      <c r="H2165" s="157"/>
      <c r="I2165" s="157"/>
      <c r="J2165" s="157"/>
      <c r="K2165" s="157"/>
      <c r="L2165" s="157"/>
      <c r="M2165" s="523"/>
      <c r="N2165" s="157"/>
      <c r="O2165" s="157"/>
    </row>
    <row r="2166" spans="3:15" ht="15" customHeight="1">
      <c r="C2166" s="498"/>
      <c r="D2166" s="256"/>
      <c r="E2166" s="195"/>
      <c r="F2166" s="157"/>
      <c r="G2166" s="157"/>
      <c r="H2166" s="157"/>
      <c r="I2166" s="157"/>
      <c r="J2166" s="157"/>
      <c r="K2166" s="157"/>
      <c r="L2166" s="157"/>
      <c r="M2166" s="523"/>
      <c r="N2166" s="157"/>
      <c r="O2166" s="157"/>
    </row>
    <row r="2167" spans="3:15" ht="15" customHeight="1">
      <c r="C2167" s="498"/>
      <c r="D2167" s="256"/>
      <c r="E2167" s="195"/>
      <c r="F2167" s="157"/>
      <c r="G2167" s="157"/>
      <c r="H2167" s="157"/>
      <c r="I2167" s="157"/>
      <c r="J2167" s="157"/>
      <c r="K2167" s="157"/>
      <c r="L2167" s="157"/>
      <c r="M2167" s="523"/>
      <c r="N2167" s="157"/>
      <c r="O2167" s="157"/>
    </row>
    <row r="2168" spans="3:15" ht="15" customHeight="1">
      <c r="C2168" s="498"/>
      <c r="D2168" s="256"/>
      <c r="E2168" s="195"/>
      <c r="F2168" s="157"/>
      <c r="G2168" s="157"/>
      <c r="H2168" s="157"/>
      <c r="I2168" s="157"/>
      <c r="J2168" s="157"/>
      <c r="K2168" s="157"/>
      <c r="L2168" s="157"/>
      <c r="M2168" s="523"/>
      <c r="N2168" s="157"/>
      <c r="O2168" s="157"/>
    </row>
    <row r="2169" spans="3:15" ht="15" customHeight="1">
      <c r="C2169" s="498"/>
      <c r="D2169" s="256"/>
      <c r="E2169" s="195"/>
      <c r="F2169" s="157"/>
      <c r="G2169" s="157"/>
      <c r="H2169" s="157"/>
      <c r="I2169" s="157"/>
      <c r="J2169" s="157"/>
      <c r="K2169" s="157"/>
      <c r="L2169" s="157"/>
      <c r="M2169" s="523"/>
      <c r="N2169" s="157"/>
      <c r="O2169" s="157"/>
    </row>
    <row r="2170" spans="3:15" ht="15" customHeight="1">
      <c r="C2170" s="498"/>
      <c r="D2170" s="256"/>
      <c r="E2170" s="195"/>
      <c r="F2170" s="157"/>
      <c r="G2170" s="157"/>
      <c r="H2170" s="157"/>
      <c r="I2170" s="157"/>
      <c r="J2170" s="157"/>
      <c r="K2170" s="157"/>
      <c r="L2170" s="157"/>
      <c r="M2170" s="523"/>
      <c r="N2170" s="157"/>
      <c r="O2170" s="157"/>
    </row>
    <row r="2171" spans="3:15" ht="15" customHeight="1">
      <c r="C2171" s="498"/>
      <c r="D2171" s="256"/>
      <c r="E2171" s="195"/>
      <c r="F2171" s="157"/>
      <c r="G2171" s="157"/>
      <c r="H2171" s="157"/>
      <c r="I2171" s="157"/>
      <c r="J2171" s="157"/>
      <c r="K2171" s="157"/>
      <c r="L2171" s="157"/>
      <c r="M2171" s="523"/>
      <c r="N2171" s="157"/>
      <c r="O2171" s="157"/>
    </row>
    <row r="2172" spans="3:15" ht="15" customHeight="1">
      <c r="C2172" s="498"/>
      <c r="D2172" s="256"/>
      <c r="E2172" s="195"/>
      <c r="F2172" s="157"/>
      <c r="G2172" s="157"/>
      <c r="H2172" s="157"/>
      <c r="I2172" s="157"/>
      <c r="J2172" s="157"/>
      <c r="K2172" s="157"/>
      <c r="L2172" s="157"/>
      <c r="M2172" s="523"/>
      <c r="N2172" s="157"/>
      <c r="O2172" s="157"/>
    </row>
    <row r="2173" spans="3:15" ht="15" customHeight="1">
      <c r="C2173" s="498"/>
      <c r="D2173" s="256"/>
      <c r="E2173" s="195"/>
      <c r="F2173" s="157"/>
      <c r="G2173" s="157"/>
      <c r="H2173" s="157"/>
      <c r="I2173" s="157"/>
      <c r="J2173" s="157"/>
      <c r="K2173" s="157"/>
      <c r="L2173" s="157"/>
      <c r="M2173" s="523"/>
      <c r="N2173" s="157"/>
      <c r="O2173" s="157"/>
    </row>
    <row r="2174" spans="3:15" ht="15" customHeight="1">
      <c r="C2174" s="498"/>
      <c r="D2174" s="256"/>
      <c r="E2174" s="195"/>
      <c r="F2174" s="157"/>
      <c r="G2174" s="157"/>
      <c r="H2174" s="157"/>
      <c r="I2174" s="157"/>
      <c r="J2174" s="157"/>
      <c r="K2174" s="157"/>
      <c r="L2174" s="157"/>
      <c r="M2174" s="523"/>
      <c r="N2174" s="157"/>
      <c r="O2174" s="157"/>
    </row>
    <row r="2175" spans="3:15" ht="15" customHeight="1">
      <c r="C2175" s="498"/>
      <c r="D2175" s="256"/>
      <c r="E2175" s="195"/>
      <c r="F2175" s="157"/>
      <c r="G2175" s="157"/>
      <c r="H2175" s="157"/>
      <c r="I2175" s="157"/>
      <c r="J2175" s="157"/>
      <c r="K2175" s="157"/>
      <c r="L2175" s="157"/>
      <c r="M2175" s="523"/>
      <c r="N2175" s="157"/>
      <c r="O2175" s="157"/>
    </row>
    <row r="2176" spans="3:15" ht="15" customHeight="1">
      <c r="C2176" s="498"/>
      <c r="D2176" s="256"/>
      <c r="E2176" s="195"/>
      <c r="F2176" s="157"/>
      <c r="G2176" s="157"/>
      <c r="H2176" s="157"/>
      <c r="I2176" s="157"/>
      <c r="J2176" s="157"/>
      <c r="K2176" s="157"/>
      <c r="L2176" s="157"/>
      <c r="M2176" s="523"/>
      <c r="N2176" s="157"/>
      <c r="O2176" s="157"/>
    </row>
    <row r="2177" spans="3:15" ht="15" customHeight="1">
      <c r="C2177" s="498"/>
      <c r="D2177" s="256"/>
      <c r="E2177" s="195"/>
      <c r="F2177" s="157"/>
      <c r="G2177" s="157"/>
      <c r="H2177" s="157"/>
      <c r="I2177" s="157"/>
      <c r="J2177" s="157"/>
      <c r="K2177" s="157"/>
      <c r="L2177" s="157"/>
      <c r="M2177" s="523"/>
      <c r="N2177" s="157"/>
      <c r="O2177" s="157"/>
    </row>
    <row r="2178" spans="3:15" ht="15" customHeight="1">
      <c r="C2178" s="498"/>
      <c r="D2178" s="256"/>
      <c r="E2178" s="195"/>
      <c r="F2178" s="157"/>
      <c r="G2178" s="157"/>
      <c r="H2178" s="157"/>
      <c r="I2178" s="157"/>
      <c r="J2178" s="157"/>
      <c r="K2178" s="157"/>
      <c r="L2178" s="157"/>
      <c r="M2178" s="523"/>
      <c r="N2178" s="157"/>
      <c r="O2178" s="157"/>
    </row>
    <row r="2179" spans="3:15" ht="15" customHeight="1">
      <c r="C2179" s="498"/>
      <c r="D2179" s="256"/>
      <c r="E2179" s="195"/>
      <c r="F2179" s="157"/>
      <c r="G2179" s="157"/>
      <c r="H2179" s="157"/>
      <c r="I2179" s="157"/>
      <c r="J2179" s="157"/>
      <c r="K2179" s="157"/>
      <c r="L2179" s="157"/>
      <c r="M2179" s="523"/>
      <c r="N2179" s="157"/>
      <c r="O2179" s="157"/>
    </row>
    <row r="2180" spans="3:15" ht="15" customHeight="1">
      <c r="C2180" s="498"/>
      <c r="D2180" s="256"/>
      <c r="E2180" s="195"/>
      <c r="F2180" s="157"/>
      <c r="G2180" s="157"/>
      <c r="H2180" s="157"/>
      <c r="I2180" s="157"/>
      <c r="J2180" s="157"/>
      <c r="K2180" s="157"/>
      <c r="L2180" s="157"/>
      <c r="M2180" s="523"/>
      <c r="N2180" s="157"/>
      <c r="O2180" s="157"/>
    </row>
    <row r="2181" spans="3:15" ht="15" customHeight="1">
      <c r="C2181" s="498"/>
      <c r="D2181" s="256"/>
      <c r="E2181" s="195"/>
      <c r="F2181" s="157"/>
      <c r="G2181" s="157"/>
      <c r="H2181" s="157"/>
      <c r="I2181" s="157"/>
      <c r="J2181" s="157"/>
      <c r="K2181" s="157"/>
      <c r="L2181" s="157"/>
      <c r="M2181" s="523"/>
      <c r="N2181" s="157"/>
      <c r="O2181" s="157"/>
    </row>
    <row r="2182" spans="3:15" ht="15" customHeight="1">
      <c r="C2182" s="498"/>
      <c r="D2182" s="256"/>
      <c r="E2182" s="195"/>
      <c r="F2182" s="157"/>
      <c r="G2182" s="157"/>
      <c r="H2182" s="157"/>
      <c r="I2182" s="157"/>
      <c r="J2182" s="157"/>
      <c r="K2182" s="157"/>
      <c r="L2182" s="157"/>
      <c r="M2182" s="523"/>
      <c r="N2182" s="157"/>
      <c r="O2182" s="157"/>
    </row>
    <row r="2183" spans="3:15" ht="15" customHeight="1">
      <c r="C2183" s="498"/>
      <c r="D2183" s="256"/>
      <c r="E2183" s="195"/>
      <c r="F2183" s="157"/>
      <c r="G2183" s="157"/>
      <c r="H2183" s="157"/>
      <c r="I2183" s="157"/>
      <c r="J2183" s="157"/>
      <c r="K2183" s="157"/>
      <c r="L2183" s="157"/>
      <c r="M2183" s="523"/>
      <c r="N2183" s="157"/>
      <c r="O2183" s="157"/>
    </row>
    <row r="2184" spans="3:15" ht="15" customHeight="1">
      <c r="C2184" s="498"/>
      <c r="D2184" s="256"/>
      <c r="E2184" s="195"/>
      <c r="F2184" s="157"/>
      <c r="G2184" s="157"/>
      <c r="H2184" s="157"/>
      <c r="I2184" s="157"/>
      <c r="J2184" s="157"/>
      <c r="K2184" s="157"/>
      <c r="L2184" s="157"/>
      <c r="M2184" s="523"/>
      <c r="N2184" s="157"/>
      <c r="O2184" s="157"/>
    </row>
    <row r="2185" spans="3:15" ht="15" customHeight="1">
      <c r="C2185" s="498"/>
      <c r="D2185" s="256"/>
      <c r="E2185" s="195"/>
      <c r="F2185" s="157"/>
      <c r="G2185" s="157"/>
      <c r="H2185" s="157"/>
      <c r="I2185" s="157"/>
      <c r="J2185" s="157"/>
      <c r="K2185" s="157"/>
      <c r="L2185" s="157"/>
      <c r="M2185" s="523"/>
      <c r="N2185" s="157"/>
      <c r="O2185" s="157"/>
    </row>
    <row r="2186" spans="3:15" ht="15" customHeight="1">
      <c r="C2186" s="498"/>
      <c r="D2186" s="256"/>
      <c r="E2186" s="195"/>
      <c r="F2186" s="157"/>
      <c r="G2186" s="157"/>
      <c r="H2186" s="157"/>
      <c r="I2186" s="157"/>
      <c r="J2186" s="157"/>
      <c r="K2186" s="157"/>
      <c r="L2186" s="157"/>
      <c r="M2186" s="523"/>
      <c r="N2186" s="157"/>
      <c r="O2186" s="157"/>
    </row>
    <row r="2187" spans="3:15" ht="15" customHeight="1">
      <c r="C2187" s="498"/>
      <c r="D2187" s="256"/>
      <c r="E2187" s="195"/>
      <c r="F2187" s="157"/>
      <c r="G2187" s="157"/>
      <c r="H2187" s="157"/>
      <c r="I2187" s="157"/>
      <c r="J2187" s="157"/>
      <c r="K2187" s="157"/>
      <c r="L2187" s="157"/>
      <c r="M2187" s="523"/>
      <c r="N2187" s="157"/>
      <c r="O2187" s="157"/>
    </row>
    <row r="2188" spans="3:15" ht="15" customHeight="1">
      <c r="C2188" s="498"/>
      <c r="D2188" s="256"/>
      <c r="E2188" s="195"/>
      <c r="F2188" s="157"/>
      <c r="G2188" s="157"/>
      <c r="H2188" s="157"/>
      <c r="I2188" s="157"/>
      <c r="J2188" s="157"/>
      <c r="K2188" s="157"/>
      <c r="L2188" s="157"/>
      <c r="M2188" s="523"/>
      <c r="N2188" s="157"/>
      <c r="O2188" s="157"/>
    </row>
    <row r="2189" spans="3:15" ht="15" customHeight="1">
      <c r="C2189" s="498"/>
      <c r="D2189" s="256"/>
      <c r="E2189" s="195"/>
      <c r="F2189" s="157"/>
      <c r="G2189" s="157"/>
      <c r="H2189" s="157"/>
      <c r="I2189" s="157"/>
      <c r="J2189" s="157"/>
      <c r="K2189" s="157"/>
      <c r="L2189" s="157"/>
      <c r="M2189" s="523"/>
      <c r="N2189" s="157"/>
      <c r="O2189" s="157"/>
    </row>
    <row r="2190" spans="3:15" ht="15" customHeight="1">
      <c r="C2190" s="498"/>
      <c r="D2190" s="256"/>
      <c r="E2190" s="195"/>
      <c r="F2190" s="157"/>
      <c r="G2190" s="157"/>
      <c r="H2190" s="157"/>
      <c r="I2190" s="157"/>
      <c r="J2190" s="157"/>
      <c r="K2190" s="157"/>
      <c r="L2190" s="157"/>
      <c r="M2190" s="523"/>
      <c r="N2190" s="157"/>
      <c r="O2190" s="157"/>
    </row>
    <row r="2191" spans="3:15" ht="15" customHeight="1">
      <c r="C2191" s="498"/>
      <c r="D2191" s="256"/>
      <c r="E2191" s="195"/>
      <c r="F2191" s="157"/>
      <c r="G2191" s="157"/>
      <c r="H2191" s="157"/>
      <c r="I2191" s="157"/>
      <c r="J2191" s="157"/>
      <c r="K2191" s="157"/>
      <c r="L2191" s="157"/>
      <c r="M2191" s="523"/>
      <c r="N2191" s="157"/>
      <c r="O2191" s="157"/>
    </row>
    <row r="2192" spans="3:15" ht="15" customHeight="1">
      <c r="C2192" s="498"/>
      <c r="D2192" s="256"/>
      <c r="E2192" s="195"/>
      <c r="F2192" s="157"/>
      <c r="G2192" s="157"/>
      <c r="H2192" s="157"/>
      <c r="I2192" s="157"/>
      <c r="J2192" s="157"/>
      <c r="K2192" s="157"/>
      <c r="L2192" s="157"/>
      <c r="M2192" s="523"/>
      <c r="N2192" s="157"/>
      <c r="O2192" s="157"/>
    </row>
    <row r="2193" spans="3:15" ht="15" customHeight="1">
      <c r="C2193" s="498"/>
      <c r="D2193" s="256"/>
      <c r="E2193" s="195"/>
      <c r="F2193" s="157"/>
      <c r="G2193" s="157"/>
      <c r="H2193" s="157"/>
      <c r="I2193" s="157"/>
      <c r="J2193" s="157"/>
      <c r="K2193" s="157"/>
      <c r="L2193" s="157"/>
      <c r="M2193" s="523"/>
      <c r="N2193" s="157"/>
      <c r="O2193" s="157"/>
    </row>
    <row r="2194" spans="3:15" ht="15" customHeight="1">
      <c r="C2194" s="498"/>
      <c r="D2194" s="256"/>
      <c r="E2194" s="195"/>
      <c r="F2194" s="157"/>
      <c r="G2194" s="157"/>
      <c r="H2194" s="157"/>
      <c r="I2194" s="157"/>
      <c r="J2194" s="157"/>
      <c r="K2194" s="157"/>
      <c r="L2194" s="157"/>
      <c r="M2194" s="523"/>
      <c r="N2194" s="157"/>
      <c r="O2194" s="157"/>
    </row>
    <row r="2195" spans="3:15" ht="15" customHeight="1">
      <c r="C2195" s="498"/>
      <c r="D2195" s="256"/>
      <c r="E2195" s="195"/>
      <c r="F2195" s="157"/>
      <c r="G2195" s="157"/>
      <c r="H2195" s="157"/>
      <c r="I2195" s="157"/>
      <c r="J2195" s="157"/>
      <c r="K2195" s="157"/>
      <c r="L2195" s="157"/>
      <c r="M2195" s="523"/>
      <c r="N2195" s="157"/>
      <c r="O2195" s="157"/>
    </row>
    <row r="2196" spans="3:15" ht="15" customHeight="1">
      <c r="C2196" s="498"/>
      <c r="D2196" s="256"/>
      <c r="E2196" s="195"/>
      <c r="F2196" s="157"/>
      <c r="G2196" s="157"/>
      <c r="H2196" s="157"/>
      <c r="I2196" s="157"/>
      <c r="J2196" s="157"/>
      <c r="K2196" s="157"/>
      <c r="L2196" s="157"/>
      <c r="M2196" s="523"/>
      <c r="N2196" s="157"/>
      <c r="O2196" s="157"/>
    </row>
    <row r="2197" spans="3:15" ht="15" customHeight="1">
      <c r="C2197" s="498"/>
      <c r="D2197" s="256"/>
      <c r="E2197" s="195"/>
      <c r="F2197" s="157"/>
      <c r="G2197" s="157"/>
      <c r="H2197" s="157"/>
      <c r="I2197" s="157"/>
      <c r="J2197" s="157"/>
      <c r="K2197" s="157"/>
      <c r="L2197" s="157"/>
      <c r="M2197" s="523"/>
      <c r="N2197" s="157"/>
      <c r="O2197" s="157"/>
    </row>
    <row r="2198" spans="3:15" ht="15" customHeight="1">
      <c r="C2198" s="498"/>
      <c r="D2198" s="256"/>
      <c r="E2198" s="195"/>
      <c r="F2198" s="157"/>
      <c r="G2198" s="157"/>
      <c r="H2198" s="157"/>
      <c r="I2198" s="157"/>
      <c r="J2198" s="157"/>
      <c r="K2198" s="157"/>
      <c r="L2198" s="157"/>
      <c r="M2198" s="523"/>
      <c r="N2198" s="157"/>
      <c r="O2198" s="157"/>
    </row>
    <row r="2199" spans="3:15" ht="15" customHeight="1">
      <c r="C2199" s="498"/>
      <c r="D2199" s="256"/>
      <c r="E2199" s="195"/>
      <c r="F2199" s="157"/>
      <c r="G2199" s="157"/>
      <c r="H2199" s="157"/>
      <c r="I2199" s="157"/>
      <c r="J2199" s="157"/>
      <c r="K2199" s="157"/>
      <c r="L2199" s="157"/>
      <c r="M2199" s="523"/>
      <c r="N2199" s="157"/>
      <c r="O2199" s="157"/>
    </row>
    <row r="2200" spans="3:15" ht="15" customHeight="1">
      <c r="C2200" s="498"/>
      <c r="D2200" s="256"/>
      <c r="E2200" s="195"/>
      <c r="F2200" s="157"/>
      <c r="G2200" s="157"/>
      <c r="H2200" s="157"/>
      <c r="I2200" s="157"/>
      <c r="J2200" s="157"/>
      <c r="K2200" s="157"/>
      <c r="L2200" s="157"/>
      <c r="M2200" s="523"/>
      <c r="N2200" s="157"/>
      <c r="O2200" s="157"/>
    </row>
    <row r="2201" spans="3:15" ht="15" customHeight="1">
      <c r="C2201" s="498"/>
      <c r="D2201" s="256"/>
      <c r="E2201" s="195"/>
      <c r="F2201" s="157"/>
      <c r="G2201" s="157"/>
      <c r="H2201" s="157"/>
      <c r="I2201" s="157"/>
      <c r="J2201" s="157"/>
      <c r="K2201" s="157"/>
      <c r="L2201" s="157"/>
      <c r="M2201" s="523"/>
      <c r="N2201" s="157"/>
      <c r="O2201" s="157"/>
    </row>
    <row r="2202" spans="3:15" ht="15" customHeight="1">
      <c r="C2202" s="498"/>
      <c r="D2202" s="256"/>
      <c r="E2202" s="195"/>
      <c r="F2202" s="157"/>
      <c r="G2202" s="157"/>
      <c r="H2202" s="157"/>
      <c r="I2202" s="157"/>
      <c r="J2202" s="157"/>
      <c r="K2202" s="157"/>
      <c r="L2202" s="157"/>
      <c r="M2202" s="523"/>
      <c r="N2202" s="157"/>
      <c r="O2202" s="157"/>
    </row>
    <row r="2203" spans="3:15" ht="15" customHeight="1">
      <c r="C2203" s="498"/>
      <c r="D2203" s="256"/>
      <c r="E2203" s="195"/>
      <c r="F2203" s="157"/>
      <c r="G2203" s="157"/>
      <c r="H2203" s="157"/>
      <c r="I2203" s="157"/>
      <c r="J2203" s="157"/>
      <c r="K2203" s="157"/>
      <c r="L2203" s="157"/>
      <c r="M2203" s="523"/>
      <c r="N2203" s="157"/>
      <c r="O2203" s="157"/>
    </row>
    <row r="2204" spans="3:15" ht="15" customHeight="1">
      <c r="C2204" s="498"/>
      <c r="D2204" s="256"/>
      <c r="E2204" s="195"/>
      <c r="F2204" s="157"/>
      <c r="G2204" s="157"/>
      <c r="H2204" s="157"/>
      <c r="I2204" s="157"/>
      <c r="J2204" s="157"/>
      <c r="K2204" s="157"/>
      <c r="L2204" s="157"/>
      <c r="M2204" s="523"/>
      <c r="N2204" s="157"/>
      <c r="O2204" s="157"/>
    </row>
    <row r="2205" spans="3:15" ht="15" customHeight="1">
      <c r="C2205" s="498"/>
      <c r="D2205" s="256"/>
      <c r="E2205" s="195"/>
      <c r="F2205" s="157"/>
      <c r="G2205" s="157"/>
      <c r="H2205" s="157"/>
      <c r="I2205" s="157"/>
      <c r="J2205" s="157"/>
      <c r="K2205" s="157"/>
      <c r="L2205" s="157"/>
      <c r="M2205" s="523"/>
      <c r="N2205" s="157"/>
      <c r="O2205" s="157"/>
    </row>
    <row r="2206" spans="3:15" ht="15" customHeight="1">
      <c r="C2206" s="498"/>
      <c r="D2206" s="256"/>
      <c r="E2206" s="195"/>
      <c r="F2206" s="157"/>
      <c r="G2206" s="157"/>
      <c r="H2206" s="157"/>
      <c r="I2206" s="157"/>
      <c r="J2206" s="157"/>
      <c r="K2206" s="157"/>
      <c r="L2206" s="157"/>
      <c r="M2206" s="523"/>
      <c r="N2206" s="157"/>
      <c r="O2206" s="157"/>
    </row>
    <row r="2207" spans="3:15" ht="15" customHeight="1">
      <c r="C2207" s="498"/>
      <c r="D2207" s="256"/>
      <c r="E2207" s="195"/>
      <c r="F2207" s="157"/>
      <c r="G2207" s="157"/>
      <c r="H2207" s="157"/>
      <c r="I2207" s="157"/>
      <c r="J2207" s="157"/>
      <c r="K2207" s="157"/>
      <c r="L2207" s="157"/>
      <c r="M2207" s="523"/>
      <c r="N2207" s="157"/>
      <c r="O2207" s="157"/>
    </row>
    <row r="2208" spans="3:15" ht="15" customHeight="1">
      <c r="C2208" s="498"/>
      <c r="D2208" s="256"/>
      <c r="E2208" s="195"/>
      <c r="F2208" s="157"/>
      <c r="G2208" s="157"/>
      <c r="H2208" s="157"/>
      <c r="I2208" s="157"/>
      <c r="J2208" s="157"/>
      <c r="K2208" s="157"/>
      <c r="L2208" s="157"/>
      <c r="M2208" s="523"/>
      <c r="N2208" s="157"/>
      <c r="O2208" s="157"/>
    </row>
    <row r="2209" spans="3:15" ht="15" customHeight="1">
      <c r="C2209" s="498"/>
      <c r="D2209" s="256"/>
      <c r="E2209" s="195"/>
      <c r="F2209" s="157"/>
      <c r="G2209" s="157"/>
      <c r="H2209" s="157"/>
      <c r="I2209" s="157"/>
      <c r="J2209" s="157"/>
      <c r="K2209" s="157"/>
      <c r="L2209" s="157"/>
      <c r="M2209" s="523"/>
      <c r="N2209" s="157"/>
      <c r="O2209" s="157"/>
    </row>
    <row r="2210" spans="3:15" ht="15" customHeight="1">
      <c r="C2210" s="498"/>
      <c r="D2210" s="256"/>
      <c r="E2210" s="195"/>
      <c r="F2210" s="157"/>
      <c r="G2210" s="157"/>
      <c r="H2210" s="157"/>
      <c r="I2210" s="157"/>
      <c r="J2210" s="157"/>
      <c r="K2210" s="157"/>
      <c r="L2210" s="157"/>
      <c r="M2210" s="523"/>
      <c r="N2210" s="157"/>
      <c r="O2210" s="157"/>
    </row>
    <row r="2211" spans="3:15" ht="15" customHeight="1">
      <c r="C2211" s="498"/>
      <c r="D2211" s="256"/>
      <c r="E2211" s="195"/>
      <c r="F2211" s="157"/>
      <c r="G2211" s="157"/>
      <c r="H2211" s="157"/>
      <c r="I2211" s="157"/>
      <c r="J2211" s="157"/>
      <c r="K2211" s="157"/>
      <c r="L2211" s="157"/>
      <c r="M2211" s="523"/>
      <c r="N2211" s="157"/>
      <c r="O2211" s="157"/>
    </row>
    <row r="2212" spans="3:15" ht="15" customHeight="1">
      <c r="C2212" s="498"/>
      <c r="D2212" s="256"/>
      <c r="E2212" s="195"/>
      <c r="F2212" s="157"/>
      <c r="G2212" s="157"/>
      <c r="H2212" s="157"/>
      <c r="I2212" s="157"/>
      <c r="J2212" s="157"/>
      <c r="K2212" s="157"/>
      <c r="L2212" s="157"/>
      <c r="M2212" s="523"/>
      <c r="N2212" s="157"/>
      <c r="O2212" s="157"/>
    </row>
    <row r="2213" spans="3:15" ht="15" customHeight="1">
      <c r="C2213" s="498"/>
      <c r="D2213" s="256"/>
      <c r="E2213" s="195"/>
      <c r="F2213" s="157"/>
      <c r="G2213" s="157"/>
      <c r="H2213" s="157"/>
      <c r="I2213" s="157"/>
      <c r="J2213" s="157"/>
      <c r="K2213" s="157"/>
      <c r="L2213" s="157"/>
      <c r="M2213" s="523"/>
      <c r="N2213" s="157"/>
      <c r="O2213" s="157"/>
    </row>
    <row r="2214" spans="3:15" ht="15" customHeight="1">
      <c r="C2214" s="498"/>
      <c r="D2214" s="256"/>
      <c r="E2214" s="195"/>
      <c r="F2214" s="157"/>
      <c r="G2214" s="157"/>
      <c r="H2214" s="157"/>
      <c r="I2214" s="157"/>
      <c r="J2214" s="157"/>
      <c r="K2214" s="157"/>
      <c r="L2214" s="157"/>
      <c r="M2214" s="523"/>
      <c r="N2214" s="157"/>
      <c r="O2214" s="157"/>
    </row>
    <row r="2215" spans="3:15" ht="15" customHeight="1">
      <c r="C2215" s="498"/>
      <c r="D2215" s="256"/>
      <c r="E2215" s="195"/>
      <c r="F2215" s="157"/>
      <c r="G2215" s="157"/>
      <c r="H2215" s="157"/>
      <c r="I2215" s="157"/>
      <c r="J2215" s="157"/>
      <c r="K2215" s="157"/>
      <c r="L2215" s="157"/>
      <c r="M2215" s="523"/>
      <c r="N2215" s="157"/>
      <c r="O2215" s="157"/>
    </row>
    <row r="2216" spans="3:15" ht="15" customHeight="1">
      <c r="C2216" s="498"/>
      <c r="D2216" s="256"/>
      <c r="E2216" s="195"/>
      <c r="F2216" s="157"/>
      <c r="G2216" s="157"/>
      <c r="H2216" s="157"/>
      <c r="I2216" s="157"/>
      <c r="J2216" s="157"/>
      <c r="K2216" s="157"/>
      <c r="L2216" s="157"/>
      <c r="M2216" s="523"/>
      <c r="N2216" s="157"/>
      <c r="O2216" s="157"/>
    </row>
    <row r="2217" spans="3:15" ht="15" customHeight="1">
      <c r="C2217" s="498"/>
      <c r="D2217" s="256"/>
      <c r="E2217" s="195"/>
      <c r="F2217" s="157"/>
      <c r="G2217" s="157"/>
      <c r="H2217" s="157"/>
      <c r="I2217" s="157"/>
      <c r="J2217" s="157"/>
      <c r="K2217" s="157"/>
      <c r="L2217" s="157"/>
      <c r="M2217" s="523"/>
      <c r="N2217" s="157"/>
      <c r="O2217" s="157"/>
    </row>
    <row r="2218" spans="3:15" ht="15" customHeight="1">
      <c r="C2218" s="498"/>
      <c r="D2218" s="256"/>
      <c r="E2218" s="195"/>
      <c r="F2218" s="157"/>
      <c r="G2218" s="157"/>
      <c r="H2218" s="157"/>
      <c r="I2218" s="157"/>
      <c r="J2218" s="157"/>
      <c r="K2218" s="157"/>
      <c r="L2218" s="157"/>
      <c r="M2218" s="523"/>
      <c r="N2218" s="157"/>
      <c r="O2218" s="157"/>
    </row>
    <row r="2219" spans="3:15" ht="15" customHeight="1">
      <c r="C2219" s="498"/>
      <c r="D2219" s="256"/>
      <c r="E2219" s="195"/>
      <c r="F2219" s="157"/>
      <c r="G2219" s="157"/>
      <c r="H2219" s="157"/>
      <c r="I2219" s="157"/>
      <c r="J2219" s="157"/>
      <c r="K2219" s="157"/>
      <c r="L2219" s="157"/>
      <c r="M2219" s="523"/>
      <c r="N2219" s="157"/>
      <c r="O2219" s="157"/>
    </row>
    <row r="2220" spans="3:15" ht="15" customHeight="1">
      <c r="C2220" s="498"/>
      <c r="D2220" s="256"/>
      <c r="E2220" s="195"/>
      <c r="F2220" s="157"/>
      <c r="G2220" s="157"/>
      <c r="H2220" s="157"/>
      <c r="I2220" s="157"/>
      <c r="J2220" s="157"/>
      <c r="K2220" s="157"/>
      <c r="L2220" s="157"/>
      <c r="M2220" s="523"/>
      <c r="N2220" s="157"/>
      <c r="O2220" s="157"/>
    </row>
    <row r="2221" spans="3:15" ht="15" customHeight="1">
      <c r="C2221" s="498"/>
      <c r="D2221" s="256"/>
      <c r="E2221" s="195"/>
      <c r="F2221" s="157"/>
      <c r="G2221" s="157"/>
      <c r="H2221" s="157"/>
      <c r="I2221" s="157"/>
      <c r="J2221" s="157"/>
      <c r="K2221" s="157"/>
      <c r="L2221" s="157"/>
      <c r="M2221" s="523"/>
      <c r="N2221" s="157"/>
      <c r="O2221" s="157"/>
    </row>
    <row r="2222" spans="3:15" ht="15" customHeight="1">
      <c r="C2222" s="498"/>
      <c r="D2222" s="256"/>
      <c r="E2222" s="195"/>
      <c r="F2222" s="157"/>
      <c r="G2222" s="157"/>
      <c r="H2222" s="157"/>
      <c r="I2222" s="157"/>
      <c r="J2222" s="157"/>
      <c r="K2222" s="157"/>
      <c r="L2222" s="157"/>
      <c r="M2222" s="523"/>
      <c r="N2222" s="157"/>
      <c r="O2222" s="157"/>
    </row>
    <row r="2223" spans="3:15" ht="15" customHeight="1">
      <c r="C2223" s="498"/>
      <c r="D2223" s="256"/>
      <c r="E2223" s="195"/>
      <c r="F2223" s="157"/>
      <c r="G2223" s="157"/>
      <c r="H2223" s="157"/>
      <c r="I2223" s="157"/>
      <c r="J2223" s="157"/>
      <c r="K2223" s="157"/>
      <c r="L2223" s="157"/>
      <c r="M2223" s="523"/>
      <c r="N2223" s="157"/>
      <c r="O2223" s="157"/>
    </row>
    <row r="2224" spans="3:15" ht="15" customHeight="1">
      <c r="C2224" s="498"/>
      <c r="D2224" s="256"/>
      <c r="E2224" s="195"/>
      <c r="F2224" s="157"/>
      <c r="G2224" s="157"/>
      <c r="H2224" s="157"/>
      <c r="I2224" s="157"/>
      <c r="J2224" s="157"/>
      <c r="K2224" s="157"/>
      <c r="L2224" s="157"/>
      <c r="M2224" s="523"/>
      <c r="N2224" s="157"/>
      <c r="O2224" s="157"/>
    </row>
    <row r="2225" spans="3:15" ht="15" customHeight="1">
      <c r="C2225" s="498"/>
      <c r="D2225" s="256"/>
      <c r="E2225" s="195"/>
      <c r="F2225" s="157"/>
      <c r="G2225" s="157"/>
      <c r="H2225" s="157"/>
      <c r="I2225" s="157"/>
      <c r="J2225" s="157"/>
      <c r="K2225" s="157"/>
      <c r="L2225" s="157"/>
      <c r="M2225" s="523"/>
      <c r="N2225" s="157"/>
      <c r="O2225" s="157"/>
    </row>
    <row r="2226" spans="3:15" ht="15" customHeight="1">
      <c r="C2226" s="498"/>
      <c r="D2226" s="256"/>
      <c r="E2226" s="195"/>
      <c r="F2226" s="157"/>
      <c r="G2226" s="157"/>
      <c r="H2226" s="157"/>
      <c r="I2226" s="157"/>
      <c r="J2226" s="157"/>
      <c r="K2226" s="157"/>
      <c r="L2226" s="157"/>
      <c r="M2226" s="523"/>
      <c r="N2226" s="157"/>
      <c r="O2226" s="157"/>
    </row>
    <row r="2227" spans="3:15" ht="15" customHeight="1">
      <c r="C2227" s="498"/>
      <c r="D2227" s="256"/>
      <c r="E2227" s="195"/>
      <c r="F2227" s="157"/>
      <c r="G2227" s="157"/>
      <c r="H2227" s="157"/>
      <c r="I2227" s="157"/>
      <c r="J2227" s="157"/>
      <c r="K2227" s="157"/>
      <c r="L2227" s="157"/>
      <c r="M2227" s="523"/>
      <c r="N2227" s="157"/>
      <c r="O2227" s="157"/>
    </row>
    <row r="2228" spans="3:15" ht="15" customHeight="1">
      <c r="C2228" s="498"/>
      <c r="D2228" s="256"/>
      <c r="E2228" s="195"/>
      <c r="F2228" s="157"/>
      <c r="G2228" s="157"/>
      <c r="H2228" s="157"/>
      <c r="I2228" s="157"/>
      <c r="J2228" s="157"/>
      <c r="K2228" s="157"/>
      <c r="L2228" s="157"/>
      <c r="M2228" s="523"/>
      <c r="N2228" s="157"/>
      <c r="O2228" s="157"/>
    </row>
    <row r="2229" spans="3:15" ht="15" customHeight="1">
      <c r="C2229" s="498"/>
      <c r="D2229" s="256"/>
      <c r="E2229" s="195"/>
      <c r="F2229" s="157"/>
      <c r="G2229" s="157"/>
      <c r="H2229" s="157"/>
      <c r="I2229" s="157"/>
      <c r="J2229" s="157"/>
      <c r="K2229" s="157"/>
      <c r="L2229" s="157"/>
      <c r="M2229" s="523"/>
      <c r="N2229" s="157"/>
      <c r="O2229" s="157"/>
    </row>
    <row r="2230" spans="3:15" ht="15" customHeight="1">
      <c r="C2230" s="498"/>
      <c r="D2230" s="256"/>
      <c r="E2230" s="195"/>
      <c r="F2230" s="157"/>
      <c r="G2230" s="157"/>
      <c r="H2230" s="157"/>
      <c r="I2230" s="157"/>
      <c r="J2230" s="157"/>
      <c r="K2230" s="157"/>
      <c r="L2230" s="157"/>
      <c r="M2230" s="523"/>
      <c r="N2230" s="157"/>
      <c r="O2230" s="157"/>
    </row>
    <row r="2231" spans="3:15" ht="15" customHeight="1">
      <c r="C2231" s="498"/>
      <c r="D2231" s="256"/>
      <c r="E2231" s="195"/>
      <c r="F2231" s="157"/>
      <c r="G2231" s="157"/>
      <c r="H2231" s="157"/>
      <c r="I2231" s="157"/>
      <c r="J2231" s="157"/>
      <c r="K2231" s="157"/>
      <c r="L2231" s="157"/>
      <c r="M2231" s="523"/>
      <c r="N2231" s="157"/>
      <c r="O2231" s="157"/>
    </row>
    <row r="2232" spans="3:15" ht="15" customHeight="1">
      <c r="C2232" s="498"/>
      <c r="D2232" s="256"/>
      <c r="E2232" s="195"/>
      <c r="F2232" s="157"/>
      <c r="G2232" s="157"/>
      <c r="H2232" s="157"/>
      <c r="I2232" s="157"/>
      <c r="J2232" s="157"/>
      <c r="K2232" s="157"/>
      <c r="L2232" s="157"/>
      <c r="M2232" s="523"/>
      <c r="N2232" s="157"/>
      <c r="O2232" s="157"/>
    </row>
    <row r="2233" spans="3:15" ht="15" customHeight="1">
      <c r="C2233" s="498"/>
      <c r="D2233" s="256"/>
      <c r="E2233" s="195"/>
      <c r="F2233" s="157"/>
      <c r="G2233" s="157"/>
      <c r="H2233" s="157"/>
      <c r="I2233" s="157"/>
      <c r="J2233" s="157"/>
      <c r="K2233" s="157"/>
      <c r="L2233" s="157"/>
      <c r="M2233" s="523"/>
      <c r="N2233" s="157"/>
      <c r="O2233" s="157"/>
    </row>
    <row r="2234" spans="3:15" ht="15" customHeight="1">
      <c r="C2234" s="498"/>
      <c r="D2234" s="256"/>
      <c r="E2234" s="195"/>
      <c r="F2234" s="157"/>
      <c r="G2234" s="157"/>
      <c r="H2234" s="157"/>
      <c r="I2234" s="157"/>
      <c r="J2234" s="157"/>
      <c r="K2234" s="157"/>
      <c r="L2234" s="157"/>
      <c r="M2234" s="523"/>
      <c r="N2234" s="157"/>
      <c r="O2234" s="157"/>
    </row>
    <row r="2235" spans="3:15" ht="15" customHeight="1">
      <c r="C2235" s="498"/>
      <c r="D2235" s="256"/>
      <c r="E2235" s="195"/>
      <c r="F2235" s="157"/>
      <c r="G2235" s="157"/>
      <c r="H2235" s="157"/>
      <c r="I2235" s="157"/>
      <c r="J2235" s="157"/>
      <c r="K2235" s="157"/>
      <c r="L2235" s="157"/>
      <c r="M2235" s="523"/>
      <c r="N2235" s="157"/>
      <c r="O2235" s="157"/>
    </row>
    <row r="2236" spans="3:15" ht="15" customHeight="1">
      <c r="C2236" s="498"/>
      <c r="D2236" s="256"/>
      <c r="E2236" s="195"/>
      <c r="F2236" s="157"/>
      <c r="G2236" s="157"/>
      <c r="H2236" s="157"/>
      <c r="I2236" s="157"/>
      <c r="J2236" s="157"/>
      <c r="K2236" s="157"/>
      <c r="L2236" s="157"/>
      <c r="M2236" s="523"/>
      <c r="N2236" s="157"/>
      <c r="O2236" s="157"/>
    </row>
    <row r="2237" spans="3:15" ht="15" customHeight="1">
      <c r="C2237" s="498"/>
      <c r="D2237" s="256"/>
      <c r="E2237" s="195"/>
      <c r="F2237" s="157"/>
      <c r="G2237" s="157"/>
      <c r="H2237" s="157"/>
      <c r="I2237" s="157"/>
      <c r="J2237" s="157"/>
      <c r="K2237" s="157"/>
      <c r="L2237" s="157"/>
      <c r="M2237" s="523"/>
      <c r="N2237" s="157"/>
      <c r="O2237" s="157"/>
    </row>
    <row r="2238" spans="3:15" ht="15" customHeight="1">
      <c r="C2238" s="498"/>
      <c r="D2238" s="256"/>
      <c r="E2238" s="195"/>
      <c r="F2238" s="157"/>
      <c r="G2238" s="157"/>
      <c r="H2238" s="157"/>
      <c r="I2238" s="157"/>
      <c r="J2238" s="157"/>
      <c r="K2238" s="157"/>
      <c r="L2238" s="157"/>
      <c r="M2238" s="523"/>
      <c r="N2238" s="157"/>
      <c r="O2238" s="157"/>
    </row>
    <row r="2239" spans="3:15" ht="15" customHeight="1">
      <c r="C2239" s="498"/>
      <c r="D2239" s="256"/>
      <c r="E2239" s="195"/>
      <c r="F2239" s="157"/>
      <c r="G2239" s="157"/>
      <c r="H2239" s="157"/>
      <c r="I2239" s="157"/>
      <c r="J2239" s="157"/>
      <c r="K2239" s="157"/>
      <c r="L2239" s="157"/>
      <c r="M2239" s="523"/>
      <c r="N2239" s="157"/>
      <c r="O2239" s="157"/>
    </row>
    <row r="2240" spans="3:15" ht="15" customHeight="1">
      <c r="C2240" s="498"/>
      <c r="D2240" s="256"/>
      <c r="E2240" s="195"/>
      <c r="F2240" s="157"/>
      <c r="G2240" s="157"/>
      <c r="H2240" s="157"/>
      <c r="I2240" s="157"/>
      <c r="J2240" s="157"/>
      <c r="K2240" s="157"/>
      <c r="L2240" s="157"/>
      <c r="M2240" s="523"/>
      <c r="N2240" s="157"/>
      <c r="O2240" s="157"/>
    </row>
    <row r="2241" spans="3:15" ht="15" customHeight="1">
      <c r="C2241" s="498"/>
      <c r="D2241" s="256"/>
      <c r="E2241" s="195"/>
      <c r="F2241" s="157"/>
      <c r="G2241" s="157"/>
      <c r="H2241" s="157"/>
      <c r="I2241" s="157"/>
      <c r="J2241" s="157"/>
      <c r="K2241" s="157"/>
      <c r="L2241" s="157"/>
      <c r="M2241" s="523"/>
      <c r="N2241" s="157"/>
      <c r="O2241" s="157"/>
    </row>
    <row r="2242" spans="3:15" ht="15" customHeight="1">
      <c r="C2242" s="498"/>
      <c r="D2242" s="256"/>
      <c r="E2242" s="195"/>
      <c r="F2242" s="157"/>
      <c r="G2242" s="157"/>
      <c r="H2242" s="157"/>
      <c r="I2242" s="157"/>
      <c r="J2242" s="157"/>
      <c r="K2242" s="157"/>
      <c r="L2242" s="157"/>
      <c r="M2242" s="523"/>
      <c r="N2242" s="157"/>
      <c r="O2242" s="157"/>
    </row>
    <row r="2243" spans="3:15" ht="15" customHeight="1">
      <c r="C2243" s="498"/>
      <c r="D2243" s="256"/>
      <c r="E2243" s="195"/>
      <c r="F2243" s="157"/>
      <c r="G2243" s="157"/>
      <c r="H2243" s="157"/>
      <c r="I2243" s="157"/>
      <c r="J2243" s="157"/>
      <c r="K2243" s="157"/>
      <c r="L2243" s="157"/>
      <c r="M2243" s="523"/>
      <c r="N2243" s="157"/>
      <c r="O2243" s="157"/>
    </row>
    <row r="2244" spans="3:15" ht="15" customHeight="1">
      <c r="C2244" s="498"/>
      <c r="D2244" s="256"/>
      <c r="E2244" s="195"/>
      <c r="F2244" s="157"/>
      <c r="G2244" s="157"/>
      <c r="H2244" s="157"/>
      <c r="I2244" s="157"/>
      <c r="J2244" s="157"/>
      <c r="K2244" s="157"/>
      <c r="L2244" s="157"/>
      <c r="M2244" s="523"/>
      <c r="N2244" s="157"/>
      <c r="O2244" s="157"/>
    </row>
    <row r="2245" spans="3:15" ht="15" customHeight="1">
      <c r="C2245" s="498"/>
      <c r="D2245" s="256"/>
      <c r="E2245" s="195"/>
      <c r="F2245" s="157"/>
      <c r="G2245" s="157"/>
      <c r="H2245" s="157"/>
      <c r="I2245" s="157"/>
      <c r="J2245" s="157"/>
      <c r="K2245" s="157"/>
      <c r="L2245" s="157"/>
      <c r="M2245" s="523"/>
      <c r="N2245" s="157"/>
      <c r="O2245" s="157"/>
    </row>
    <row r="2246" spans="3:15" ht="15" customHeight="1">
      <c r="C2246" s="498"/>
      <c r="D2246" s="256"/>
      <c r="E2246" s="195"/>
      <c r="F2246" s="157"/>
      <c r="G2246" s="157"/>
      <c r="H2246" s="157"/>
      <c r="I2246" s="157"/>
      <c r="J2246" s="157"/>
      <c r="K2246" s="157"/>
      <c r="L2246" s="157"/>
      <c r="M2246" s="523"/>
      <c r="N2246" s="157"/>
      <c r="O2246" s="157"/>
    </row>
    <row r="2247" spans="3:15" ht="15" customHeight="1">
      <c r="C2247" s="498"/>
      <c r="D2247" s="256"/>
      <c r="E2247" s="195"/>
      <c r="F2247" s="157"/>
      <c r="G2247" s="157"/>
      <c r="H2247" s="157"/>
      <c r="I2247" s="157"/>
      <c r="J2247" s="157"/>
      <c r="K2247" s="157"/>
      <c r="L2247" s="157"/>
      <c r="M2247" s="523"/>
      <c r="N2247" s="157"/>
      <c r="O2247" s="157"/>
    </row>
    <row r="2248" spans="3:15" ht="15" customHeight="1">
      <c r="C2248" s="498"/>
      <c r="D2248" s="256"/>
      <c r="E2248" s="195"/>
      <c r="F2248" s="157"/>
      <c r="G2248" s="157"/>
      <c r="H2248" s="157"/>
      <c r="I2248" s="157"/>
      <c r="J2248" s="157"/>
      <c r="K2248" s="157"/>
      <c r="L2248" s="157"/>
      <c r="M2248" s="523"/>
      <c r="N2248" s="157"/>
      <c r="O2248" s="157"/>
    </row>
    <row r="2249" spans="3:15" ht="15" customHeight="1">
      <c r="C2249" s="498"/>
      <c r="D2249" s="256"/>
      <c r="E2249" s="195"/>
      <c r="F2249" s="157"/>
      <c r="G2249" s="157"/>
      <c r="H2249" s="157"/>
      <c r="I2249" s="157"/>
      <c r="J2249" s="157"/>
      <c r="K2249" s="157"/>
      <c r="L2249" s="157"/>
      <c r="M2249" s="523"/>
      <c r="N2249" s="157"/>
      <c r="O2249" s="157"/>
    </row>
    <row r="2250" spans="3:15" ht="15" customHeight="1">
      <c r="C2250" s="498"/>
      <c r="D2250" s="256"/>
      <c r="E2250" s="195"/>
      <c r="F2250" s="157"/>
      <c r="G2250" s="157"/>
      <c r="H2250" s="157"/>
      <c r="I2250" s="157"/>
      <c r="J2250" s="157"/>
      <c r="K2250" s="157"/>
      <c r="L2250" s="157"/>
      <c r="M2250" s="523"/>
      <c r="N2250" s="157"/>
      <c r="O2250" s="157"/>
    </row>
    <row r="2251" spans="3:15" ht="15" customHeight="1">
      <c r="C2251" s="498"/>
      <c r="D2251" s="256"/>
      <c r="E2251" s="195"/>
      <c r="F2251" s="157"/>
      <c r="G2251" s="157"/>
      <c r="H2251" s="157"/>
      <c r="I2251" s="157"/>
      <c r="J2251" s="157"/>
      <c r="K2251" s="157"/>
      <c r="L2251" s="157"/>
      <c r="M2251" s="523"/>
      <c r="N2251" s="157"/>
      <c r="O2251" s="157"/>
    </row>
    <row r="2252" spans="3:15" ht="15" customHeight="1">
      <c r="C2252" s="498"/>
      <c r="D2252" s="256"/>
      <c r="E2252" s="195"/>
      <c r="F2252" s="157"/>
      <c r="G2252" s="157"/>
      <c r="H2252" s="157"/>
      <c r="I2252" s="157"/>
      <c r="J2252" s="157"/>
      <c r="K2252" s="157"/>
      <c r="L2252" s="157"/>
      <c r="M2252" s="523"/>
      <c r="N2252" s="157"/>
      <c r="O2252" s="157"/>
    </row>
    <row r="2253" spans="3:15" ht="15" customHeight="1">
      <c r="C2253" s="498"/>
      <c r="D2253" s="256"/>
      <c r="E2253" s="195"/>
      <c r="F2253" s="157"/>
      <c r="G2253" s="157"/>
      <c r="H2253" s="157"/>
      <c r="I2253" s="157"/>
      <c r="J2253" s="157"/>
      <c r="K2253" s="157"/>
      <c r="L2253" s="157"/>
      <c r="M2253" s="523"/>
      <c r="N2253" s="157"/>
      <c r="O2253" s="157"/>
    </row>
    <row r="2254" spans="3:15" ht="15" customHeight="1">
      <c r="C2254" s="498"/>
      <c r="D2254" s="256"/>
      <c r="E2254" s="195"/>
      <c r="F2254" s="157"/>
      <c r="G2254" s="157"/>
      <c r="H2254" s="157"/>
      <c r="I2254" s="157"/>
      <c r="J2254" s="157"/>
      <c r="K2254" s="157"/>
      <c r="L2254" s="157"/>
      <c r="M2254" s="523"/>
      <c r="N2254" s="157"/>
      <c r="O2254" s="157"/>
    </row>
    <row r="2255" spans="3:15" ht="15" customHeight="1">
      <c r="C2255" s="498"/>
      <c r="D2255" s="256"/>
      <c r="E2255" s="195"/>
      <c r="F2255" s="157"/>
      <c r="G2255" s="157"/>
      <c r="H2255" s="157"/>
      <c r="I2255" s="157"/>
      <c r="J2255" s="157"/>
      <c r="K2255" s="157"/>
      <c r="L2255" s="157"/>
      <c r="M2255" s="523"/>
      <c r="N2255" s="157"/>
      <c r="O2255" s="157"/>
    </row>
    <row r="2256" spans="3:15" ht="15" customHeight="1">
      <c r="C2256" s="498"/>
      <c r="D2256" s="256"/>
      <c r="E2256" s="195"/>
      <c r="F2256" s="157"/>
      <c r="G2256" s="157"/>
      <c r="H2256" s="157"/>
      <c r="I2256" s="157"/>
      <c r="J2256" s="157"/>
      <c r="K2256" s="157"/>
      <c r="L2256" s="157"/>
      <c r="M2256" s="523"/>
      <c r="N2256" s="157"/>
      <c r="O2256" s="157"/>
    </row>
    <row r="2257" spans="3:15" ht="15" customHeight="1">
      <c r="C2257" s="498"/>
      <c r="D2257" s="256"/>
      <c r="E2257" s="195"/>
      <c r="F2257" s="157"/>
      <c r="G2257" s="157"/>
      <c r="H2257" s="157"/>
      <c r="I2257" s="157"/>
      <c r="J2257" s="157"/>
      <c r="K2257" s="157"/>
      <c r="L2257" s="157"/>
      <c r="M2257" s="523"/>
      <c r="N2257" s="157"/>
      <c r="O2257" s="157"/>
    </row>
    <row r="2258" spans="3:15" ht="15" customHeight="1">
      <c r="C2258" s="498"/>
      <c r="D2258" s="256"/>
      <c r="E2258" s="195"/>
      <c r="F2258" s="157"/>
      <c r="G2258" s="157"/>
      <c r="H2258" s="157"/>
      <c r="I2258" s="157"/>
      <c r="J2258" s="157"/>
      <c r="K2258" s="157"/>
      <c r="L2258" s="157"/>
      <c r="M2258" s="523"/>
      <c r="N2258" s="157"/>
      <c r="O2258" s="157"/>
    </row>
    <row r="2259" spans="3:15" ht="15" customHeight="1">
      <c r="C2259" s="498"/>
      <c r="D2259" s="256"/>
      <c r="E2259" s="195"/>
      <c r="F2259" s="157"/>
      <c r="G2259" s="157"/>
      <c r="H2259" s="157"/>
      <c r="I2259" s="157"/>
      <c r="J2259" s="157"/>
      <c r="K2259" s="157"/>
      <c r="L2259" s="157"/>
      <c r="M2259" s="523"/>
      <c r="N2259" s="157"/>
      <c r="O2259" s="157"/>
    </row>
    <row r="2260" spans="3:15" ht="15" customHeight="1">
      <c r="C2260" s="498"/>
      <c r="D2260" s="256"/>
      <c r="E2260" s="195"/>
      <c r="F2260" s="157"/>
      <c r="G2260" s="157"/>
      <c r="H2260" s="157"/>
      <c r="I2260" s="157"/>
      <c r="J2260" s="157"/>
      <c r="K2260" s="157"/>
      <c r="L2260" s="157"/>
      <c r="M2260" s="523"/>
      <c r="N2260" s="157"/>
      <c r="O2260" s="157"/>
    </row>
    <row r="2261" spans="3:15" ht="15" customHeight="1">
      <c r="C2261" s="498"/>
      <c r="D2261" s="256"/>
      <c r="E2261" s="195"/>
      <c r="F2261" s="157"/>
      <c r="G2261" s="157"/>
      <c r="H2261" s="157"/>
      <c r="I2261" s="157"/>
      <c r="J2261" s="157"/>
      <c r="K2261" s="157"/>
      <c r="L2261" s="157"/>
      <c r="M2261" s="523"/>
      <c r="N2261" s="157"/>
      <c r="O2261" s="157"/>
    </row>
    <row r="2262" spans="3:15" ht="15" customHeight="1">
      <c r="C2262" s="498"/>
      <c r="D2262" s="256"/>
      <c r="E2262" s="195"/>
      <c r="F2262" s="157"/>
      <c r="G2262" s="157"/>
      <c r="H2262" s="157"/>
      <c r="I2262" s="157"/>
      <c r="J2262" s="157"/>
      <c r="K2262" s="157"/>
      <c r="L2262" s="157"/>
      <c r="M2262" s="523"/>
      <c r="N2262" s="157"/>
      <c r="O2262" s="157"/>
    </row>
    <row r="2263" spans="3:15" ht="15" customHeight="1">
      <c r="C2263" s="498"/>
      <c r="D2263" s="256"/>
      <c r="E2263" s="195"/>
      <c r="F2263" s="157"/>
      <c r="G2263" s="157"/>
      <c r="H2263" s="157"/>
      <c r="I2263" s="157"/>
      <c r="J2263" s="157"/>
      <c r="K2263" s="157"/>
      <c r="L2263" s="157"/>
      <c r="M2263" s="523"/>
      <c r="N2263" s="157"/>
      <c r="O2263" s="157"/>
    </row>
    <row r="2264" spans="3:15" ht="15" customHeight="1">
      <c r="C2264" s="498"/>
      <c r="D2264" s="256"/>
      <c r="E2264" s="195"/>
      <c r="F2264" s="157"/>
      <c r="G2264" s="157"/>
      <c r="H2264" s="157"/>
      <c r="I2264" s="157"/>
      <c r="J2264" s="157"/>
      <c r="K2264" s="157"/>
      <c r="L2264" s="157"/>
      <c r="M2264" s="523"/>
      <c r="N2264" s="157"/>
      <c r="O2264" s="157"/>
    </row>
    <row r="2265" spans="3:15" ht="15" customHeight="1">
      <c r="C2265" s="498"/>
      <c r="D2265" s="256"/>
      <c r="E2265" s="195"/>
      <c r="F2265" s="157"/>
      <c r="G2265" s="157"/>
      <c r="H2265" s="157"/>
      <c r="I2265" s="157"/>
      <c r="J2265" s="157"/>
      <c r="K2265" s="157"/>
      <c r="L2265" s="157"/>
      <c r="M2265" s="523"/>
      <c r="N2265" s="157"/>
      <c r="O2265" s="157"/>
    </row>
    <row r="2266" spans="3:15" ht="15" customHeight="1">
      <c r="C2266" s="498"/>
      <c r="D2266" s="256"/>
      <c r="E2266" s="195"/>
      <c r="F2266" s="157"/>
      <c r="G2266" s="157"/>
      <c r="H2266" s="157"/>
      <c r="I2266" s="157"/>
      <c r="J2266" s="157"/>
      <c r="K2266" s="157"/>
      <c r="L2266" s="157"/>
      <c r="M2266" s="523"/>
      <c r="N2266" s="157"/>
      <c r="O2266" s="157"/>
    </row>
    <row r="2267" spans="3:15" ht="15" customHeight="1">
      <c r="C2267" s="498"/>
      <c r="D2267" s="256"/>
      <c r="E2267" s="195"/>
      <c r="F2267" s="157"/>
      <c r="G2267" s="157"/>
      <c r="H2267" s="157"/>
      <c r="I2267" s="157"/>
      <c r="J2267" s="157"/>
      <c r="K2267" s="157"/>
      <c r="L2267" s="157"/>
      <c r="M2267" s="523"/>
      <c r="N2267" s="157"/>
      <c r="O2267" s="157"/>
    </row>
    <row r="2268" spans="3:15" ht="15" customHeight="1">
      <c r="C2268" s="498"/>
      <c r="D2268" s="256"/>
      <c r="E2268" s="195"/>
      <c r="F2268" s="157"/>
      <c r="G2268" s="157"/>
      <c r="H2268" s="157"/>
      <c r="I2268" s="157"/>
      <c r="J2268" s="157"/>
      <c r="K2268" s="157"/>
      <c r="L2268" s="157"/>
      <c r="M2268" s="523"/>
      <c r="N2268" s="157"/>
      <c r="O2268" s="157"/>
    </row>
    <row r="2269" spans="3:15" ht="15" customHeight="1">
      <c r="C2269" s="498"/>
      <c r="D2269" s="256"/>
      <c r="E2269" s="195"/>
      <c r="F2269" s="157"/>
      <c r="G2269" s="157"/>
      <c r="H2269" s="157"/>
      <c r="I2269" s="157"/>
      <c r="J2269" s="157"/>
      <c r="K2269" s="157"/>
      <c r="L2269" s="157"/>
      <c r="M2269" s="523"/>
      <c r="N2269" s="157"/>
      <c r="O2269" s="157"/>
    </row>
    <row r="2270" spans="3:15" ht="15" customHeight="1">
      <c r="C2270" s="498"/>
      <c r="D2270" s="256"/>
      <c r="E2270" s="195"/>
      <c r="F2270" s="157"/>
      <c r="G2270" s="157"/>
      <c r="H2270" s="157"/>
      <c r="I2270" s="157"/>
      <c r="J2270" s="157"/>
      <c r="K2270" s="157"/>
      <c r="L2270" s="157"/>
      <c r="M2270" s="523"/>
      <c r="N2270" s="157"/>
      <c r="O2270" s="157"/>
    </row>
    <row r="2271" spans="3:15" ht="15" customHeight="1">
      <c r="C2271" s="498"/>
      <c r="D2271" s="256"/>
      <c r="E2271" s="195"/>
      <c r="F2271" s="157"/>
      <c r="G2271" s="157"/>
      <c r="H2271" s="157"/>
      <c r="I2271" s="157"/>
      <c r="J2271" s="157"/>
      <c r="K2271" s="157"/>
      <c r="L2271" s="157"/>
      <c r="M2271" s="523"/>
      <c r="N2271" s="157"/>
      <c r="O2271" s="157"/>
    </row>
    <row r="2272" spans="3:15" ht="15" customHeight="1">
      <c r="C2272" s="498"/>
      <c r="D2272" s="256"/>
      <c r="E2272" s="195"/>
      <c r="F2272" s="157"/>
      <c r="G2272" s="157"/>
      <c r="H2272" s="157"/>
      <c r="I2272" s="157"/>
      <c r="J2272" s="157"/>
      <c r="K2272" s="157"/>
      <c r="L2272" s="157"/>
      <c r="M2272" s="523"/>
      <c r="N2272" s="157"/>
      <c r="O2272" s="157"/>
    </row>
    <row r="2273" spans="3:15" ht="15" customHeight="1">
      <c r="C2273" s="498"/>
      <c r="D2273" s="256"/>
      <c r="E2273" s="195"/>
      <c r="F2273" s="157"/>
      <c r="G2273" s="157"/>
      <c r="H2273" s="157"/>
      <c r="I2273" s="157"/>
      <c r="J2273" s="157"/>
      <c r="K2273" s="157"/>
      <c r="L2273" s="157"/>
      <c r="M2273" s="523"/>
      <c r="N2273" s="157"/>
      <c r="O2273" s="157"/>
    </row>
    <row r="2274" spans="3:15" ht="15" customHeight="1">
      <c r="C2274" s="498"/>
      <c r="D2274" s="256"/>
      <c r="E2274" s="195"/>
      <c r="F2274" s="157"/>
      <c r="G2274" s="157"/>
      <c r="H2274" s="157"/>
      <c r="I2274" s="157"/>
      <c r="J2274" s="157"/>
      <c r="K2274" s="157"/>
      <c r="L2274" s="157"/>
      <c r="M2274" s="523"/>
      <c r="N2274" s="157"/>
      <c r="O2274" s="157"/>
    </row>
    <row r="2275" spans="3:15" ht="15" customHeight="1">
      <c r="C2275" s="498"/>
      <c r="D2275" s="256"/>
      <c r="E2275" s="195"/>
      <c r="F2275" s="157"/>
      <c r="G2275" s="157"/>
      <c r="H2275" s="157"/>
      <c r="I2275" s="157"/>
      <c r="J2275" s="157"/>
      <c r="K2275" s="157"/>
      <c r="L2275" s="157"/>
      <c r="M2275" s="523"/>
      <c r="N2275" s="157"/>
      <c r="O2275" s="157"/>
    </row>
    <row r="2276" spans="3:15" ht="15" customHeight="1">
      <c r="C2276" s="498"/>
      <c r="D2276" s="256"/>
      <c r="E2276" s="195"/>
      <c r="F2276" s="157"/>
      <c r="G2276" s="157"/>
      <c r="H2276" s="157"/>
      <c r="I2276" s="157"/>
      <c r="J2276" s="157"/>
      <c r="K2276" s="157"/>
      <c r="L2276" s="157"/>
      <c r="M2276" s="523"/>
      <c r="N2276" s="157"/>
      <c r="O2276" s="157"/>
    </row>
    <row r="2277" spans="3:15" ht="15" customHeight="1">
      <c r="C2277" s="498"/>
      <c r="D2277" s="256"/>
      <c r="E2277" s="195"/>
      <c r="F2277" s="157"/>
      <c r="G2277" s="157"/>
      <c r="H2277" s="157"/>
      <c r="I2277" s="157"/>
      <c r="J2277" s="157"/>
      <c r="K2277" s="157"/>
      <c r="L2277" s="157"/>
      <c r="M2277" s="523"/>
      <c r="N2277" s="157"/>
      <c r="O2277" s="157"/>
    </row>
    <row r="2278" spans="3:15" ht="15" customHeight="1">
      <c r="C2278" s="498"/>
      <c r="D2278" s="256"/>
      <c r="E2278" s="195"/>
      <c r="F2278" s="157"/>
      <c r="G2278" s="157"/>
      <c r="H2278" s="157"/>
      <c r="I2278" s="157"/>
      <c r="J2278" s="157"/>
      <c r="K2278" s="157"/>
      <c r="L2278" s="157"/>
      <c r="M2278" s="523"/>
      <c r="N2278" s="157"/>
      <c r="O2278" s="157"/>
    </row>
    <row r="2279" spans="3:15" ht="15" customHeight="1">
      <c r="C2279" s="498"/>
      <c r="D2279" s="256"/>
      <c r="E2279" s="195"/>
      <c r="F2279" s="157"/>
      <c r="G2279" s="157"/>
      <c r="H2279" s="157"/>
      <c r="I2279" s="157"/>
      <c r="J2279" s="157"/>
      <c r="K2279" s="157"/>
      <c r="L2279" s="157"/>
      <c r="M2279" s="523"/>
      <c r="N2279" s="157"/>
      <c r="O2279" s="157"/>
    </row>
    <row r="2280" spans="3:15" ht="15" customHeight="1">
      <c r="C2280" s="498"/>
      <c r="D2280" s="256"/>
      <c r="E2280" s="195"/>
      <c r="F2280" s="157"/>
      <c r="G2280" s="157"/>
      <c r="H2280" s="157"/>
      <c r="I2280" s="157"/>
      <c r="J2280" s="157"/>
      <c r="K2280" s="157"/>
      <c r="L2280" s="157"/>
      <c r="M2280" s="523"/>
      <c r="N2280" s="157"/>
      <c r="O2280" s="157"/>
    </row>
    <row r="2281" spans="3:15" ht="15" customHeight="1">
      <c r="C2281" s="498"/>
      <c r="D2281" s="256"/>
      <c r="E2281" s="195"/>
      <c r="F2281" s="157"/>
      <c r="G2281" s="157"/>
      <c r="H2281" s="157"/>
      <c r="I2281" s="157"/>
      <c r="J2281" s="157"/>
      <c r="K2281" s="157"/>
      <c r="L2281" s="157"/>
      <c r="M2281" s="523"/>
      <c r="N2281" s="157"/>
      <c r="O2281" s="157"/>
    </row>
    <row r="2282" spans="3:15" ht="15" customHeight="1">
      <c r="C2282" s="498"/>
      <c r="D2282" s="256"/>
      <c r="E2282" s="195"/>
      <c r="F2282" s="157"/>
      <c r="G2282" s="157"/>
      <c r="H2282" s="157"/>
      <c r="I2282" s="157"/>
      <c r="J2282" s="157"/>
      <c r="K2282" s="157"/>
      <c r="L2282" s="157"/>
      <c r="M2282" s="523"/>
      <c r="N2282" s="157"/>
      <c r="O2282" s="157"/>
    </row>
    <row r="2283" spans="3:15" ht="15" customHeight="1">
      <c r="C2283" s="498"/>
      <c r="D2283" s="256"/>
      <c r="E2283" s="195"/>
      <c r="F2283" s="157"/>
      <c r="G2283" s="157"/>
      <c r="H2283" s="157"/>
      <c r="I2283" s="157"/>
      <c r="J2283" s="157"/>
      <c r="K2283" s="157"/>
      <c r="L2283" s="157"/>
      <c r="M2283" s="523"/>
      <c r="N2283" s="157"/>
      <c r="O2283" s="157"/>
    </row>
    <row r="2284" spans="3:15" ht="15" customHeight="1">
      <c r="C2284" s="498"/>
      <c r="D2284" s="256"/>
      <c r="E2284" s="195"/>
      <c r="F2284" s="157"/>
      <c r="G2284" s="157"/>
      <c r="H2284" s="157"/>
      <c r="I2284" s="157"/>
      <c r="J2284" s="157"/>
      <c r="K2284" s="157"/>
      <c r="L2284" s="157"/>
      <c r="M2284" s="523"/>
      <c r="N2284" s="157"/>
      <c r="O2284" s="157"/>
    </row>
    <row r="2285" spans="3:15" ht="15" customHeight="1">
      <c r="C2285" s="498"/>
      <c r="D2285" s="256"/>
      <c r="E2285" s="195"/>
      <c r="F2285" s="157"/>
      <c r="G2285" s="157"/>
      <c r="H2285" s="157"/>
      <c r="I2285" s="157"/>
      <c r="J2285" s="157"/>
      <c r="K2285" s="157"/>
      <c r="L2285" s="157"/>
      <c r="M2285" s="523"/>
      <c r="N2285" s="157"/>
      <c r="O2285" s="157"/>
    </row>
    <row r="2286" spans="3:15" ht="15" customHeight="1">
      <c r="C2286" s="498"/>
      <c r="D2286" s="256"/>
      <c r="E2286" s="195"/>
      <c r="F2286" s="157"/>
      <c r="G2286" s="157"/>
      <c r="H2286" s="157"/>
      <c r="I2286" s="157"/>
      <c r="J2286" s="157"/>
      <c r="K2286" s="157"/>
      <c r="L2286" s="157"/>
      <c r="M2286" s="523"/>
      <c r="N2286" s="157"/>
      <c r="O2286" s="157"/>
    </row>
    <row r="2287" spans="3:15" ht="15" customHeight="1">
      <c r="C2287" s="498"/>
      <c r="D2287" s="256"/>
      <c r="E2287" s="195"/>
      <c r="F2287" s="157"/>
      <c r="G2287" s="157"/>
      <c r="H2287" s="157"/>
      <c r="I2287" s="157"/>
      <c r="J2287" s="157"/>
      <c r="K2287" s="157"/>
      <c r="L2287" s="157"/>
      <c r="M2287" s="523"/>
      <c r="N2287" s="157"/>
      <c r="O2287" s="157"/>
    </row>
    <row r="2288" spans="3:15" ht="15" customHeight="1">
      <c r="C2288" s="498"/>
      <c r="D2288" s="256"/>
      <c r="E2288" s="195"/>
      <c r="F2288" s="157"/>
      <c r="G2288" s="157"/>
      <c r="H2288" s="157"/>
      <c r="I2288" s="157"/>
      <c r="J2288" s="157"/>
      <c r="K2288" s="157"/>
      <c r="L2288" s="157"/>
      <c r="M2288" s="523"/>
      <c r="N2288" s="157"/>
      <c r="O2288" s="157"/>
    </row>
    <row r="2289" spans="3:15" ht="15" customHeight="1">
      <c r="C2289" s="498"/>
      <c r="D2289" s="256"/>
      <c r="E2289" s="195"/>
      <c r="F2289" s="157"/>
      <c r="G2289" s="157"/>
      <c r="H2289" s="157"/>
      <c r="I2289" s="157"/>
      <c r="J2289" s="157"/>
      <c r="K2289" s="157"/>
      <c r="L2289" s="157"/>
      <c r="M2289" s="523"/>
      <c r="N2289" s="157"/>
      <c r="O2289" s="157"/>
    </row>
    <row r="2290" spans="3:15" ht="15" customHeight="1">
      <c r="C2290" s="498"/>
      <c r="D2290" s="256"/>
      <c r="E2290" s="195"/>
      <c r="F2290" s="157"/>
      <c r="G2290" s="157"/>
      <c r="H2290" s="157"/>
      <c r="I2290" s="157"/>
      <c r="J2290" s="157"/>
      <c r="K2290" s="157"/>
      <c r="L2290" s="157"/>
      <c r="M2290" s="523"/>
      <c r="N2290" s="157"/>
      <c r="O2290" s="157"/>
    </row>
    <row r="2291" spans="3:15" ht="15" customHeight="1">
      <c r="C2291" s="498"/>
      <c r="D2291" s="256"/>
      <c r="E2291" s="195"/>
      <c r="F2291" s="157"/>
      <c r="G2291" s="157"/>
      <c r="H2291" s="157"/>
      <c r="I2291" s="157"/>
      <c r="J2291" s="157"/>
      <c r="K2291" s="157"/>
      <c r="L2291" s="157"/>
      <c r="M2291" s="523"/>
      <c r="N2291" s="157"/>
      <c r="O2291" s="157"/>
    </row>
    <row r="2292" spans="3:15" ht="15" customHeight="1">
      <c r="C2292" s="498"/>
      <c r="D2292" s="256"/>
      <c r="E2292" s="195"/>
      <c r="F2292" s="157"/>
      <c r="G2292" s="157"/>
      <c r="H2292" s="157"/>
      <c r="I2292" s="157"/>
      <c r="J2292" s="157"/>
      <c r="K2292" s="157"/>
      <c r="L2292" s="157"/>
      <c r="M2292" s="523"/>
      <c r="N2292" s="157"/>
      <c r="O2292" s="157"/>
    </row>
    <row r="2293" spans="3:15" ht="15" customHeight="1">
      <c r="C2293" s="498"/>
      <c r="D2293" s="256"/>
      <c r="E2293" s="195"/>
      <c r="F2293" s="157"/>
      <c r="G2293" s="157"/>
      <c r="H2293" s="157"/>
      <c r="I2293" s="157"/>
      <c r="J2293" s="157"/>
      <c r="K2293" s="157"/>
      <c r="L2293" s="157"/>
      <c r="M2293" s="523"/>
      <c r="N2293" s="157"/>
      <c r="O2293" s="157"/>
    </row>
    <row r="2294" spans="3:15" ht="15" customHeight="1">
      <c r="C2294" s="498"/>
      <c r="D2294" s="256"/>
      <c r="E2294" s="195"/>
      <c r="F2294" s="157"/>
      <c r="G2294" s="157"/>
      <c r="H2294" s="157"/>
      <c r="I2294" s="157"/>
      <c r="J2294" s="157"/>
      <c r="K2294" s="157"/>
      <c r="L2294" s="157"/>
      <c r="M2294" s="523"/>
      <c r="N2294" s="157"/>
      <c r="O2294" s="157"/>
    </row>
    <row r="2295" spans="3:15" ht="15" customHeight="1">
      <c r="C2295" s="498"/>
      <c r="D2295" s="256"/>
      <c r="E2295" s="195"/>
      <c r="F2295" s="157"/>
      <c r="G2295" s="157"/>
      <c r="H2295" s="157"/>
      <c r="I2295" s="157"/>
      <c r="J2295" s="157"/>
      <c r="K2295" s="157"/>
      <c r="L2295" s="157"/>
      <c r="M2295" s="523"/>
      <c r="N2295" s="157"/>
      <c r="O2295" s="157"/>
    </row>
    <row r="2296" spans="3:15" ht="15" customHeight="1">
      <c r="C2296" s="498"/>
      <c r="D2296" s="256"/>
      <c r="E2296" s="195"/>
      <c r="F2296" s="157"/>
      <c r="G2296" s="157"/>
      <c r="H2296" s="157"/>
      <c r="I2296" s="157"/>
      <c r="J2296" s="157"/>
      <c r="K2296" s="157"/>
      <c r="L2296" s="157"/>
      <c r="M2296" s="523"/>
      <c r="N2296" s="157"/>
      <c r="O2296" s="157"/>
    </row>
    <row r="2297" spans="3:15" ht="15" customHeight="1">
      <c r="C2297" s="498"/>
      <c r="D2297" s="256"/>
      <c r="E2297" s="195"/>
      <c r="F2297" s="157"/>
      <c r="G2297" s="157"/>
      <c r="H2297" s="157"/>
      <c r="I2297" s="157"/>
      <c r="J2297" s="157"/>
      <c r="K2297" s="157"/>
      <c r="L2297" s="157"/>
      <c r="M2297" s="523"/>
      <c r="N2297" s="157"/>
      <c r="O2297" s="157"/>
    </row>
    <row r="2298" spans="3:15" ht="15" customHeight="1">
      <c r="C2298" s="498"/>
      <c r="D2298" s="256"/>
      <c r="E2298" s="195"/>
      <c r="F2298" s="157"/>
      <c r="G2298" s="157"/>
      <c r="H2298" s="157"/>
      <c r="I2298" s="157"/>
      <c r="J2298" s="157"/>
      <c r="K2298" s="157"/>
      <c r="L2298" s="157"/>
      <c r="M2298" s="523"/>
      <c r="N2298" s="157"/>
      <c r="O2298" s="157"/>
    </row>
    <row r="2299" spans="3:15" ht="15" customHeight="1">
      <c r="C2299" s="498"/>
      <c r="D2299" s="256"/>
      <c r="E2299" s="195"/>
      <c r="F2299" s="157"/>
      <c r="G2299" s="157"/>
      <c r="H2299" s="157"/>
      <c r="I2299" s="157"/>
      <c r="J2299" s="157"/>
      <c r="K2299" s="157"/>
      <c r="L2299" s="157"/>
      <c r="M2299" s="523"/>
      <c r="N2299" s="157"/>
      <c r="O2299" s="157"/>
    </row>
    <row r="2300" spans="3:15" ht="15" customHeight="1">
      <c r="C2300" s="498"/>
      <c r="D2300" s="256"/>
      <c r="E2300" s="195"/>
      <c r="F2300" s="157"/>
      <c r="G2300" s="157"/>
      <c r="H2300" s="157"/>
      <c r="I2300" s="157"/>
      <c r="J2300" s="157"/>
      <c r="K2300" s="157"/>
      <c r="L2300" s="157"/>
      <c r="M2300" s="523"/>
      <c r="N2300" s="157"/>
      <c r="O2300" s="157"/>
    </row>
    <row r="2301" spans="3:15" ht="15" customHeight="1">
      <c r="C2301" s="498"/>
      <c r="D2301" s="256"/>
      <c r="E2301" s="195"/>
      <c r="F2301" s="157"/>
      <c r="G2301" s="157"/>
      <c r="H2301" s="157"/>
      <c r="I2301" s="157"/>
      <c r="J2301" s="157"/>
      <c r="K2301" s="157"/>
      <c r="L2301" s="157"/>
      <c r="M2301" s="523"/>
      <c r="N2301" s="157"/>
      <c r="O2301" s="157"/>
    </row>
    <row r="2302" spans="3:15" ht="15" customHeight="1">
      <c r="C2302" s="498"/>
      <c r="D2302" s="256"/>
      <c r="E2302" s="195"/>
      <c r="F2302" s="157"/>
      <c r="G2302" s="157"/>
      <c r="H2302" s="157"/>
      <c r="I2302" s="157"/>
      <c r="J2302" s="157"/>
      <c r="K2302" s="157"/>
      <c r="L2302" s="157"/>
      <c r="M2302" s="523"/>
      <c r="N2302" s="157"/>
      <c r="O2302" s="157"/>
    </row>
    <row r="2303" spans="3:15" ht="15" customHeight="1">
      <c r="C2303" s="498"/>
      <c r="D2303" s="256"/>
      <c r="E2303" s="195"/>
      <c r="F2303" s="157"/>
      <c r="G2303" s="157"/>
      <c r="H2303" s="157"/>
      <c r="I2303" s="157"/>
      <c r="J2303" s="157"/>
      <c r="K2303" s="157"/>
      <c r="L2303" s="157"/>
      <c r="M2303" s="523"/>
      <c r="N2303" s="157"/>
      <c r="O2303" s="157"/>
    </row>
    <row r="2304" spans="3:15" ht="15" customHeight="1">
      <c r="C2304" s="498"/>
      <c r="D2304" s="256"/>
      <c r="E2304" s="195"/>
      <c r="F2304" s="157"/>
      <c r="G2304" s="157"/>
      <c r="H2304" s="157"/>
      <c r="I2304" s="157"/>
      <c r="J2304" s="157"/>
      <c r="K2304" s="157"/>
      <c r="L2304" s="157"/>
      <c r="M2304" s="523"/>
      <c r="N2304" s="157"/>
      <c r="O2304" s="157"/>
    </row>
    <row r="2305" spans="3:15" ht="15" customHeight="1">
      <c r="C2305" s="498"/>
      <c r="D2305" s="256"/>
      <c r="E2305" s="195"/>
      <c r="F2305" s="157"/>
      <c r="G2305" s="157"/>
      <c r="H2305" s="157"/>
      <c r="I2305" s="157"/>
      <c r="J2305" s="157"/>
      <c r="K2305" s="157"/>
      <c r="L2305" s="157"/>
      <c r="M2305" s="523"/>
      <c r="N2305" s="157"/>
      <c r="O2305" s="157"/>
    </row>
    <row r="2306" spans="3:15" ht="15" customHeight="1">
      <c r="C2306" s="498"/>
      <c r="D2306" s="256"/>
      <c r="E2306" s="195"/>
      <c r="F2306" s="157"/>
      <c r="G2306" s="157"/>
      <c r="H2306" s="157"/>
      <c r="I2306" s="157"/>
      <c r="J2306" s="157"/>
      <c r="K2306" s="157"/>
      <c r="L2306" s="157"/>
      <c r="M2306" s="523"/>
      <c r="N2306" s="157"/>
      <c r="O2306" s="157"/>
    </row>
    <row r="2307" spans="3:15" ht="15" customHeight="1">
      <c r="C2307" s="498"/>
      <c r="D2307" s="256"/>
      <c r="E2307" s="195"/>
      <c r="F2307" s="157"/>
      <c r="G2307" s="157"/>
      <c r="H2307" s="157"/>
      <c r="I2307" s="157"/>
      <c r="J2307" s="157"/>
      <c r="K2307" s="157"/>
      <c r="L2307" s="157"/>
      <c r="M2307" s="523"/>
      <c r="N2307" s="157"/>
      <c r="O2307" s="157"/>
    </row>
    <row r="2308" spans="3:15" ht="15" customHeight="1">
      <c r="C2308" s="498"/>
      <c r="D2308" s="256"/>
      <c r="E2308" s="195"/>
      <c r="F2308" s="157"/>
      <c r="G2308" s="157"/>
      <c r="H2308" s="157"/>
      <c r="I2308" s="157"/>
      <c r="J2308" s="157"/>
      <c r="K2308" s="157"/>
      <c r="L2308" s="157"/>
      <c r="M2308" s="523"/>
      <c r="N2308" s="157"/>
      <c r="O2308" s="157"/>
    </row>
    <row r="2309" spans="3:15" ht="15" customHeight="1">
      <c r="C2309" s="498"/>
      <c r="D2309" s="256"/>
      <c r="E2309" s="195"/>
      <c r="F2309" s="157"/>
      <c r="G2309" s="157"/>
      <c r="H2309" s="157"/>
      <c r="I2309" s="157"/>
      <c r="J2309" s="157"/>
      <c r="K2309" s="157"/>
      <c r="L2309" s="157"/>
      <c r="M2309" s="523"/>
      <c r="N2309" s="157"/>
      <c r="O2309" s="157"/>
    </row>
    <row r="2310" spans="3:15" ht="15" customHeight="1">
      <c r="C2310" s="498"/>
      <c r="D2310" s="256"/>
      <c r="E2310" s="195"/>
      <c r="F2310" s="157"/>
      <c r="G2310" s="157"/>
      <c r="H2310" s="157"/>
      <c r="I2310" s="157"/>
      <c r="J2310" s="157"/>
      <c r="K2310" s="157"/>
      <c r="L2310" s="157"/>
      <c r="M2310" s="523"/>
      <c r="N2310" s="157"/>
      <c r="O2310" s="157"/>
    </row>
    <row r="2311" spans="3:15" ht="15" customHeight="1">
      <c r="C2311" s="498"/>
      <c r="D2311" s="256"/>
      <c r="E2311" s="195"/>
      <c r="F2311" s="157"/>
      <c r="G2311" s="157"/>
      <c r="H2311" s="157"/>
      <c r="I2311" s="157"/>
      <c r="J2311" s="157"/>
      <c r="K2311" s="157"/>
      <c r="L2311" s="157"/>
      <c r="M2311" s="523"/>
      <c r="N2311" s="157"/>
      <c r="O2311" s="157"/>
    </row>
    <row r="2312" spans="3:15" ht="15" customHeight="1">
      <c r="C2312" s="498"/>
      <c r="D2312" s="256"/>
      <c r="E2312" s="195"/>
      <c r="F2312" s="157"/>
      <c r="G2312" s="157"/>
      <c r="H2312" s="157"/>
      <c r="I2312" s="157"/>
      <c r="J2312" s="157"/>
      <c r="K2312" s="157"/>
      <c r="L2312" s="157"/>
      <c r="M2312" s="523"/>
      <c r="N2312" s="157"/>
      <c r="O2312" s="157"/>
    </row>
    <row r="2313" spans="3:15" ht="15" customHeight="1">
      <c r="C2313" s="498"/>
      <c r="D2313" s="256"/>
      <c r="E2313" s="195"/>
      <c r="F2313" s="157"/>
      <c r="G2313" s="157"/>
      <c r="H2313" s="157"/>
      <c r="I2313" s="157"/>
      <c r="J2313" s="157"/>
      <c r="K2313" s="157"/>
      <c r="L2313" s="157"/>
      <c r="M2313" s="523"/>
      <c r="N2313" s="157"/>
      <c r="O2313" s="157"/>
    </row>
    <row r="2314" spans="3:15" ht="15" customHeight="1">
      <c r="C2314" s="498"/>
      <c r="D2314" s="256"/>
      <c r="E2314" s="195"/>
      <c r="F2314" s="157"/>
      <c r="G2314" s="157"/>
      <c r="H2314" s="157"/>
      <c r="I2314" s="157"/>
      <c r="J2314" s="157"/>
      <c r="K2314" s="157"/>
      <c r="L2314" s="157"/>
      <c r="M2314" s="523"/>
      <c r="N2314" s="157"/>
      <c r="O2314" s="157"/>
    </row>
    <row r="2315" spans="3:15" ht="15" customHeight="1">
      <c r="C2315" s="498"/>
      <c r="D2315" s="256"/>
      <c r="E2315" s="195"/>
      <c r="F2315" s="157"/>
      <c r="G2315" s="157"/>
      <c r="H2315" s="157"/>
      <c r="I2315" s="157"/>
      <c r="J2315" s="157"/>
      <c r="K2315" s="157"/>
      <c r="L2315" s="157"/>
      <c r="M2315" s="523"/>
      <c r="N2315" s="157"/>
      <c r="O2315" s="157"/>
    </row>
    <row r="2316" spans="3:15" ht="15" customHeight="1">
      <c r="C2316" s="498"/>
      <c r="D2316" s="256"/>
      <c r="E2316" s="195"/>
      <c r="F2316" s="157"/>
      <c r="G2316" s="157"/>
      <c r="H2316" s="157"/>
      <c r="I2316" s="157"/>
      <c r="J2316" s="157"/>
      <c r="K2316" s="157"/>
      <c r="L2316" s="157"/>
      <c r="M2316" s="523"/>
      <c r="N2316" s="157"/>
      <c r="O2316" s="157"/>
    </row>
    <row r="2317" spans="3:15" ht="15" customHeight="1">
      <c r="C2317" s="498"/>
      <c r="D2317" s="256"/>
      <c r="E2317" s="195"/>
      <c r="F2317" s="157"/>
      <c r="G2317" s="157"/>
      <c r="H2317" s="157"/>
      <c r="I2317" s="157"/>
      <c r="J2317" s="157"/>
      <c r="K2317" s="157"/>
      <c r="L2317" s="157"/>
      <c r="M2317" s="523"/>
      <c r="N2317" s="157"/>
      <c r="O2317" s="157"/>
    </row>
    <row r="2318" spans="3:15" ht="15" customHeight="1">
      <c r="C2318" s="498"/>
      <c r="D2318" s="256"/>
      <c r="E2318" s="195"/>
      <c r="F2318" s="157"/>
      <c r="G2318" s="157"/>
      <c r="H2318" s="157"/>
      <c r="I2318" s="157"/>
      <c r="J2318" s="157"/>
      <c r="K2318" s="157"/>
      <c r="L2318" s="157"/>
      <c r="M2318" s="523"/>
      <c r="N2318" s="157"/>
      <c r="O2318" s="157"/>
    </row>
    <row r="2319" spans="3:15" ht="15" customHeight="1">
      <c r="C2319" s="498"/>
      <c r="D2319" s="256"/>
      <c r="E2319" s="195"/>
      <c r="F2319" s="157"/>
      <c r="G2319" s="157"/>
      <c r="H2319" s="157"/>
      <c r="I2319" s="157"/>
      <c r="J2319" s="157"/>
      <c r="K2319" s="157"/>
      <c r="L2319" s="157"/>
      <c r="M2319" s="523"/>
      <c r="N2319" s="157"/>
      <c r="O2319" s="157"/>
    </row>
    <row r="2320" spans="3:15" ht="15" customHeight="1">
      <c r="C2320" s="498"/>
      <c r="D2320" s="256"/>
      <c r="E2320" s="195"/>
      <c r="F2320" s="157"/>
      <c r="G2320" s="157"/>
      <c r="H2320" s="157"/>
      <c r="I2320" s="157"/>
      <c r="J2320" s="157"/>
      <c r="K2320" s="157"/>
      <c r="L2320" s="157"/>
      <c r="M2320" s="523"/>
      <c r="N2320" s="157"/>
      <c r="O2320" s="157"/>
    </row>
    <row r="2321" spans="3:15" ht="15" customHeight="1">
      <c r="C2321" s="498"/>
      <c r="D2321" s="256"/>
      <c r="E2321" s="195"/>
      <c r="F2321" s="157"/>
      <c r="G2321" s="157"/>
      <c r="H2321" s="157"/>
      <c r="I2321" s="157"/>
      <c r="J2321" s="157"/>
      <c r="K2321" s="157"/>
      <c r="L2321" s="157"/>
      <c r="M2321" s="523"/>
      <c r="N2321" s="157"/>
      <c r="O2321" s="157"/>
    </row>
    <row r="2322" spans="3:15" ht="15" customHeight="1">
      <c r="C2322" s="498"/>
      <c r="D2322" s="256"/>
      <c r="E2322" s="195"/>
      <c r="F2322" s="157"/>
      <c r="G2322" s="157"/>
      <c r="H2322" s="157"/>
      <c r="I2322" s="157"/>
      <c r="J2322" s="157"/>
      <c r="K2322" s="157"/>
      <c r="L2322" s="157"/>
      <c r="M2322" s="523"/>
      <c r="N2322" s="157"/>
      <c r="O2322" s="157"/>
    </row>
    <row r="2323" spans="3:15" ht="15" customHeight="1">
      <c r="C2323" s="498"/>
      <c r="D2323" s="256"/>
      <c r="E2323" s="195"/>
      <c r="F2323" s="157"/>
      <c r="G2323" s="157"/>
      <c r="H2323" s="157"/>
      <c r="I2323" s="157"/>
      <c r="J2323" s="157"/>
      <c r="K2323" s="157"/>
      <c r="L2323" s="157"/>
      <c r="M2323" s="523"/>
      <c r="N2323" s="157"/>
      <c r="O2323" s="157"/>
    </row>
    <row r="2324" spans="3:15" ht="15" customHeight="1">
      <c r="C2324" s="498"/>
      <c r="D2324" s="256"/>
      <c r="E2324" s="195"/>
      <c r="F2324" s="157"/>
      <c r="G2324" s="157"/>
      <c r="H2324" s="157"/>
      <c r="I2324" s="157"/>
      <c r="J2324" s="157"/>
      <c r="K2324" s="157"/>
      <c r="L2324" s="157"/>
      <c r="M2324" s="523"/>
      <c r="N2324" s="157"/>
      <c r="O2324" s="157"/>
    </row>
    <row r="2325" spans="3:15" ht="15" customHeight="1">
      <c r="C2325" s="498"/>
      <c r="D2325" s="256"/>
      <c r="E2325" s="195"/>
      <c r="F2325" s="157"/>
      <c r="G2325" s="157"/>
      <c r="H2325" s="157"/>
      <c r="I2325" s="157"/>
      <c r="J2325" s="157"/>
      <c r="K2325" s="157"/>
      <c r="L2325" s="157"/>
      <c r="M2325" s="523"/>
      <c r="N2325" s="157"/>
      <c r="O2325" s="157"/>
    </row>
    <row r="2326" spans="3:15" ht="15" customHeight="1">
      <c r="C2326" s="498"/>
      <c r="D2326" s="256"/>
      <c r="E2326" s="195"/>
      <c r="F2326" s="157"/>
      <c r="G2326" s="157"/>
      <c r="H2326" s="157"/>
      <c r="I2326" s="157"/>
      <c r="J2326" s="157"/>
      <c r="K2326" s="157"/>
      <c r="L2326" s="157"/>
      <c r="M2326" s="523"/>
      <c r="N2326" s="157"/>
      <c r="O2326" s="157"/>
    </row>
    <row r="2327" spans="3:15" ht="15" customHeight="1">
      <c r="C2327" s="498"/>
      <c r="D2327" s="256"/>
      <c r="E2327" s="195"/>
      <c r="F2327" s="157"/>
      <c r="G2327" s="157"/>
      <c r="H2327" s="157"/>
      <c r="I2327" s="157"/>
      <c r="J2327" s="157"/>
      <c r="K2327" s="157"/>
      <c r="L2327" s="157"/>
      <c r="M2327" s="523"/>
      <c r="N2327" s="157"/>
      <c r="O2327" s="157"/>
    </row>
    <row r="2328" spans="3:15" ht="15" customHeight="1">
      <c r="C2328" s="498"/>
      <c r="D2328" s="256"/>
      <c r="E2328" s="195"/>
      <c r="F2328" s="157"/>
      <c r="G2328" s="157"/>
      <c r="H2328" s="157"/>
      <c r="I2328" s="157"/>
      <c r="J2328" s="157"/>
      <c r="K2328" s="157"/>
      <c r="L2328" s="157"/>
      <c r="M2328" s="523"/>
      <c r="N2328" s="157"/>
      <c r="O2328" s="157"/>
    </row>
    <row r="2329" spans="3:15" ht="15" customHeight="1">
      <c r="C2329" s="498"/>
      <c r="D2329" s="256"/>
      <c r="E2329" s="195"/>
      <c r="F2329" s="157"/>
      <c r="G2329" s="157"/>
      <c r="H2329" s="157"/>
      <c r="I2329" s="157"/>
      <c r="J2329" s="157"/>
      <c r="K2329" s="157"/>
      <c r="L2329" s="157"/>
      <c r="M2329" s="523"/>
      <c r="N2329" s="157"/>
      <c r="O2329" s="157"/>
    </row>
    <row r="2330" spans="3:15" ht="15" customHeight="1">
      <c r="C2330" s="498"/>
      <c r="D2330" s="256"/>
      <c r="E2330" s="195"/>
      <c r="F2330" s="157"/>
      <c r="G2330" s="157"/>
      <c r="H2330" s="157"/>
      <c r="I2330" s="157"/>
      <c r="J2330" s="157"/>
      <c r="K2330" s="157"/>
      <c r="L2330" s="157"/>
      <c r="M2330" s="523"/>
      <c r="N2330" s="157"/>
      <c r="O2330" s="157"/>
    </row>
    <row r="2331" spans="3:15" ht="15" customHeight="1">
      <c r="C2331" s="498"/>
      <c r="D2331" s="256"/>
      <c r="E2331" s="195"/>
      <c r="F2331" s="157"/>
      <c r="G2331" s="157"/>
      <c r="H2331" s="157"/>
      <c r="I2331" s="157"/>
      <c r="J2331" s="157"/>
      <c r="K2331" s="157"/>
      <c r="L2331" s="157"/>
      <c r="M2331" s="523"/>
      <c r="N2331" s="157"/>
      <c r="O2331" s="157"/>
    </row>
    <row r="2332" spans="3:15" ht="15" customHeight="1">
      <c r="C2332" s="498"/>
      <c r="D2332" s="256"/>
      <c r="E2332" s="195"/>
      <c r="F2332" s="157"/>
      <c r="G2332" s="157"/>
      <c r="H2332" s="157"/>
      <c r="I2332" s="157"/>
      <c r="J2332" s="157"/>
      <c r="K2332" s="157"/>
      <c r="L2332" s="157"/>
      <c r="M2332" s="523"/>
      <c r="N2332" s="157"/>
      <c r="O2332" s="157"/>
    </row>
    <row r="2333" spans="3:15" ht="15" customHeight="1">
      <c r="C2333" s="498"/>
      <c r="D2333" s="256"/>
      <c r="E2333" s="195"/>
      <c r="F2333" s="157"/>
      <c r="G2333" s="157"/>
      <c r="H2333" s="157"/>
      <c r="I2333" s="157"/>
      <c r="J2333" s="157"/>
      <c r="K2333" s="157"/>
      <c r="L2333" s="157"/>
      <c r="M2333" s="523"/>
      <c r="N2333" s="157"/>
      <c r="O2333" s="157"/>
    </row>
    <row r="2334" spans="3:15" ht="15" customHeight="1">
      <c r="C2334" s="498"/>
      <c r="D2334" s="256"/>
      <c r="E2334" s="195"/>
      <c r="F2334" s="157"/>
      <c r="G2334" s="157"/>
      <c r="H2334" s="157"/>
      <c r="I2334" s="157"/>
      <c r="J2334" s="157"/>
      <c r="K2334" s="157"/>
      <c r="L2334" s="157"/>
      <c r="M2334" s="523"/>
      <c r="N2334" s="157"/>
      <c r="O2334" s="157"/>
    </row>
    <row r="2335" spans="3:15" ht="15" customHeight="1">
      <c r="C2335" s="498"/>
      <c r="D2335" s="256"/>
      <c r="E2335" s="195"/>
      <c r="F2335" s="157"/>
      <c r="G2335" s="157"/>
      <c r="H2335" s="157"/>
      <c r="I2335" s="157"/>
      <c r="J2335" s="157"/>
      <c r="K2335" s="157"/>
      <c r="L2335" s="157"/>
      <c r="M2335" s="523"/>
      <c r="N2335" s="157"/>
      <c r="O2335" s="157"/>
    </row>
    <row r="2336" spans="3:15" ht="15" customHeight="1">
      <c r="C2336" s="498"/>
      <c r="D2336" s="256"/>
      <c r="E2336" s="195"/>
      <c r="F2336" s="157"/>
      <c r="G2336" s="157"/>
      <c r="H2336" s="157"/>
      <c r="I2336" s="157"/>
      <c r="J2336" s="157"/>
      <c r="K2336" s="157"/>
      <c r="L2336" s="157"/>
      <c r="M2336" s="523"/>
      <c r="N2336" s="157"/>
      <c r="O2336" s="157"/>
    </row>
    <row r="2337" spans="3:15" ht="15" customHeight="1">
      <c r="C2337" s="498"/>
      <c r="D2337" s="256"/>
      <c r="E2337" s="195"/>
      <c r="F2337" s="157"/>
      <c r="G2337" s="157"/>
      <c r="H2337" s="157"/>
      <c r="I2337" s="157"/>
      <c r="J2337" s="157"/>
      <c r="K2337" s="157"/>
      <c r="L2337" s="157"/>
      <c r="M2337" s="523"/>
      <c r="N2337" s="157"/>
      <c r="O2337" s="157"/>
    </row>
    <row r="2338" spans="3:15" ht="15" customHeight="1">
      <c r="C2338" s="498"/>
      <c r="D2338" s="256"/>
      <c r="E2338" s="195"/>
      <c r="F2338" s="157"/>
      <c r="G2338" s="157"/>
      <c r="H2338" s="157"/>
      <c r="I2338" s="157"/>
      <c r="J2338" s="157"/>
      <c r="K2338" s="157"/>
      <c r="L2338" s="157"/>
      <c r="M2338" s="523"/>
      <c r="N2338" s="157"/>
      <c r="O2338" s="157"/>
    </row>
    <row r="2339" spans="3:15" ht="15" customHeight="1">
      <c r="C2339" s="498"/>
      <c r="D2339" s="256"/>
      <c r="E2339" s="195"/>
      <c r="F2339" s="157"/>
      <c r="G2339" s="157"/>
      <c r="H2339" s="157"/>
      <c r="I2339" s="157"/>
      <c r="J2339" s="157"/>
      <c r="K2339" s="157"/>
      <c r="L2339" s="157"/>
      <c r="M2339" s="523"/>
      <c r="N2339" s="157"/>
      <c r="O2339" s="157"/>
    </row>
    <row r="2340" spans="3:15" ht="15" customHeight="1">
      <c r="C2340" s="498"/>
      <c r="D2340" s="256"/>
      <c r="E2340" s="195"/>
      <c r="F2340" s="157"/>
      <c r="G2340" s="157"/>
      <c r="H2340" s="157"/>
      <c r="I2340" s="157"/>
      <c r="J2340" s="157"/>
      <c r="K2340" s="157"/>
      <c r="L2340" s="157"/>
      <c r="M2340" s="523"/>
      <c r="N2340" s="157"/>
      <c r="O2340" s="157"/>
    </row>
    <row r="2341" spans="3:15" ht="15" customHeight="1">
      <c r="C2341" s="498"/>
      <c r="D2341" s="256"/>
      <c r="E2341" s="195"/>
      <c r="F2341" s="157"/>
      <c r="G2341" s="157"/>
      <c r="H2341" s="157"/>
      <c r="I2341" s="157"/>
      <c r="J2341" s="157"/>
      <c r="K2341" s="157"/>
      <c r="L2341" s="157"/>
      <c r="M2341" s="523"/>
      <c r="N2341" s="157"/>
      <c r="O2341" s="157"/>
    </row>
    <row r="2342" spans="3:15" ht="15" customHeight="1">
      <c r="C2342" s="498"/>
      <c r="D2342" s="256"/>
      <c r="E2342" s="195"/>
      <c r="F2342" s="157"/>
      <c r="G2342" s="157"/>
      <c r="H2342" s="157"/>
      <c r="I2342" s="157"/>
      <c r="J2342" s="157"/>
      <c r="K2342" s="157"/>
      <c r="L2342" s="157"/>
      <c r="M2342" s="523"/>
      <c r="N2342" s="157"/>
      <c r="O2342" s="157"/>
    </row>
    <row r="2343" spans="3:15" ht="15" customHeight="1">
      <c r="C2343" s="498"/>
      <c r="D2343" s="256"/>
      <c r="E2343" s="195"/>
      <c r="F2343" s="157"/>
      <c r="G2343" s="157"/>
      <c r="H2343" s="157"/>
      <c r="I2343" s="157"/>
      <c r="J2343" s="157"/>
      <c r="K2343" s="157"/>
      <c r="L2343" s="157"/>
      <c r="M2343" s="523"/>
      <c r="N2343" s="157"/>
      <c r="O2343" s="157"/>
    </row>
    <row r="2344" spans="3:15" ht="15" customHeight="1">
      <c r="C2344" s="498"/>
      <c r="D2344" s="256"/>
      <c r="E2344" s="195"/>
      <c r="F2344" s="157"/>
      <c r="G2344" s="157"/>
      <c r="H2344" s="157"/>
      <c r="I2344" s="157"/>
      <c r="J2344" s="157"/>
      <c r="K2344" s="157"/>
      <c r="L2344" s="157"/>
      <c r="M2344" s="523"/>
      <c r="N2344" s="157"/>
      <c r="O2344" s="157"/>
    </row>
    <row r="2345" spans="3:15" ht="15" customHeight="1">
      <c r="C2345" s="498"/>
      <c r="D2345" s="256"/>
      <c r="E2345" s="195"/>
      <c r="F2345" s="157"/>
      <c r="G2345" s="157"/>
      <c r="H2345" s="157"/>
      <c r="I2345" s="157"/>
      <c r="J2345" s="157"/>
      <c r="K2345" s="157"/>
      <c r="L2345" s="157"/>
      <c r="M2345" s="523"/>
      <c r="N2345" s="157"/>
      <c r="O2345" s="157"/>
    </row>
    <row r="2346" spans="3:15" ht="15" customHeight="1">
      <c r="C2346" s="498"/>
      <c r="D2346" s="256"/>
      <c r="E2346" s="195"/>
      <c r="F2346" s="157"/>
      <c r="G2346" s="157"/>
      <c r="H2346" s="157"/>
      <c r="I2346" s="157"/>
      <c r="J2346" s="157"/>
      <c r="K2346" s="157"/>
      <c r="L2346" s="157"/>
      <c r="M2346" s="523"/>
      <c r="N2346" s="157"/>
      <c r="O2346" s="157"/>
    </row>
    <row r="2347" spans="3:15" ht="15" customHeight="1">
      <c r="C2347" s="498"/>
      <c r="D2347" s="256"/>
      <c r="E2347" s="195"/>
      <c r="F2347" s="157"/>
      <c r="G2347" s="157"/>
      <c r="H2347" s="157"/>
      <c r="I2347" s="157"/>
      <c r="J2347" s="157"/>
      <c r="K2347" s="157"/>
      <c r="L2347" s="157"/>
      <c r="M2347" s="523"/>
      <c r="N2347" s="157"/>
      <c r="O2347" s="157"/>
    </row>
    <row r="2348" spans="3:15" ht="15" customHeight="1">
      <c r="C2348" s="498"/>
      <c r="D2348" s="256"/>
      <c r="E2348" s="195"/>
      <c r="F2348" s="157"/>
      <c r="G2348" s="157"/>
      <c r="H2348" s="157"/>
      <c r="I2348" s="157"/>
      <c r="J2348" s="157"/>
      <c r="K2348" s="157"/>
      <c r="L2348" s="157"/>
      <c r="M2348" s="523"/>
      <c r="N2348" s="157"/>
      <c r="O2348" s="157"/>
    </row>
    <row r="2349" spans="3:15" ht="15" customHeight="1">
      <c r="C2349" s="498"/>
      <c r="D2349" s="256"/>
      <c r="E2349" s="195"/>
      <c r="F2349" s="157"/>
      <c r="G2349" s="157"/>
      <c r="H2349" s="157"/>
      <c r="I2349" s="157"/>
      <c r="J2349" s="157"/>
      <c r="K2349" s="157"/>
      <c r="L2349" s="157"/>
      <c r="M2349" s="523"/>
      <c r="N2349" s="157"/>
      <c r="O2349" s="157"/>
    </row>
    <row r="2350" spans="3:15" ht="15" customHeight="1">
      <c r="C2350" s="498"/>
      <c r="D2350" s="256"/>
      <c r="E2350" s="195"/>
      <c r="F2350" s="157"/>
      <c r="G2350" s="157"/>
      <c r="H2350" s="157"/>
      <c r="I2350" s="157"/>
      <c r="J2350" s="157"/>
      <c r="K2350" s="157"/>
      <c r="L2350" s="157"/>
      <c r="M2350" s="523"/>
      <c r="N2350" s="157"/>
      <c r="O2350" s="157"/>
    </row>
    <row r="2351" spans="3:15" ht="15" customHeight="1">
      <c r="C2351" s="498"/>
      <c r="D2351" s="256"/>
      <c r="E2351" s="195"/>
      <c r="F2351" s="157"/>
      <c r="G2351" s="157"/>
      <c r="H2351" s="157"/>
      <c r="I2351" s="157"/>
      <c r="J2351" s="157"/>
      <c r="K2351" s="157"/>
      <c r="L2351" s="157"/>
      <c r="M2351" s="523"/>
      <c r="N2351" s="157"/>
      <c r="O2351" s="157"/>
    </row>
    <row r="2352" spans="3:15" ht="15" customHeight="1">
      <c r="C2352" s="498"/>
      <c r="D2352" s="256"/>
      <c r="E2352" s="195"/>
      <c r="F2352" s="157"/>
      <c r="G2352" s="157"/>
      <c r="H2352" s="157"/>
      <c r="I2352" s="157"/>
      <c r="J2352" s="157"/>
      <c r="K2352" s="157"/>
      <c r="L2352" s="157"/>
      <c r="M2352" s="523"/>
      <c r="N2352" s="157"/>
      <c r="O2352" s="157"/>
    </row>
    <row r="2353" spans="3:15" ht="15" customHeight="1">
      <c r="C2353" s="498"/>
      <c r="D2353" s="256"/>
      <c r="E2353" s="195"/>
      <c r="F2353" s="157"/>
      <c r="G2353" s="157"/>
      <c r="H2353" s="157"/>
      <c r="I2353" s="157"/>
      <c r="J2353" s="157"/>
      <c r="K2353" s="157"/>
      <c r="L2353" s="157"/>
      <c r="M2353" s="523"/>
      <c r="N2353" s="157"/>
      <c r="O2353" s="157"/>
    </row>
    <row r="2354" spans="3:15" ht="15" customHeight="1">
      <c r="C2354" s="498"/>
      <c r="D2354" s="256"/>
      <c r="E2354" s="195"/>
      <c r="F2354" s="157"/>
      <c r="G2354" s="157"/>
      <c r="H2354" s="157"/>
      <c r="I2354" s="157"/>
      <c r="J2354" s="157"/>
      <c r="K2354" s="157"/>
      <c r="L2354" s="157"/>
      <c r="M2354" s="523"/>
      <c r="N2354" s="157"/>
      <c r="O2354" s="157"/>
    </row>
    <row r="2355" spans="3:15" ht="15" customHeight="1">
      <c r="C2355" s="498"/>
      <c r="D2355" s="256"/>
      <c r="E2355" s="195"/>
      <c r="F2355" s="157"/>
      <c r="G2355" s="157"/>
      <c r="H2355" s="157"/>
      <c r="I2355" s="157"/>
      <c r="J2355" s="157"/>
      <c r="K2355" s="157"/>
      <c r="L2355" s="157"/>
      <c r="M2355" s="523"/>
      <c r="N2355" s="157"/>
      <c r="O2355" s="157"/>
    </row>
    <row r="2356" spans="3:15" ht="15" customHeight="1">
      <c r="C2356" s="498"/>
      <c r="D2356" s="256"/>
      <c r="E2356" s="195"/>
      <c r="F2356" s="157"/>
      <c r="G2356" s="157"/>
      <c r="H2356" s="157"/>
      <c r="I2356" s="157"/>
      <c r="J2356" s="157"/>
      <c r="K2356" s="157"/>
      <c r="L2356" s="157"/>
      <c r="M2356" s="523"/>
      <c r="N2356" s="157"/>
      <c r="O2356" s="157"/>
    </row>
    <row r="2357" spans="3:15" ht="15" customHeight="1">
      <c r="C2357" s="498"/>
      <c r="D2357" s="256"/>
      <c r="E2357" s="195"/>
      <c r="F2357" s="157"/>
      <c r="G2357" s="157"/>
      <c r="H2357" s="157"/>
      <c r="I2357" s="157"/>
      <c r="J2357" s="157"/>
      <c r="K2357" s="157"/>
      <c r="L2357" s="157"/>
      <c r="M2357" s="523"/>
      <c r="N2357" s="157"/>
      <c r="O2357" s="157"/>
    </row>
    <row r="2358" spans="3:15" ht="15" customHeight="1">
      <c r="C2358" s="498"/>
      <c r="D2358" s="256"/>
      <c r="E2358" s="195"/>
      <c r="F2358" s="157"/>
      <c r="G2358" s="157"/>
      <c r="H2358" s="157"/>
      <c r="I2358" s="157"/>
      <c r="J2358" s="157"/>
      <c r="K2358" s="157"/>
      <c r="L2358" s="157"/>
      <c r="M2358" s="523"/>
      <c r="N2358" s="157"/>
      <c r="O2358" s="157"/>
    </row>
    <row r="2359" spans="3:15" ht="15" customHeight="1">
      <c r="C2359" s="498"/>
      <c r="D2359" s="256"/>
      <c r="E2359" s="195"/>
      <c r="F2359" s="157"/>
      <c r="G2359" s="157"/>
      <c r="H2359" s="157"/>
      <c r="I2359" s="157"/>
      <c r="J2359" s="157"/>
      <c r="K2359" s="157"/>
      <c r="L2359" s="157"/>
      <c r="M2359" s="523"/>
      <c r="N2359" s="157"/>
      <c r="O2359" s="157"/>
    </row>
    <row r="2360" spans="3:15" ht="15" customHeight="1">
      <c r="C2360" s="498"/>
      <c r="D2360" s="256"/>
      <c r="E2360" s="195"/>
      <c r="F2360" s="157"/>
      <c r="G2360" s="157"/>
      <c r="H2360" s="157"/>
      <c r="I2360" s="157"/>
      <c r="J2360" s="157"/>
      <c r="K2360" s="157"/>
      <c r="L2360" s="157"/>
      <c r="M2360" s="523"/>
      <c r="N2360" s="157"/>
      <c r="O2360" s="157"/>
    </row>
    <row r="2361" spans="3:15" ht="15" customHeight="1">
      <c r="C2361" s="498"/>
      <c r="D2361" s="256"/>
      <c r="E2361" s="195"/>
      <c r="F2361" s="157"/>
      <c r="G2361" s="157"/>
      <c r="H2361" s="157"/>
      <c r="I2361" s="157"/>
      <c r="J2361" s="157"/>
      <c r="K2361" s="157"/>
      <c r="L2361" s="157"/>
      <c r="M2361" s="523"/>
      <c r="N2361" s="157"/>
      <c r="O2361" s="157"/>
    </row>
    <row r="2362" spans="3:15" ht="15" customHeight="1">
      <c r="C2362" s="498"/>
      <c r="D2362" s="256"/>
      <c r="E2362" s="195"/>
      <c r="F2362" s="157"/>
      <c r="G2362" s="157"/>
      <c r="H2362" s="157"/>
      <c r="I2362" s="157"/>
      <c r="J2362" s="157"/>
      <c r="K2362" s="157"/>
      <c r="L2362" s="157"/>
      <c r="M2362" s="523"/>
      <c r="N2362" s="157"/>
      <c r="O2362" s="157"/>
    </row>
    <row r="2363" spans="3:15" ht="15" customHeight="1">
      <c r="C2363" s="498"/>
      <c r="D2363" s="256"/>
      <c r="E2363" s="195"/>
      <c r="F2363" s="157"/>
      <c r="G2363" s="157"/>
      <c r="H2363" s="157"/>
      <c r="I2363" s="157"/>
      <c r="J2363" s="157"/>
      <c r="K2363" s="157"/>
      <c r="L2363" s="157"/>
      <c r="M2363" s="523"/>
      <c r="N2363" s="157"/>
      <c r="O2363" s="157"/>
    </row>
    <row r="2364" spans="3:15" ht="15" customHeight="1">
      <c r="C2364" s="498"/>
      <c r="D2364" s="256"/>
      <c r="E2364" s="195"/>
      <c r="F2364" s="157"/>
      <c r="G2364" s="157"/>
      <c r="H2364" s="157"/>
      <c r="I2364" s="157"/>
      <c r="J2364" s="157"/>
      <c r="K2364" s="157"/>
      <c r="L2364" s="157"/>
      <c r="M2364" s="523"/>
      <c r="N2364" s="157"/>
      <c r="O2364" s="157"/>
    </row>
    <row r="2365" spans="3:15" ht="15" customHeight="1">
      <c r="C2365" s="498"/>
      <c r="D2365" s="256"/>
      <c r="E2365" s="195"/>
      <c r="F2365" s="157"/>
      <c r="G2365" s="157"/>
      <c r="H2365" s="157"/>
      <c r="I2365" s="157"/>
      <c r="J2365" s="157"/>
      <c r="K2365" s="157"/>
      <c r="L2365" s="157"/>
      <c r="M2365" s="523"/>
      <c r="N2365" s="157"/>
      <c r="O2365" s="157"/>
    </row>
    <row r="2366" spans="3:15" ht="15" customHeight="1">
      <c r="C2366" s="498"/>
      <c r="D2366" s="256"/>
      <c r="E2366" s="195"/>
      <c r="F2366" s="157"/>
      <c r="G2366" s="157"/>
      <c r="H2366" s="157"/>
      <c r="I2366" s="157"/>
      <c r="J2366" s="157"/>
      <c r="K2366" s="157"/>
      <c r="L2366" s="157"/>
      <c r="M2366" s="523"/>
      <c r="N2366" s="157"/>
      <c r="O2366" s="157"/>
    </row>
    <row r="2367" spans="3:15" ht="15" customHeight="1">
      <c r="C2367" s="498"/>
      <c r="D2367" s="256"/>
      <c r="E2367" s="195"/>
      <c r="F2367" s="157"/>
      <c r="G2367" s="157"/>
      <c r="H2367" s="157"/>
      <c r="I2367" s="157"/>
      <c r="J2367" s="157"/>
      <c r="K2367" s="157"/>
      <c r="L2367" s="157"/>
      <c r="M2367" s="523"/>
      <c r="N2367" s="157"/>
      <c r="O2367" s="157"/>
    </row>
    <row r="2368" spans="3:15" ht="15" customHeight="1">
      <c r="C2368" s="498"/>
      <c r="D2368" s="256"/>
      <c r="E2368" s="195"/>
      <c r="F2368" s="157"/>
      <c r="G2368" s="157"/>
      <c r="H2368" s="157"/>
      <c r="I2368" s="157"/>
      <c r="J2368" s="157"/>
      <c r="K2368" s="157"/>
      <c r="L2368" s="157"/>
      <c r="M2368" s="523"/>
      <c r="N2368" s="157"/>
      <c r="O2368" s="157"/>
    </row>
    <row r="2369" spans="3:15" ht="15" customHeight="1">
      <c r="C2369" s="498"/>
      <c r="D2369" s="256"/>
      <c r="E2369" s="195"/>
      <c r="F2369" s="157"/>
      <c r="G2369" s="157"/>
      <c r="H2369" s="157"/>
      <c r="I2369" s="157"/>
      <c r="J2369" s="157"/>
      <c r="K2369" s="157"/>
      <c r="L2369" s="157"/>
      <c r="M2369" s="523"/>
      <c r="N2369" s="157"/>
      <c r="O2369" s="157"/>
    </row>
    <row r="2370" spans="3:15" ht="15" customHeight="1">
      <c r="C2370" s="498"/>
      <c r="D2370" s="256"/>
      <c r="E2370" s="195"/>
      <c r="F2370" s="157"/>
      <c r="G2370" s="157"/>
      <c r="H2370" s="157"/>
      <c r="I2370" s="157"/>
      <c r="J2370" s="157"/>
      <c r="K2370" s="157"/>
      <c r="L2370" s="157"/>
      <c r="M2370" s="523"/>
      <c r="N2370" s="157"/>
      <c r="O2370" s="157"/>
    </row>
    <row r="2371" spans="3:15" ht="15" customHeight="1">
      <c r="C2371" s="498"/>
      <c r="D2371" s="256"/>
      <c r="E2371" s="195"/>
      <c r="F2371" s="157"/>
      <c r="G2371" s="157"/>
      <c r="H2371" s="157"/>
      <c r="I2371" s="157"/>
      <c r="J2371" s="157"/>
      <c r="K2371" s="157"/>
      <c r="L2371" s="157"/>
      <c r="M2371" s="523"/>
      <c r="N2371" s="157"/>
      <c r="O2371" s="157"/>
    </row>
    <row r="2372" spans="3:15" ht="15" customHeight="1">
      <c r="C2372" s="498"/>
      <c r="D2372" s="256"/>
      <c r="E2372" s="195"/>
      <c r="F2372" s="157"/>
      <c r="G2372" s="157"/>
      <c r="H2372" s="157"/>
      <c r="I2372" s="157"/>
      <c r="J2372" s="157"/>
      <c r="K2372" s="157"/>
      <c r="L2372" s="157"/>
      <c r="M2372" s="523"/>
      <c r="N2372" s="157"/>
      <c r="O2372" s="157"/>
    </row>
    <row r="2373" spans="3:15" ht="15" customHeight="1">
      <c r="C2373" s="498"/>
      <c r="D2373" s="256"/>
      <c r="E2373" s="195"/>
      <c r="F2373" s="157"/>
      <c r="G2373" s="157"/>
      <c r="H2373" s="157"/>
      <c r="I2373" s="157"/>
      <c r="J2373" s="157"/>
      <c r="K2373" s="157"/>
      <c r="L2373" s="157"/>
      <c r="M2373" s="523"/>
      <c r="N2373" s="157"/>
      <c r="O2373" s="157"/>
    </row>
    <row r="2374" spans="3:15" ht="15" customHeight="1">
      <c r="C2374" s="498"/>
      <c r="D2374" s="256"/>
      <c r="E2374" s="195"/>
      <c r="F2374" s="157"/>
      <c r="G2374" s="157"/>
      <c r="H2374" s="157"/>
      <c r="I2374" s="157"/>
      <c r="J2374" s="157"/>
      <c r="K2374" s="157"/>
      <c r="L2374" s="157"/>
      <c r="M2374" s="523"/>
      <c r="N2374" s="157"/>
      <c r="O2374" s="157"/>
    </row>
    <row r="2375" spans="3:15" ht="15" customHeight="1">
      <c r="C2375" s="498"/>
      <c r="D2375" s="256"/>
      <c r="E2375" s="195"/>
      <c r="F2375" s="157"/>
      <c r="G2375" s="157"/>
      <c r="H2375" s="157"/>
      <c r="I2375" s="157"/>
      <c r="J2375" s="157"/>
      <c r="K2375" s="157"/>
      <c r="L2375" s="157"/>
      <c r="M2375" s="523"/>
      <c r="N2375" s="157"/>
      <c r="O2375" s="157"/>
    </row>
    <row r="2376" spans="3:15" ht="15" customHeight="1">
      <c r="C2376" s="498"/>
      <c r="D2376" s="256"/>
      <c r="E2376" s="195"/>
      <c r="F2376" s="157"/>
      <c r="G2376" s="157"/>
      <c r="H2376" s="157"/>
      <c r="I2376" s="157"/>
      <c r="J2376" s="157"/>
      <c r="K2376" s="157"/>
      <c r="L2376" s="157"/>
      <c r="M2376" s="523"/>
      <c r="N2376" s="157"/>
      <c r="O2376" s="157"/>
    </row>
    <row r="2377" spans="3:15" ht="15" customHeight="1">
      <c r="C2377" s="498"/>
      <c r="D2377" s="256"/>
      <c r="E2377" s="195"/>
      <c r="F2377" s="157"/>
      <c r="G2377" s="157"/>
      <c r="H2377" s="157"/>
      <c r="I2377" s="157"/>
      <c r="J2377" s="157"/>
      <c r="K2377" s="157"/>
      <c r="L2377" s="157"/>
      <c r="M2377" s="523"/>
      <c r="N2377" s="157"/>
      <c r="O2377" s="157"/>
    </row>
    <row r="2378" spans="3:15" ht="15" customHeight="1">
      <c r="C2378" s="498"/>
      <c r="D2378" s="256"/>
      <c r="E2378" s="195"/>
      <c r="F2378" s="157"/>
      <c r="G2378" s="157"/>
      <c r="H2378" s="157"/>
      <c r="I2378" s="157"/>
      <c r="J2378" s="157"/>
      <c r="K2378" s="157"/>
      <c r="L2378" s="157"/>
      <c r="M2378" s="523"/>
      <c r="N2378" s="157"/>
      <c r="O2378" s="157"/>
    </row>
    <row r="2379" spans="3:15" ht="15" customHeight="1">
      <c r="C2379" s="498"/>
      <c r="D2379" s="256"/>
      <c r="E2379" s="195"/>
      <c r="F2379" s="157"/>
      <c r="G2379" s="157"/>
      <c r="H2379" s="157"/>
      <c r="I2379" s="157"/>
      <c r="J2379" s="157"/>
      <c r="K2379" s="157"/>
      <c r="L2379" s="157"/>
      <c r="M2379" s="523"/>
      <c r="N2379" s="157"/>
      <c r="O2379" s="157"/>
    </row>
    <row r="2380" spans="3:15" ht="15" customHeight="1">
      <c r="C2380" s="498"/>
      <c r="D2380" s="256"/>
      <c r="E2380" s="195"/>
      <c r="F2380" s="157"/>
      <c r="G2380" s="157"/>
      <c r="H2380" s="157"/>
      <c r="I2380" s="157"/>
      <c r="J2380" s="157"/>
      <c r="K2380" s="157"/>
      <c r="L2380" s="157"/>
      <c r="M2380" s="523"/>
      <c r="N2380" s="157"/>
      <c r="O2380" s="157"/>
    </row>
    <row r="2381" spans="3:15" ht="15" customHeight="1">
      <c r="C2381" s="498"/>
      <c r="D2381" s="256"/>
      <c r="E2381" s="195"/>
      <c r="F2381" s="157"/>
      <c r="G2381" s="157"/>
      <c r="H2381" s="157"/>
      <c r="I2381" s="157"/>
      <c r="J2381" s="157"/>
      <c r="K2381" s="157"/>
      <c r="L2381" s="157"/>
      <c r="M2381" s="523"/>
      <c r="N2381" s="157"/>
      <c r="O2381" s="157"/>
    </row>
    <row r="2382" spans="3:15" ht="15" customHeight="1">
      <c r="C2382" s="498"/>
      <c r="D2382" s="256"/>
      <c r="E2382" s="195"/>
      <c r="F2382" s="157"/>
      <c r="G2382" s="157"/>
      <c r="H2382" s="157"/>
      <c r="I2382" s="157"/>
      <c r="J2382" s="157"/>
      <c r="K2382" s="157"/>
      <c r="L2382" s="157"/>
      <c r="M2382" s="523"/>
      <c r="N2382" s="157"/>
      <c r="O2382" s="157"/>
    </row>
    <row r="2383" spans="3:15" ht="15" customHeight="1">
      <c r="C2383" s="498"/>
      <c r="D2383" s="256"/>
      <c r="E2383" s="195"/>
      <c r="F2383" s="157"/>
      <c r="G2383" s="157"/>
      <c r="H2383" s="157"/>
      <c r="I2383" s="157"/>
      <c r="J2383" s="157"/>
      <c r="K2383" s="157"/>
      <c r="L2383" s="157"/>
      <c r="M2383" s="523"/>
      <c r="N2383" s="157"/>
      <c r="O2383" s="157"/>
    </row>
    <row r="2384" spans="3:15" ht="15" customHeight="1">
      <c r="C2384" s="498"/>
      <c r="D2384" s="256"/>
      <c r="E2384" s="195"/>
      <c r="F2384" s="157"/>
      <c r="G2384" s="157"/>
      <c r="H2384" s="157"/>
      <c r="I2384" s="157"/>
      <c r="J2384" s="157"/>
      <c r="K2384" s="157"/>
      <c r="L2384" s="157"/>
      <c r="M2384" s="523"/>
      <c r="N2384" s="157"/>
      <c r="O2384" s="157"/>
    </row>
    <row r="2385" spans="3:15" ht="15" customHeight="1">
      <c r="C2385" s="498"/>
      <c r="D2385" s="256"/>
      <c r="E2385" s="195"/>
      <c r="F2385" s="157"/>
      <c r="G2385" s="157"/>
      <c r="H2385" s="157"/>
      <c r="I2385" s="157"/>
      <c r="J2385" s="157"/>
      <c r="K2385" s="157"/>
      <c r="L2385" s="157"/>
      <c r="M2385" s="523"/>
      <c r="N2385" s="157"/>
      <c r="O2385" s="157"/>
    </row>
    <row r="2386" spans="3:15" ht="15" customHeight="1">
      <c r="C2386" s="498"/>
      <c r="D2386" s="256"/>
      <c r="E2386" s="195"/>
      <c r="F2386" s="157"/>
      <c r="G2386" s="157"/>
      <c r="H2386" s="157"/>
      <c r="I2386" s="157"/>
      <c r="J2386" s="157"/>
      <c r="K2386" s="157"/>
      <c r="L2386" s="157"/>
      <c r="M2386" s="523"/>
      <c r="N2386" s="157"/>
      <c r="O2386" s="157"/>
    </row>
    <row r="2387" spans="3:15" ht="15" customHeight="1">
      <c r="C2387" s="498"/>
      <c r="D2387" s="256"/>
      <c r="E2387" s="195"/>
      <c r="F2387" s="157"/>
      <c r="G2387" s="157"/>
      <c r="H2387" s="157"/>
      <c r="I2387" s="157"/>
      <c r="J2387" s="157"/>
      <c r="K2387" s="157"/>
      <c r="L2387" s="157"/>
      <c r="M2387" s="523"/>
      <c r="N2387" s="157"/>
      <c r="O2387" s="157"/>
    </row>
    <row r="2388" spans="3:15" ht="15" customHeight="1">
      <c r="C2388" s="498"/>
      <c r="D2388" s="256"/>
      <c r="E2388" s="195"/>
      <c r="F2388" s="157"/>
      <c r="G2388" s="157"/>
      <c r="H2388" s="157"/>
      <c r="I2388" s="157"/>
      <c r="J2388" s="157"/>
      <c r="K2388" s="157"/>
      <c r="L2388" s="157"/>
      <c r="M2388" s="523"/>
      <c r="N2388" s="157"/>
      <c r="O2388" s="157"/>
    </row>
    <row r="2389" spans="3:15" ht="15" customHeight="1">
      <c r="C2389" s="498"/>
      <c r="D2389" s="256"/>
      <c r="E2389" s="195"/>
      <c r="F2389" s="157"/>
      <c r="G2389" s="157"/>
      <c r="H2389" s="157"/>
      <c r="I2389" s="157"/>
      <c r="J2389" s="157"/>
      <c r="K2389" s="157"/>
      <c r="L2389" s="157"/>
      <c r="M2389" s="523"/>
      <c r="N2389" s="157"/>
      <c r="O2389" s="157"/>
    </row>
    <row r="2390" spans="3:15" ht="15" customHeight="1">
      <c r="C2390" s="498"/>
      <c r="D2390" s="256"/>
      <c r="E2390" s="195"/>
      <c r="F2390" s="157"/>
      <c r="G2390" s="157"/>
      <c r="H2390" s="157"/>
      <c r="I2390" s="157"/>
      <c r="J2390" s="157"/>
      <c r="K2390" s="157"/>
      <c r="L2390" s="157"/>
      <c r="M2390" s="523"/>
      <c r="N2390" s="157"/>
      <c r="O2390" s="157"/>
    </row>
    <row r="2391" spans="3:15" ht="15" customHeight="1">
      <c r="C2391" s="498"/>
      <c r="D2391" s="256"/>
      <c r="E2391" s="195"/>
      <c r="F2391" s="157"/>
      <c r="G2391" s="157"/>
      <c r="H2391" s="157"/>
      <c r="I2391" s="157"/>
      <c r="J2391" s="157"/>
      <c r="K2391" s="157"/>
      <c r="L2391" s="157"/>
      <c r="M2391" s="523"/>
      <c r="N2391" s="157"/>
      <c r="O2391" s="157"/>
    </row>
    <row r="2392" spans="3:15" ht="15" customHeight="1">
      <c r="C2392" s="498"/>
      <c r="D2392" s="256"/>
      <c r="E2392" s="195"/>
      <c r="F2392" s="157"/>
      <c r="G2392" s="157"/>
      <c r="H2392" s="157"/>
      <c r="I2392" s="157"/>
      <c r="J2392" s="157"/>
      <c r="K2392" s="157"/>
      <c r="L2392" s="157"/>
      <c r="M2392" s="523"/>
      <c r="N2392" s="157"/>
      <c r="O2392" s="157"/>
    </row>
    <row r="2393" spans="3:15" ht="15" customHeight="1">
      <c r="C2393" s="498"/>
      <c r="D2393" s="256"/>
      <c r="E2393" s="195"/>
      <c r="F2393" s="157"/>
      <c r="G2393" s="157"/>
      <c r="H2393" s="157"/>
      <c r="I2393" s="157"/>
      <c r="J2393" s="157"/>
      <c r="K2393" s="157"/>
      <c r="L2393" s="157"/>
      <c r="M2393" s="523"/>
      <c r="N2393" s="157"/>
      <c r="O2393" s="157"/>
    </row>
    <row r="2394" spans="3:15" ht="15" customHeight="1">
      <c r="C2394" s="498"/>
      <c r="D2394" s="256"/>
      <c r="E2394" s="195"/>
      <c r="F2394" s="157"/>
      <c r="G2394" s="157"/>
      <c r="H2394" s="157"/>
      <c r="I2394" s="157"/>
      <c r="J2394" s="157"/>
      <c r="K2394" s="157"/>
      <c r="L2394" s="157"/>
      <c r="M2394" s="523"/>
      <c r="N2394" s="157"/>
      <c r="O2394" s="157"/>
    </row>
    <row r="2395" spans="3:15" ht="15" customHeight="1">
      <c r="C2395" s="498"/>
      <c r="D2395" s="256"/>
      <c r="E2395" s="195"/>
      <c r="F2395" s="157"/>
      <c r="G2395" s="157"/>
      <c r="H2395" s="157"/>
      <c r="I2395" s="157"/>
      <c r="J2395" s="157"/>
      <c r="K2395" s="157"/>
      <c r="L2395" s="157"/>
      <c r="M2395" s="523"/>
      <c r="N2395" s="157"/>
      <c r="O2395" s="157"/>
    </row>
    <row r="2396" spans="3:15" ht="15" customHeight="1">
      <c r="C2396" s="498"/>
      <c r="D2396" s="256"/>
      <c r="E2396" s="195"/>
      <c r="F2396" s="157"/>
      <c r="G2396" s="157"/>
      <c r="H2396" s="157"/>
      <c r="I2396" s="157"/>
      <c r="J2396" s="157"/>
      <c r="K2396" s="157"/>
      <c r="L2396" s="157"/>
      <c r="M2396" s="523"/>
      <c r="N2396" s="157"/>
      <c r="O2396" s="157"/>
    </row>
    <row r="2397" spans="3:15" ht="15" customHeight="1">
      <c r="C2397" s="498"/>
      <c r="D2397" s="256"/>
      <c r="E2397" s="195"/>
      <c r="F2397" s="157"/>
      <c r="G2397" s="157"/>
      <c r="H2397" s="157"/>
      <c r="I2397" s="157"/>
      <c r="J2397" s="157"/>
      <c r="K2397" s="157"/>
      <c r="L2397" s="157"/>
      <c r="M2397" s="523"/>
      <c r="N2397" s="157"/>
      <c r="O2397" s="157"/>
    </row>
    <row r="2398" spans="3:15" ht="15" customHeight="1">
      <c r="C2398" s="498"/>
      <c r="D2398" s="256"/>
      <c r="E2398" s="195"/>
      <c r="F2398" s="157"/>
      <c r="G2398" s="157"/>
      <c r="H2398" s="157"/>
      <c r="I2398" s="157"/>
      <c r="J2398" s="157"/>
      <c r="K2398" s="157"/>
      <c r="L2398" s="157"/>
      <c r="M2398" s="523"/>
      <c r="N2398" s="157"/>
      <c r="O2398" s="157"/>
    </row>
    <row r="2399" spans="3:15" ht="15" customHeight="1">
      <c r="C2399" s="498"/>
      <c r="D2399" s="256"/>
      <c r="E2399" s="195"/>
      <c r="F2399" s="157"/>
      <c r="G2399" s="157"/>
      <c r="H2399" s="157"/>
      <c r="I2399" s="157"/>
      <c r="J2399" s="157"/>
      <c r="K2399" s="157"/>
      <c r="L2399" s="157"/>
      <c r="M2399" s="523"/>
      <c r="N2399" s="157"/>
      <c r="O2399" s="157"/>
    </row>
    <row r="2400" spans="3:15" ht="15" customHeight="1">
      <c r="C2400" s="498"/>
      <c r="D2400" s="256"/>
      <c r="E2400" s="195"/>
      <c r="F2400" s="157"/>
      <c r="G2400" s="157"/>
      <c r="H2400" s="157"/>
      <c r="I2400" s="157"/>
      <c r="J2400" s="157"/>
      <c r="K2400" s="157"/>
      <c r="L2400" s="157"/>
      <c r="M2400" s="523"/>
      <c r="N2400" s="157"/>
      <c r="O2400" s="157"/>
    </row>
    <row r="2401" spans="3:15" ht="15" customHeight="1">
      <c r="C2401" s="498"/>
      <c r="D2401" s="256"/>
      <c r="E2401" s="195"/>
      <c r="F2401" s="157"/>
      <c r="G2401" s="157"/>
      <c r="H2401" s="157"/>
      <c r="I2401" s="157"/>
      <c r="J2401" s="157"/>
      <c r="K2401" s="157"/>
      <c r="L2401" s="157"/>
      <c r="M2401" s="523"/>
      <c r="N2401" s="157"/>
      <c r="O2401" s="157"/>
    </row>
    <row r="2402" spans="3:15" ht="15" customHeight="1">
      <c r="C2402" s="498"/>
      <c r="D2402" s="256"/>
      <c r="E2402" s="195"/>
      <c r="F2402" s="157"/>
      <c r="G2402" s="157"/>
      <c r="H2402" s="157"/>
      <c r="I2402" s="157"/>
      <c r="J2402" s="157"/>
      <c r="K2402" s="157"/>
      <c r="L2402" s="157"/>
      <c r="M2402" s="523"/>
      <c r="N2402" s="157"/>
      <c r="O2402" s="157"/>
    </row>
    <row r="2403" spans="3:15" ht="15" customHeight="1">
      <c r="C2403" s="498"/>
      <c r="D2403" s="256"/>
      <c r="E2403" s="195"/>
      <c r="F2403" s="157"/>
      <c r="G2403" s="157"/>
      <c r="H2403" s="157"/>
      <c r="I2403" s="157"/>
      <c r="J2403" s="157"/>
      <c r="K2403" s="157"/>
      <c r="L2403" s="157"/>
      <c r="M2403" s="523"/>
      <c r="N2403" s="157"/>
      <c r="O2403" s="157"/>
    </row>
    <row r="2404" spans="3:15" ht="15" customHeight="1">
      <c r="C2404" s="498"/>
      <c r="D2404" s="256"/>
      <c r="E2404" s="195"/>
      <c r="F2404" s="157"/>
      <c r="G2404" s="157"/>
      <c r="H2404" s="157"/>
      <c r="I2404" s="157"/>
      <c r="J2404" s="157"/>
      <c r="K2404" s="157"/>
      <c r="L2404" s="157"/>
      <c r="M2404" s="523"/>
      <c r="N2404" s="157"/>
      <c r="O2404" s="157"/>
    </row>
    <row r="2405" spans="3:15" ht="15" customHeight="1">
      <c r="C2405" s="498"/>
      <c r="D2405" s="256"/>
      <c r="E2405" s="195"/>
      <c r="F2405" s="157"/>
      <c r="G2405" s="157"/>
      <c r="H2405" s="157"/>
      <c r="I2405" s="157"/>
      <c r="J2405" s="157"/>
      <c r="K2405" s="157"/>
      <c r="L2405" s="157"/>
      <c r="M2405" s="523"/>
      <c r="N2405" s="157"/>
      <c r="O2405" s="157"/>
    </row>
    <row r="2406" spans="3:15" ht="15" customHeight="1">
      <c r="C2406" s="498"/>
      <c r="D2406" s="256"/>
      <c r="E2406" s="195"/>
      <c r="F2406" s="157"/>
      <c r="G2406" s="157"/>
      <c r="H2406" s="157"/>
      <c r="I2406" s="157"/>
      <c r="J2406" s="157"/>
      <c r="K2406" s="157"/>
      <c r="L2406" s="157"/>
      <c r="M2406" s="523"/>
      <c r="N2406" s="157"/>
      <c r="O2406" s="157"/>
    </row>
    <row r="2407" spans="3:15" ht="15" customHeight="1">
      <c r="C2407" s="498"/>
      <c r="D2407" s="256"/>
      <c r="E2407" s="195"/>
      <c r="F2407" s="157"/>
      <c r="G2407" s="157"/>
      <c r="H2407" s="157"/>
      <c r="I2407" s="157"/>
      <c r="J2407" s="157"/>
      <c r="K2407" s="157"/>
      <c r="L2407" s="157"/>
      <c r="M2407" s="523"/>
      <c r="N2407" s="157"/>
      <c r="O2407" s="157"/>
    </row>
    <row r="2408" spans="3:15" ht="15" customHeight="1">
      <c r="C2408" s="498"/>
      <c r="D2408" s="256"/>
      <c r="E2408" s="195"/>
      <c r="F2408" s="157"/>
      <c r="G2408" s="157"/>
      <c r="H2408" s="157"/>
      <c r="I2408" s="157"/>
      <c r="J2408" s="157"/>
      <c r="K2408" s="157"/>
      <c r="L2408" s="157"/>
      <c r="M2408" s="523"/>
      <c r="N2408" s="157"/>
      <c r="O2408" s="157"/>
    </row>
    <row r="2409" spans="3:15" ht="15" customHeight="1">
      <c r="C2409" s="498"/>
      <c r="D2409" s="256"/>
      <c r="E2409" s="195"/>
      <c r="F2409" s="157"/>
      <c r="G2409" s="157"/>
      <c r="H2409" s="157"/>
      <c r="I2409" s="157"/>
      <c r="J2409" s="157"/>
      <c r="K2409" s="157"/>
      <c r="L2409" s="157"/>
      <c r="M2409" s="523"/>
      <c r="N2409" s="157"/>
      <c r="O2409" s="157"/>
    </row>
    <row r="2410" spans="3:15" ht="15" customHeight="1">
      <c r="C2410" s="498"/>
      <c r="D2410" s="256"/>
      <c r="E2410" s="195"/>
      <c r="F2410" s="157"/>
      <c r="G2410" s="157"/>
      <c r="H2410" s="157"/>
      <c r="I2410" s="157"/>
      <c r="J2410" s="157"/>
      <c r="K2410" s="157"/>
      <c r="L2410" s="157"/>
      <c r="M2410" s="523"/>
      <c r="N2410" s="157"/>
      <c r="O2410" s="157"/>
    </row>
    <row r="2411" spans="3:15" ht="15" customHeight="1">
      <c r="C2411" s="498"/>
      <c r="D2411" s="256"/>
      <c r="E2411" s="195"/>
      <c r="F2411" s="157"/>
      <c r="G2411" s="157"/>
      <c r="H2411" s="157"/>
      <c r="I2411" s="157"/>
      <c r="J2411" s="157"/>
      <c r="K2411" s="157"/>
      <c r="L2411" s="157"/>
      <c r="M2411" s="523"/>
      <c r="N2411" s="157"/>
      <c r="O2411" s="157"/>
    </row>
    <row r="2412" spans="3:15" ht="15" customHeight="1">
      <c r="C2412" s="498"/>
      <c r="D2412" s="256"/>
      <c r="E2412" s="195"/>
      <c r="F2412" s="157"/>
      <c r="G2412" s="157"/>
      <c r="H2412" s="157"/>
      <c r="I2412" s="157"/>
      <c r="J2412" s="157"/>
      <c r="K2412" s="157"/>
      <c r="L2412" s="157"/>
      <c r="M2412" s="523"/>
      <c r="N2412" s="157"/>
      <c r="O2412" s="157"/>
    </row>
    <row r="2413" spans="3:15" ht="15" customHeight="1">
      <c r="C2413" s="498"/>
      <c r="D2413" s="256"/>
      <c r="E2413" s="195"/>
      <c r="F2413" s="157"/>
      <c r="G2413" s="157"/>
      <c r="H2413" s="157"/>
      <c r="I2413" s="157"/>
      <c r="J2413" s="157"/>
      <c r="K2413" s="157"/>
      <c r="L2413" s="157"/>
      <c r="M2413" s="523"/>
      <c r="N2413" s="157"/>
      <c r="O2413" s="157"/>
    </row>
    <row r="2414" spans="3:15" ht="15" customHeight="1">
      <c r="C2414" s="498"/>
      <c r="D2414" s="256"/>
      <c r="E2414" s="195"/>
      <c r="F2414" s="157"/>
      <c r="G2414" s="157"/>
      <c r="H2414" s="157"/>
      <c r="I2414" s="157"/>
      <c r="J2414" s="157"/>
      <c r="K2414" s="157"/>
      <c r="L2414" s="157"/>
      <c r="M2414" s="523"/>
      <c r="N2414" s="157"/>
      <c r="O2414" s="157"/>
    </row>
    <row r="2415" spans="3:15" ht="15" customHeight="1">
      <c r="C2415" s="498"/>
      <c r="D2415" s="256"/>
      <c r="E2415" s="195"/>
      <c r="F2415" s="157"/>
      <c r="G2415" s="157"/>
      <c r="H2415" s="157"/>
      <c r="I2415" s="157"/>
      <c r="J2415" s="157"/>
      <c r="K2415" s="157"/>
      <c r="L2415" s="157"/>
      <c r="M2415" s="523"/>
      <c r="N2415" s="157"/>
      <c r="O2415" s="157"/>
    </row>
    <row r="2416" spans="3:15" ht="15" customHeight="1">
      <c r="C2416" s="498"/>
      <c r="D2416" s="256"/>
      <c r="E2416" s="195"/>
      <c r="F2416" s="157"/>
      <c r="G2416" s="157"/>
      <c r="H2416" s="157"/>
      <c r="I2416" s="157"/>
      <c r="J2416" s="157"/>
      <c r="K2416" s="157"/>
      <c r="L2416" s="157"/>
      <c r="M2416" s="523"/>
      <c r="N2416" s="157"/>
      <c r="O2416" s="157"/>
    </row>
    <row r="2417" spans="3:15" ht="15" customHeight="1">
      <c r="C2417" s="498"/>
      <c r="D2417" s="256"/>
      <c r="E2417" s="195"/>
      <c r="F2417" s="157"/>
      <c r="G2417" s="157"/>
      <c r="H2417" s="157"/>
      <c r="I2417" s="157"/>
      <c r="J2417" s="157"/>
      <c r="K2417" s="157"/>
      <c r="L2417" s="157"/>
      <c r="M2417" s="523"/>
      <c r="N2417" s="157"/>
      <c r="O2417" s="157"/>
    </row>
    <row r="2418" spans="3:15" ht="15" customHeight="1">
      <c r="C2418" s="498"/>
      <c r="D2418" s="256"/>
      <c r="E2418" s="195"/>
      <c r="F2418" s="157"/>
      <c r="G2418" s="157"/>
      <c r="H2418" s="157"/>
      <c r="I2418" s="157"/>
      <c r="J2418" s="157"/>
      <c r="K2418" s="157"/>
      <c r="L2418" s="157"/>
      <c r="M2418" s="523"/>
      <c r="N2418" s="157"/>
      <c r="O2418" s="157"/>
    </row>
    <row r="2419" spans="3:15" ht="15" customHeight="1">
      <c r="C2419" s="498"/>
      <c r="D2419" s="256"/>
      <c r="E2419" s="195"/>
      <c r="F2419" s="157"/>
      <c r="G2419" s="157"/>
      <c r="H2419" s="157"/>
      <c r="I2419" s="157"/>
      <c r="J2419" s="157"/>
      <c r="K2419" s="157"/>
      <c r="L2419" s="157"/>
      <c r="M2419" s="523"/>
      <c r="N2419" s="157"/>
      <c r="O2419" s="157"/>
    </row>
    <row r="2420" spans="3:15" ht="15" customHeight="1">
      <c r="C2420" s="498"/>
      <c r="D2420" s="256"/>
      <c r="E2420" s="195"/>
      <c r="F2420" s="157"/>
      <c r="G2420" s="157"/>
      <c r="H2420" s="157"/>
      <c r="I2420" s="157"/>
      <c r="J2420" s="157"/>
      <c r="K2420" s="157"/>
      <c r="L2420" s="157"/>
      <c r="M2420" s="523"/>
      <c r="N2420" s="157"/>
      <c r="O2420" s="157"/>
    </row>
    <row r="2421" spans="3:15" ht="15" customHeight="1">
      <c r="C2421" s="498"/>
      <c r="D2421" s="256"/>
      <c r="E2421" s="195"/>
      <c r="F2421" s="157"/>
      <c r="G2421" s="157"/>
      <c r="H2421" s="157"/>
      <c r="I2421" s="157"/>
      <c r="J2421" s="157"/>
      <c r="K2421" s="157"/>
      <c r="L2421" s="157"/>
      <c r="M2421" s="523"/>
      <c r="N2421" s="157"/>
      <c r="O2421" s="157"/>
    </row>
    <row r="2422" spans="3:15" ht="15" customHeight="1">
      <c r="C2422" s="498"/>
      <c r="D2422" s="256"/>
      <c r="E2422" s="195"/>
      <c r="F2422" s="157"/>
      <c r="G2422" s="157"/>
      <c r="H2422" s="157"/>
      <c r="I2422" s="157"/>
      <c r="J2422" s="157"/>
      <c r="K2422" s="157"/>
      <c r="L2422" s="157"/>
      <c r="M2422" s="523"/>
      <c r="N2422" s="157"/>
      <c r="O2422" s="157"/>
    </row>
    <row r="2423" spans="3:15" ht="15" customHeight="1">
      <c r="C2423" s="498"/>
      <c r="D2423" s="256"/>
      <c r="E2423" s="195"/>
      <c r="F2423" s="157"/>
      <c r="G2423" s="157"/>
      <c r="H2423" s="157"/>
      <c r="I2423" s="157"/>
      <c r="J2423" s="157"/>
      <c r="K2423" s="157"/>
      <c r="L2423" s="157"/>
      <c r="M2423" s="523"/>
      <c r="N2423" s="157"/>
      <c r="O2423" s="157"/>
    </row>
    <row r="2424" spans="3:15" ht="15" customHeight="1">
      <c r="C2424" s="498"/>
      <c r="D2424" s="256"/>
      <c r="E2424" s="195"/>
      <c r="F2424" s="157"/>
      <c r="G2424" s="157"/>
      <c r="H2424" s="157"/>
      <c r="I2424" s="157"/>
      <c r="J2424" s="157"/>
      <c r="K2424" s="157"/>
      <c r="L2424" s="157"/>
      <c r="M2424" s="523"/>
      <c r="N2424" s="157"/>
      <c r="O2424" s="157"/>
    </row>
    <row r="2425" spans="3:15" ht="15" customHeight="1">
      <c r="C2425" s="498"/>
      <c r="D2425" s="256"/>
      <c r="E2425" s="195"/>
      <c r="F2425" s="157"/>
      <c r="G2425" s="157"/>
      <c r="H2425" s="157"/>
      <c r="I2425" s="157"/>
      <c r="J2425" s="157"/>
      <c r="K2425" s="157"/>
      <c r="L2425" s="157"/>
      <c r="M2425" s="523"/>
      <c r="N2425" s="157"/>
      <c r="O2425" s="157"/>
    </row>
    <row r="2426" spans="3:15" ht="15" customHeight="1">
      <c r="C2426" s="498"/>
      <c r="D2426" s="256"/>
      <c r="E2426" s="195"/>
      <c r="F2426" s="157"/>
      <c r="G2426" s="157"/>
      <c r="H2426" s="157"/>
      <c r="I2426" s="157"/>
      <c r="J2426" s="157"/>
      <c r="K2426" s="157"/>
      <c r="L2426" s="157"/>
      <c r="M2426" s="523"/>
      <c r="N2426" s="157"/>
      <c r="O2426" s="157"/>
    </row>
    <row r="2427" spans="3:15" ht="15" customHeight="1">
      <c r="C2427" s="498"/>
      <c r="D2427" s="256"/>
      <c r="E2427" s="195"/>
      <c r="F2427" s="157"/>
      <c r="G2427" s="157"/>
      <c r="H2427" s="157"/>
      <c r="I2427" s="157"/>
      <c r="J2427" s="157"/>
      <c r="K2427" s="157"/>
      <c r="L2427" s="157"/>
      <c r="M2427" s="523"/>
      <c r="N2427" s="157"/>
      <c r="O2427" s="157"/>
    </row>
    <row r="2428" spans="3:15" ht="15" customHeight="1">
      <c r="C2428" s="498"/>
      <c r="D2428" s="256"/>
      <c r="E2428" s="195"/>
      <c r="F2428" s="157"/>
      <c r="G2428" s="157"/>
      <c r="H2428" s="157"/>
      <c r="I2428" s="157"/>
      <c r="J2428" s="157"/>
      <c r="K2428" s="157"/>
      <c r="L2428" s="157"/>
      <c r="M2428" s="523"/>
      <c r="N2428" s="157"/>
      <c r="O2428" s="157"/>
    </row>
    <row r="2429" spans="3:15" ht="15" customHeight="1">
      <c r="C2429" s="498"/>
      <c r="D2429" s="256"/>
      <c r="E2429" s="195"/>
      <c r="F2429" s="157"/>
      <c r="G2429" s="157"/>
      <c r="H2429" s="157"/>
      <c r="I2429" s="157"/>
      <c r="J2429" s="157"/>
      <c r="K2429" s="157"/>
      <c r="L2429" s="157"/>
      <c r="M2429" s="523"/>
      <c r="N2429" s="157"/>
      <c r="O2429" s="157"/>
    </row>
    <row r="2430" spans="3:15" ht="15" customHeight="1">
      <c r="C2430" s="498"/>
      <c r="D2430" s="256"/>
      <c r="E2430" s="195"/>
      <c r="F2430" s="157"/>
      <c r="G2430" s="157"/>
      <c r="H2430" s="157"/>
      <c r="I2430" s="157"/>
      <c r="J2430" s="157"/>
      <c r="K2430" s="157"/>
      <c r="L2430" s="157"/>
      <c r="M2430" s="523"/>
      <c r="N2430" s="157"/>
      <c r="O2430" s="157"/>
    </row>
    <row r="2431" spans="3:15" ht="15" customHeight="1">
      <c r="C2431" s="498"/>
      <c r="D2431" s="256"/>
      <c r="E2431" s="195"/>
      <c r="F2431" s="157"/>
      <c r="G2431" s="157"/>
      <c r="H2431" s="157"/>
      <c r="I2431" s="157"/>
      <c r="J2431" s="157"/>
      <c r="K2431" s="157"/>
      <c r="L2431" s="157"/>
      <c r="M2431" s="523"/>
      <c r="N2431" s="157"/>
      <c r="O2431" s="157"/>
    </row>
    <row r="2432" spans="3:15" ht="15" customHeight="1">
      <c r="C2432" s="498"/>
      <c r="D2432" s="256"/>
      <c r="E2432" s="195"/>
      <c r="F2432" s="157"/>
      <c r="G2432" s="157"/>
      <c r="H2432" s="157"/>
      <c r="I2432" s="157"/>
      <c r="J2432" s="157"/>
      <c r="K2432" s="157"/>
      <c r="L2432" s="157"/>
      <c r="M2432" s="523"/>
      <c r="N2432" s="157"/>
      <c r="O2432" s="157"/>
    </row>
    <row r="2433" spans="3:15" ht="15" customHeight="1">
      <c r="C2433" s="498"/>
      <c r="D2433" s="256"/>
      <c r="E2433" s="195"/>
      <c r="F2433" s="157"/>
      <c r="G2433" s="157"/>
      <c r="H2433" s="157"/>
      <c r="I2433" s="157"/>
      <c r="J2433" s="157"/>
      <c r="K2433" s="157"/>
      <c r="L2433" s="157"/>
      <c r="M2433" s="523"/>
      <c r="N2433" s="157"/>
      <c r="O2433" s="157"/>
    </row>
    <row r="2434" spans="3:15" ht="15" customHeight="1">
      <c r="C2434" s="498"/>
      <c r="D2434" s="256"/>
      <c r="E2434" s="195"/>
      <c r="F2434" s="157"/>
      <c r="G2434" s="157"/>
      <c r="H2434" s="157"/>
      <c r="I2434" s="157"/>
      <c r="J2434" s="157"/>
      <c r="K2434" s="157"/>
      <c r="L2434" s="157"/>
      <c r="M2434" s="523"/>
      <c r="N2434" s="157"/>
      <c r="O2434" s="157"/>
    </row>
    <row r="2435" spans="3:15" ht="15" customHeight="1">
      <c r="C2435" s="498"/>
      <c r="D2435" s="256"/>
      <c r="E2435" s="195"/>
      <c r="F2435" s="157"/>
      <c r="G2435" s="157"/>
      <c r="H2435" s="157"/>
      <c r="I2435" s="157"/>
      <c r="J2435" s="157"/>
      <c r="K2435" s="157"/>
      <c r="L2435" s="157"/>
      <c r="M2435" s="523"/>
      <c r="N2435" s="157"/>
      <c r="O2435" s="157"/>
    </row>
    <row r="2436" spans="3:15" ht="15" customHeight="1">
      <c r="C2436" s="498"/>
      <c r="D2436" s="256"/>
      <c r="E2436" s="195"/>
      <c r="F2436" s="157"/>
      <c r="G2436" s="157"/>
      <c r="H2436" s="157"/>
      <c r="I2436" s="157"/>
      <c r="J2436" s="157"/>
      <c r="K2436" s="157"/>
      <c r="L2436" s="157"/>
      <c r="M2436" s="523"/>
      <c r="N2436" s="157"/>
      <c r="O2436" s="157"/>
    </row>
    <row r="2437" spans="3:15" ht="15" customHeight="1">
      <c r="C2437" s="498"/>
      <c r="D2437" s="256"/>
      <c r="E2437" s="195"/>
      <c r="F2437" s="157"/>
      <c r="G2437" s="157"/>
      <c r="H2437" s="157"/>
      <c r="I2437" s="157"/>
      <c r="J2437" s="157"/>
      <c r="K2437" s="157"/>
      <c r="L2437" s="157"/>
      <c r="M2437" s="523"/>
      <c r="N2437" s="157"/>
      <c r="O2437" s="157"/>
    </row>
    <row r="2438" spans="3:15" ht="15" customHeight="1">
      <c r="C2438" s="498"/>
      <c r="D2438" s="256"/>
      <c r="E2438" s="195"/>
      <c r="F2438" s="157"/>
      <c r="G2438" s="157"/>
      <c r="H2438" s="157"/>
      <c r="I2438" s="157"/>
      <c r="J2438" s="157"/>
      <c r="K2438" s="157"/>
      <c r="L2438" s="157"/>
      <c r="M2438" s="523"/>
      <c r="N2438" s="157"/>
      <c r="O2438" s="157"/>
    </row>
    <row r="2439" spans="3:15" ht="15" customHeight="1">
      <c r="C2439" s="498"/>
      <c r="D2439" s="256"/>
      <c r="E2439" s="195"/>
      <c r="F2439" s="157"/>
      <c r="G2439" s="157"/>
      <c r="H2439" s="157"/>
      <c r="I2439" s="157"/>
      <c r="J2439" s="157"/>
      <c r="K2439" s="157"/>
      <c r="L2439" s="157"/>
      <c r="M2439" s="523"/>
      <c r="N2439" s="157"/>
      <c r="O2439" s="157"/>
    </row>
    <row r="2440" spans="3:15" ht="15" customHeight="1">
      <c r="C2440" s="498"/>
      <c r="D2440" s="256"/>
      <c r="E2440" s="195"/>
      <c r="F2440" s="157"/>
      <c r="G2440" s="157"/>
      <c r="H2440" s="157"/>
      <c r="I2440" s="157"/>
      <c r="J2440" s="157"/>
      <c r="K2440" s="157"/>
      <c r="L2440" s="157"/>
      <c r="M2440" s="523"/>
      <c r="N2440" s="157"/>
      <c r="O2440" s="157"/>
    </row>
    <row r="2441" spans="3:15" ht="15" customHeight="1">
      <c r="C2441" s="498"/>
      <c r="D2441" s="256"/>
      <c r="E2441" s="195"/>
      <c r="F2441" s="157"/>
      <c r="G2441" s="157"/>
      <c r="H2441" s="157"/>
      <c r="I2441" s="157"/>
      <c r="J2441" s="157"/>
      <c r="K2441" s="157"/>
      <c r="L2441" s="157"/>
      <c r="M2441" s="523"/>
      <c r="N2441" s="157"/>
      <c r="O2441" s="157"/>
    </row>
    <row r="2442" spans="3:15" ht="15" customHeight="1">
      <c r="C2442" s="498"/>
      <c r="D2442" s="256"/>
      <c r="E2442" s="195"/>
      <c r="F2442" s="157"/>
      <c r="G2442" s="157"/>
      <c r="H2442" s="157"/>
      <c r="I2442" s="157"/>
      <c r="J2442" s="157"/>
      <c r="K2442" s="157"/>
      <c r="L2442" s="157"/>
      <c r="M2442" s="523"/>
      <c r="N2442" s="157"/>
      <c r="O2442" s="157"/>
    </row>
    <row r="2443" spans="3:15" ht="15" customHeight="1">
      <c r="C2443" s="498"/>
      <c r="D2443" s="256"/>
      <c r="E2443" s="195"/>
      <c r="F2443" s="157"/>
      <c r="G2443" s="157"/>
      <c r="H2443" s="157"/>
      <c r="I2443" s="157"/>
      <c r="J2443" s="157"/>
      <c r="K2443" s="157"/>
      <c r="L2443" s="157"/>
      <c r="M2443" s="523"/>
      <c r="N2443" s="157"/>
      <c r="O2443" s="157"/>
    </row>
    <row r="2444" spans="3:15" ht="15" customHeight="1">
      <c r="C2444" s="498"/>
      <c r="D2444" s="256"/>
      <c r="E2444" s="195"/>
      <c r="F2444" s="157"/>
      <c r="G2444" s="157"/>
      <c r="H2444" s="157"/>
      <c r="I2444" s="157"/>
      <c r="J2444" s="157"/>
      <c r="K2444" s="157"/>
      <c r="L2444" s="157"/>
      <c r="M2444" s="523"/>
      <c r="N2444" s="157"/>
      <c r="O2444" s="157"/>
    </row>
    <row r="2445" spans="3:15" ht="15" customHeight="1">
      <c r="C2445" s="498"/>
      <c r="D2445" s="256"/>
      <c r="E2445" s="195"/>
      <c r="F2445" s="157"/>
      <c r="G2445" s="157"/>
      <c r="H2445" s="157"/>
      <c r="I2445" s="157"/>
      <c r="J2445" s="157"/>
      <c r="K2445" s="157"/>
      <c r="L2445" s="157"/>
      <c r="M2445" s="523"/>
      <c r="N2445" s="157"/>
      <c r="O2445" s="157"/>
    </row>
    <row r="2446" spans="3:15" ht="15" customHeight="1">
      <c r="C2446" s="498"/>
      <c r="D2446" s="256"/>
      <c r="E2446" s="195"/>
      <c r="F2446" s="157"/>
      <c r="G2446" s="157"/>
      <c r="H2446" s="157"/>
      <c r="I2446" s="157"/>
      <c r="J2446" s="157"/>
      <c r="K2446" s="157"/>
      <c r="L2446" s="157"/>
      <c r="M2446" s="523"/>
      <c r="N2446" s="157"/>
      <c r="O2446" s="157"/>
    </row>
    <row r="2447" spans="3:15" ht="15" customHeight="1">
      <c r="C2447" s="498"/>
      <c r="D2447" s="256"/>
      <c r="E2447" s="195"/>
      <c r="F2447" s="157"/>
      <c r="G2447" s="157"/>
      <c r="H2447" s="157"/>
      <c r="I2447" s="157"/>
      <c r="J2447" s="157"/>
      <c r="K2447" s="157"/>
      <c r="L2447" s="157"/>
      <c r="M2447" s="523"/>
      <c r="N2447" s="157"/>
      <c r="O2447" s="157"/>
    </row>
    <row r="2448" spans="3:15" ht="15" customHeight="1">
      <c r="C2448" s="498"/>
      <c r="D2448" s="256"/>
      <c r="E2448" s="195"/>
      <c r="F2448" s="157"/>
      <c r="G2448" s="157"/>
      <c r="H2448" s="157"/>
      <c r="I2448" s="157"/>
      <c r="J2448" s="157"/>
      <c r="K2448" s="157"/>
      <c r="L2448" s="157"/>
      <c r="M2448" s="523"/>
      <c r="N2448" s="157"/>
      <c r="O2448" s="157"/>
    </row>
    <row r="2449" spans="3:15" ht="15" customHeight="1">
      <c r="C2449" s="498"/>
      <c r="D2449" s="256"/>
      <c r="E2449" s="195"/>
      <c r="F2449" s="157"/>
      <c r="G2449" s="157"/>
      <c r="H2449" s="157"/>
      <c r="I2449" s="157"/>
      <c r="J2449" s="157"/>
      <c r="K2449" s="157"/>
      <c r="L2449" s="157"/>
      <c r="M2449" s="523"/>
      <c r="N2449" s="157"/>
      <c r="O2449" s="157"/>
    </row>
    <row r="2450" spans="3:15" ht="15" customHeight="1">
      <c r="C2450" s="498"/>
      <c r="D2450" s="256"/>
      <c r="E2450" s="195"/>
      <c r="F2450" s="157"/>
      <c r="G2450" s="157"/>
      <c r="H2450" s="157"/>
      <c r="I2450" s="157"/>
      <c r="J2450" s="157"/>
      <c r="K2450" s="157"/>
      <c r="L2450" s="157"/>
      <c r="M2450" s="523"/>
      <c r="N2450" s="157"/>
      <c r="O2450" s="157"/>
    </row>
    <row r="2451" spans="3:15" ht="15" customHeight="1">
      <c r="C2451" s="498"/>
      <c r="D2451" s="256"/>
      <c r="E2451" s="195"/>
      <c r="F2451" s="157"/>
      <c r="G2451" s="157"/>
      <c r="H2451" s="157"/>
      <c r="I2451" s="157"/>
      <c r="J2451" s="157"/>
      <c r="K2451" s="157"/>
      <c r="L2451" s="157"/>
      <c r="M2451" s="523"/>
      <c r="N2451" s="157"/>
      <c r="O2451" s="157"/>
    </row>
    <row r="2452" spans="3:15" ht="15" customHeight="1">
      <c r="C2452" s="498"/>
      <c r="D2452" s="256"/>
      <c r="E2452" s="195"/>
      <c r="F2452" s="157"/>
      <c r="G2452" s="157"/>
      <c r="H2452" s="157"/>
      <c r="I2452" s="157"/>
      <c r="J2452" s="157"/>
      <c r="K2452" s="157"/>
      <c r="L2452" s="157"/>
      <c r="M2452" s="523"/>
      <c r="N2452" s="157"/>
      <c r="O2452" s="157"/>
    </row>
    <row r="2453" spans="3:15" ht="15" customHeight="1">
      <c r="C2453" s="498"/>
      <c r="D2453" s="256"/>
      <c r="E2453" s="195"/>
      <c r="F2453" s="157"/>
      <c r="G2453" s="157"/>
      <c r="H2453" s="157"/>
      <c r="I2453" s="157"/>
      <c r="J2453" s="157"/>
      <c r="K2453" s="157"/>
      <c r="L2453" s="157"/>
      <c r="M2453" s="523"/>
      <c r="N2453" s="157"/>
      <c r="O2453" s="157"/>
    </row>
    <row r="2454" spans="3:15" ht="15" customHeight="1">
      <c r="C2454" s="498"/>
      <c r="D2454" s="256"/>
      <c r="E2454" s="195"/>
      <c r="F2454" s="157"/>
      <c r="G2454" s="157"/>
      <c r="H2454" s="157"/>
      <c r="I2454" s="157"/>
      <c r="J2454" s="157"/>
      <c r="K2454" s="157"/>
      <c r="L2454" s="157"/>
      <c r="M2454" s="523"/>
      <c r="N2454" s="157"/>
      <c r="O2454" s="157"/>
    </row>
    <row r="2455" spans="3:15" ht="15" customHeight="1">
      <c r="C2455" s="498"/>
      <c r="D2455" s="256"/>
      <c r="E2455" s="195"/>
      <c r="F2455" s="157"/>
      <c r="G2455" s="157"/>
      <c r="H2455" s="157"/>
      <c r="I2455" s="157"/>
      <c r="J2455" s="157"/>
      <c r="K2455" s="157"/>
      <c r="L2455" s="157"/>
      <c r="M2455" s="523"/>
      <c r="N2455" s="157"/>
      <c r="O2455" s="157"/>
    </row>
    <row r="2456" spans="3:15" ht="15" customHeight="1">
      <c r="C2456" s="498"/>
      <c r="D2456" s="256"/>
      <c r="E2456" s="195"/>
      <c r="F2456" s="157"/>
      <c r="G2456" s="157"/>
      <c r="H2456" s="157"/>
      <c r="I2456" s="157"/>
      <c r="J2456" s="157"/>
      <c r="K2456" s="157"/>
      <c r="L2456" s="157"/>
      <c r="M2456" s="523"/>
      <c r="N2456" s="157"/>
      <c r="O2456" s="157"/>
    </row>
    <row r="2457" spans="3:15" ht="15" customHeight="1">
      <c r="C2457" s="498"/>
      <c r="D2457" s="256"/>
      <c r="E2457" s="195"/>
      <c r="F2457" s="157"/>
      <c r="G2457" s="157"/>
      <c r="H2457" s="157"/>
      <c r="I2457" s="157"/>
      <c r="J2457" s="157"/>
      <c r="K2457" s="157"/>
      <c r="L2457" s="157"/>
      <c r="M2457" s="523"/>
      <c r="N2457" s="157"/>
      <c r="O2457" s="157"/>
    </row>
    <row r="2458" spans="3:15" ht="15" customHeight="1">
      <c r="C2458" s="498"/>
      <c r="D2458" s="256"/>
      <c r="E2458" s="195"/>
      <c r="F2458" s="157"/>
      <c r="G2458" s="157"/>
      <c r="H2458" s="157"/>
      <c r="I2458" s="157"/>
      <c r="J2458" s="157"/>
      <c r="K2458" s="157"/>
      <c r="L2458" s="157"/>
      <c r="M2458" s="523"/>
      <c r="N2458" s="157"/>
      <c r="O2458" s="157"/>
    </row>
    <row r="2459" spans="3:15" ht="15" customHeight="1">
      <c r="C2459" s="498"/>
      <c r="D2459" s="256"/>
      <c r="E2459" s="195"/>
      <c r="F2459" s="157"/>
      <c r="G2459" s="157"/>
      <c r="H2459" s="157"/>
      <c r="I2459" s="157"/>
      <c r="J2459" s="157"/>
      <c r="K2459" s="157"/>
      <c r="L2459" s="157"/>
      <c r="M2459" s="523"/>
      <c r="N2459" s="157"/>
      <c r="O2459" s="157"/>
    </row>
    <row r="2460" spans="3:15" ht="15" customHeight="1">
      <c r="C2460" s="498"/>
      <c r="D2460" s="256"/>
      <c r="E2460" s="195"/>
      <c r="F2460" s="157"/>
      <c r="G2460" s="157"/>
      <c r="H2460" s="157"/>
      <c r="I2460" s="157"/>
      <c r="J2460" s="157"/>
      <c r="K2460" s="157"/>
      <c r="L2460" s="157"/>
      <c r="M2460" s="523"/>
      <c r="N2460" s="157"/>
      <c r="O2460" s="157"/>
    </row>
    <row r="2461" spans="3:15" ht="15" customHeight="1">
      <c r="C2461" s="498"/>
      <c r="D2461" s="256"/>
      <c r="E2461" s="195"/>
      <c r="F2461" s="157"/>
      <c r="G2461" s="157"/>
      <c r="H2461" s="157"/>
      <c r="I2461" s="157"/>
      <c r="J2461" s="157"/>
      <c r="K2461" s="157"/>
      <c r="L2461" s="157"/>
      <c r="M2461" s="523"/>
      <c r="N2461" s="157"/>
      <c r="O2461" s="157"/>
    </row>
    <row r="2462" spans="3:15" ht="15" customHeight="1">
      <c r="C2462" s="498"/>
      <c r="D2462" s="256"/>
      <c r="E2462" s="195"/>
      <c r="F2462" s="157"/>
      <c r="G2462" s="157"/>
      <c r="H2462" s="157"/>
      <c r="I2462" s="157"/>
      <c r="J2462" s="157"/>
      <c r="K2462" s="157"/>
      <c r="L2462" s="157"/>
      <c r="M2462" s="523"/>
      <c r="N2462" s="157"/>
      <c r="O2462" s="157"/>
    </row>
    <row r="2463" spans="3:15" ht="15" customHeight="1">
      <c r="C2463" s="498"/>
      <c r="D2463" s="256"/>
      <c r="E2463" s="195"/>
      <c r="F2463" s="157"/>
      <c r="G2463" s="157"/>
      <c r="H2463" s="157"/>
      <c r="I2463" s="157"/>
      <c r="J2463" s="157"/>
      <c r="K2463" s="157"/>
      <c r="L2463" s="157"/>
      <c r="M2463" s="523"/>
      <c r="N2463" s="157"/>
      <c r="O2463" s="157"/>
    </row>
    <row r="2464" spans="3:15" ht="15" customHeight="1">
      <c r="C2464" s="498"/>
      <c r="D2464" s="256"/>
      <c r="E2464" s="195"/>
      <c r="F2464" s="157"/>
      <c r="G2464" s="157"/>
      <c r="H2464" s="157"/>
      <c r="I2464" s="157"/>
      <c r="J2464" s="157"/>
      <c r="K2464" s="157"/>
      <c r="L2464" s="157"/>
      <c r="M2464" s="523"/>
      <c r="N2464" s="157"/>
      <c r="O2464" s="157"/>
    </row>
    <row r="2465" spans="3:15" ht="15" customHeight="1">
      <c r="C2465" s="498"/>
      <c r="D2465" s="256"/>
      <c r="E2465" s="195"/>
      <c r="F2465" s="157"/>
      <c r="G2465" s="157"/>
      <c r="H2465" s="157"/>
      <c r="I2465" s="157"/>
      <c r="J2465" s="157"/>
      <c r="K2465" s="157"/>
      <c r="L2465" s="157"/>
      <c r="M2465" s="523"/>
      <c r="N2465" s="157"/>
      <c r="O2465" s="157"/>
    </row>
    <row r="2466" spans="3:15" ht="15" customHeight="1">
      <c r="C2466" s="498"/>
      <c r="D2466" s="256"/>
      <c r="E2466" s="195"/>
      <c r="F2466" s="157"/>
      <c r="G2466" s="157"/>
      <c r="H2466" s="157"/>
      <c r="I2466" s="157"/>
      <c r="J2466" s="157"/>
      <c r="K2466" s="157"/>
      <c r="L2466" s="157"/>
      <c r="M2466" s="523"/>
      <c r="N2466" s="157"/>
      <c r="O2466" s="157"/>
    </row>
    <row r="2467" spans="3:15" ht="15" customHeight="1">
      <c r="C2467" s="498"/>
      <c r="D2467" s="256"/>
      <c r="E2467" s="195"/>
      <c r="F2467" s="157"/>
      <c r="G2467" s="157"/>
      <c r="H2467" s="157"/>
      <c r="I2467" s="157"/>
      <c r="J2467" s="157"/>
      <c r="K2467" s="157"/>
      <c r="L2467" s="157"/>
      <c r="M2467" s="523"/>
      <c r="N2467" s="157"/>
      <c r="O2467" s="157"/>
    </row>
    <row r="2468" spans="3:15" ht="15" customHeight="1">
      <c r="C2468" s="498"/>
      <c r="D2468" s="256"/>
      <c r="E2468" s="195"/>
      <c r="F2468" s="157"/>
      <c r="G2468" s="157"/>
      <c r="H2468" s="157"/>
      <c r="I2468" s="157"/>
      <c r="J2468" s="157"/>
      <c r="K2468" s="157"/>
      <c r="L2468" s="157"/>
      <c r="M2468" s="523"/>
      <c r="N2468" s="157"/>
      <c r="O2468" s="157"/>
    </row>
    <row r="2469" spans="3:15" ht="15" customHeight="1">
      <c r="C2469" s="498"/>
      <c r="D2469" s="256"/>
      <c r="E2469" s="195"/>
      <c r="F2469" s="157"/>
      <c r="G2469" s="157"/>
      <c r="H2469" s="157"/>
      <c r="I2469" s="157"/>
      <c r="J2469" s="157"/>
      <c r="K2469" s="157"/>
      <c r="L2469" s="157"/>
      <c r="M2469" s="523"/>
      <c r="N2469" s="157"/>
      <c r="O2469" s="157"/>
    </row>
    <row r="2470" spans="3:15" ht="15" customHeight="1">
      <c r="C2470" s="498"/>
      <c r="D2470" s="256"/>
      <c r="E2470" s="195"/>
      <c r="F2470" s="157"/>
      <c r="G2470" s="157"/>
      <c r="H2470" s="157"/>
      <c r="I2470" s="157"/>
      <c r="J2470" s="157"/>
      <c r="K2470" s="157"/>
      <c r="L2470" s="157"/>
      <c r="M2470" s="523"/>
      <c r="N2470" s="157"/>
      <c r="O2470" s="157"/>
    </row>
    <row r="2471" spans="3:15" ht="15" customHeight="1">
      <c r="C2471" s="498"/>
      <c r="D2471" s="256"/>
      <c r="E2471" s="195"/>
      <c r="F2471" s="157"/>
      <c r="G2471" s="157"/>
      <c r="H2471" s="157"/>
      <c r="I2471" s="157"/>
      <c r="J2471" s="157"/>
      <c r="K2471" s="157"/>
      <c r="L2471" s="157"/>
      <c r="M2471" s="523"/>
      <c r="N2471" s="157"/>
      <c r="O2471" s="157"/>
    </row>
    <row r="2472" spans="3:15" ht="15" customHeight="1">
      <c r="C2472" s="498"/>
      <c r="D2472" s="256"/>
      <c r="E2472" s="195"/>
      <c r="F2472" s="157"/>
      <c r="G2472" s="157"/>
      <c r="H2472" s="157"/>
      <c r="I2472" s="157"/>
      <c r="J2472" s="157"/>
      <c r="K2472" s="157"/>
      <c r="L2472" s="157"/>
      <c r="M2472" s="523"/>
      <c r="N2472" s="157"/>
      <c r="O2472" s="157"/>
    </row>
    <row r="2473" spans="3:15" ht="15" customHeight="1">
      <c r="C2473" s="498"/>
      <c r="D2473" s="256"/>
      <c r="E2473" s="195"/>
      <c r="F2473" s="157"/>
      <c r="G2473" s="157"/>
      <c r="H2473" s="157"/>
      <c r="I2473" s="157"/>
      <c r="J2473" s="157"/>
      <c r="K2473" s="157"/>
      <c r="L2473" s="157"/>
      <c r="M2473" s="523"/>
      <c r="N2473" s="157"/>
      <c r="O2473" s="157"/>
    </row>
    <row r="2474" spans="3:15" ht="15" customHeight="1">
      <c r="C2474" s="498"/>
      <c r="D2474" s="256"/>
      <c r="E2474" s="195"/>
      <c r="F2474" s="157"/>
      <c r="G2474" s="157"/>
      <c r="H2474" s="157"/>
      <c r="I2474" s="157"/>
      <c r="J2474" s="157"/>
      <c r="K2474" s="157"/>
      <c r="L2474" s="157"/>
      <c r="M2474" s="523"/>
      <c r="N2474" s="157"/>
      <c r="O2474" s="157"/>
    </row>
    <row r="2475" spans="3:15" ht="15" customHeight="1">
      <c r="C2475" s="498"/>
      <c r="D2475" s="256"/>
      <c r="E2475" s="195"/>
      <c r="F2475" s="157"/>
      <c r="G2475" s="157"/>
      <c r="H2475" s="157"/>
      <c r="I2475" s="157"/>
      <c r="J2475" s="157"/>
      <c r="K2475" s="157"/>
      <c r="L2475" s="157"/>
      <c r="M2475" s="523"/>
      <c r="N2475" s="157"/>
      <c r="O2475" s="157"/>
    </row>
    <row r="2476" spans="3:15" ht="15" customHeight="1">
      <c r="C2476" s="498"/>
      <c r="D2476" s="256"/>
      <c r="E2476" s="195"/>
      <c r="F2476" s="157"/>
      <c r="G2476" s="157"/>
      <c r="H2476" s="157"/>
      <c r="I2476" s="157"/>
      <c r="J2476" s="157"/>
      <c r="K2476" s="157"/>
      <c r="L2476" s="157"/>
      <c r="M2476" s="523"/>
      <c r="N2476" s="157"/>
      <c r="O2476" s="157"/>
    </row>
    <row r="2477" spans="3:15" ht="15" customHeight="1">
      <c r="C2477" s="498"/>
      <c r="D2477" s="256"/>
      <c r="E2477" s="195"/>
      <c r="F2477" s="157"/>
      <c r="G2477" s="157"/>
      <c r="H2477" s="157"/>
      <c r="I2477" s="157"/>
      <c r="J2477" s="157"/>
      <c r="K2477" s="157"/>
      <c r="L2477" s="157"/>
      <c r="M2477" s="523"/>
      <c r="N2477" s="157"/>
      <c r="O2477" s="157"/>
    </row>
    <row r="2478" spans="3:15" ht="15" customHeight="1">
      <c r="C2478" s="498"/>
      <c r="D2478" s="256"/>
      <c r="E2478" s="195"/>
      <c r="F2478" s="157"/>
      <c r="G2478" s="157"/>
      <c r="H2478" s="157"/>
      <c r="I2478" s="157"/>
      <c r="J2478" s="157"/>
      <c r="K2478" s="157"/>
      <c r="L2478" s="157"/>
      <c r="M2478" s="523"/>
      <c r="N2478" s="157"/>
      <c r="O2478" s="157"/>
    </row>
    <row r="2479" spans="3:15" ht="15" customHeight="1">
      <c r="C2479" s="498"/>
      <c r="D2479" s="256"/>
      <c r="E2479" s="195"/>
      <c r="F2479" s="157"/>
      <c r="G2479" s="157"/>
      <c r="H2479" s="157"/>
      <c r="I2479" s="157"/>
      <c r="J2479" s="157"/>
      <c r="K2479" s="157"/>
      <c r="L2479" s="157"/>
      <c r="M2479" s="523"/>
      <c r="N2479" s="157"/>
      <c r="O2479" s="157"/>
    </row>
    <row r="2480" spans="3:15" ht="15" customHeight="1">
      <c r="C2480" s="498"/>
      <c r="D2480" s="256"/>
      <c r="E2480" s="195"/>
      <c r="F2480" s="157"/>
      <c r="G2480" s="157"/>
      <c r="H2480" s="157"/>
      <c r="I2480" s="157"/>
      <c r="J2480" s="157"/>
      <c r="K2480" s="157"/>
      <c r="L2480" s="157"/>
      <c r="M2480" s="523"/>
      <c r="N2480" s="157"/>
      <c r="O2480" s="157"/>
    </row>
    <row r="2481" spans="3:15" ht="15" customHeight="1">
      <c r="C2481" s="498"/>
      <c r="D2481" s="256"/>
      <c r="E2481" s="195"/>
      <c r="F2481" s="157"/>
      <c r="G2481" s="157"/>
      <c r="H2481" s="157"/>
      <c r="I2481" s="157"/>
      <c r="J2481" s="157"/>
      <c r="K2481" s="157"/>
      <c r="L2481" s="157"/>
      <c r="M2481" s="523"/>
      <c r="N2481" s="157"/>
      <c r="O2481" s="157"/>
    </row>
    <row r="2482" spans="3:15" ht="15" customHeight="1">
      <c r="C2482" s="498"/>
      <c r="D2482" s="256"/>
      <c r="E2482" s="195"/>
      <c r="F2482" s="157"/>
      <c r="G2482" s="157"/>
      <c r="H2482" s="157"/>
      <c r="I2482" s="157"/>
      <c r="J2482" s="157"/>
      <c r="K2482" s="157"/>
      <c r="L2482" s="157"/>
      <c r="M2482" s="523"/>
      <c r="N2482" s="157"/>
      <c r="O2482" s="157"/>
    </row>
    <row r="2483" spans="3:15" ht="15" customHeight="1">
      <c r="C2483" s="498"/>
      <c r="D2483" s="256"/>
      <c r="E2483" s="195"/>
      <c r="F2483" s="157"/>
      <c r="G2483" s="157"/>
      <c r="H2483" s="157"/>
      <c r="I2483" s="157"/>
      <c r="J2483" s="157"/>
      <c r="K2483" s="157"/>
      <c r="L2483" s="157"/>
      <c r="M2483" s="523"/>
      <c r="N2483" s="157"/>
      <c r="O2483" s="157"/>
    </row>
    <row r="2484" spans="3:15" ht="15" customHeight="1">
      <c r="C2484" s="498"/>
      <c r="D2484" s="256"/>
      <c r="E2484" s="195"/>
      <c r="F2484" s="157"/>
      <c r="G2484" s="157"/>
      <c r="H2484" s="157"/>
      <c r="I2484" s="157"/>
      <c r="J2484" s="157"/>
      <c r="K2484" s="157"/>
      <c r="L2484" s="157"/>
      <c r="M2484" s="523"/>
      <c r="N2484" s="157"/>
      <c r="O2484" s="157"/>
    </row>
    <row r="2485" spans="3:15" ht="15" customHeight="1">
      <c r="C2485" s="498"/>
      <c r="D2485" s="256"/>
      <c r="E2485" s="195"/>
      <c r="F2485" s="157"/>
      <c r="G2485" s="157"/>
      <c r="H2485" s="157"/>
      <c r="I2485" s="157"/>
      <c r="J2485" s="157"/>
      <c r="K2485" s="157"/>
      <c r="L2485" s="157"/>
      <c r="M2485" s="523"/>
      <c r="N2485" s="157"/>
      <c r="O2485" s="157"/>
    </row>
    <row r="2486" spans="3:15" ht="15" customHeight="1">
      <c r="C2486" s="498"/>
      <c r="D2486" s="256"/>
      <c r="E2486" s="195"/>
      <c r="F2486" s="157"/>
      <c r="G2486" s="157"/>
      <c r="H2486" s="157"/>
      <c r="I2486" s="157"/>
      <c r="J2486" s="157"/>
      <c r="K2486" s="157"/>
      <c r="L2486" s="157"/>
      <c r="M2486" s="523"/>
      <c r="N2486" s="157"/>
      <c r="O2486" s="157"/>
    </row>
    <row r="2487" spans="3:15" ht="15" customHeight="1">
      <c r="C2487" s="498"/>
      <c r="D2487" s="256"/>
      <c r="E2487" s="195"/>
      <c r="F2487" s="157"/>
      <c r="G2487" s="157"/>
      <c r="H2487" s="157"/>
      <c r="I2487" s="157"/>
      <c r="J2487" s="157"/>
      <c r="K2487" s="157"/>
      <c r="L2487" s="157"/>
      <c r="M2487" s="523"/>
      <c r="N2487" s="157"/>
      <c r="O2487" s="157"/>
    </row>
    <row r="2488" spans="3:15" ht="15" customHeight="1">
      <c r="C2488" s="498"/>
      <c r="D2488" s="256"/>
      <c r="E2488" s="195"/>
      <c r="F2488" s="157"/>
      <c r="G2488" s="157"/>
      <c r="H2488" s="157"/>
      <c r="I2488" s="157"/>
      <c r="J2488" s="157"/>
      <c r="K2488" s="157"/>
      <c r="L2488" s="157"/>
      <c r="M2488" s="523"/>
      <c r="N2488" s="157"/>
      <c r="O2488" s="157"/>
    </row>
    <row r="2489" spans="3:15" ht="15" customHeight="1">
      <c r="C2489" s="498"/>
      <c r="D2489" s="256"/>
      <c r="E2489" s="195"/>
      <c r="F2489" s="157"/>
      <c r="G2489" s="157"/>
      <c r="H2489" s="157"/>
      <c r="I2489" s="157"/>
      <c r="J2489" s="157"/>
      <c r="K2489" s="157"/>
      <c r="L2489" s="157"/>
      <c r="M2489" s="523"/>
      <c r="N2489" s="157"/>
      <c r="O2489" s="157"/>
    </row>
    <row r="2490" spans="3:15" ht="15" customHeight="1">
      <c r="C2490" s="498"/>
      <c r="D2490" s="256"/>
      <c r="E2490" s="195"/>
      <c r="F2490" s="157"/>
      <c r="G2490" s="157"/>
      <c r="H2490" s="157"/>
      <c r="I2490" s="157"/>
      <c r="J2490" s="157"/>
      <c r="K2490" s="157"/>
      <c r="L2490" s="157"/>
      <c r="M2490" s="523"/>
      <c r="N2490" s="157"/>
      <c r="O2490" s="157"/>
    </row>
    <row r="2491" spans="3:15" ht="15" customHeight="1">
      <c r="C2491" s="498"/>
      <c r="D2491" s="256"/>
      <c r="E2491" s="195"/>
      <c r="F2491" s="157"/>
      <c r="G2491" s="157"/>
      <c r="H2491" s="157"/>
      <c r="I2491" s="157"/>
      <c r="J2491" s="157"/>
      <c r="K2491" s="157"/>
      <c r="L2491" s="157"/>
      <c r="M2491" s="523"/>
      <c r="N2491" s="157"/>
      <c r="O2491" s="157"/>
    </row>
    <row r="2492" spans="3:15" ht="15" customHeight="1">
      <c r="C2492" s="498"/>
      <c r="D2492" s="256"/>
      <c r="E2492" s="195"/>
      <c r="F2492" s="157"/>
      <c r="G2492" s="157"/>
      <c r="H2492" s="157"/>
      <c r="I2492" s="157"/>
      <c r="J2492" s="157"/>
      <c r="K2492" s="157"/>
      <c r="L2492" s="157"/>
      <c r="M2492" s="523"/>
      <c r="N2492" s="157"/>
      <c r="O2492" s="157"/>
    </row>
    <row r="2493" spans="3:15" ht="15" customHeight="1">
      <c r="C2493" s="498"/>
      <c r="D2493" s="256"/>
      <c r="E2493" s="195"/>
      <c r="F2493" s="157"/>
      <c r="G2493" s="157"/>
      <c r="H2493" s="157"/>
      <c r="I2493" s="157"/>
      <c r="J2493" s="157"/>
      <c r="K2493" s="157"/>
      <c r="L2493" s="157"/>
      <c r="M2493" s="523"/>
      <c r="N2493" s="157"/>
      <c r="O2493" s="157"/>
    </row>
    <row r="2494" spans="3:15" ht="15" customHeight="1">
      <c r="C2494" s="498"/>
      <c r="D2494" s="256"/>
      <c r="E2494" s="195"/>
      <c r="F2494" s="157"/>
      <c r="G2494" s="157"/>
      <c r="H2494" s="157"/>
      <c r="I2494" s="157"/>
      <c r="J2494" s="157"/>
      <c r="K2494" s="157"/>
      <c r="L2494" s="157"/>
      <c r="M2494" s="523"/>
      <c r="N2494" s="157"/>
      <c r="O2494" s="157"/>
    </row>
    <row r="2495" spans="3:15" ht="15" customHeight="1">
      <c r="C2495" s="498"/>
      <c r="D2495" s="256"/>
      <c r="E2495" s="195"/>
      <c r="F2495" s="157"/>
      <c r="G2495" s="157"/>
      <c r="H2495" s="157"/>
      <c r="I2495" s="157"/>
      <c r="J2495" s="157"/>
      <c r="K2495" s="157"/>
      <c r="L2495" s="157"/>
      <c r="M2495" s="523"/>
      <c r="N2495" s="157"/>
      <c r="O2495" s="157"/>
    </row>
    <row r="2496" spans="3:15" ht="15" customHeight="1">
      <c r="C2496" s="498"/>
      <c r="D2496" s="256"/>
      <c r="E2496" s="195"/>
      <c r="F2496" s="157"/>
      <c r="G2496" s="157"/>
      <c r="H2496" s="157"/>
      <c r="I2496" s="157"/>
      <c r="J2496" s="157"/>
      <c r="K2496" s="157"/>
      <c r="L2496" s="157"/>
      <c r="M2496" s="523"/>
      <c r="N2496" s="157"/>
      <c r="O2496" s="157"/>
    </row>
    <row r="2497" spans="3:15" ht="15" customHeight="1">
      <c r="C2497" s="498"/>
      <c r="D2497" s="256"/>
      <c r="E2497" s="195"/>
      <c r="F2497" s="157"/>
      <c r="G2497" s="157"/>
      <c r="H2497" s="157"/>
      <c r="I2497" s="157"/>
      <c r="J2497" s="157"/>
      <c r="K2497" s="157"/>
      <c r="L2497" s="157"/>
      <c r="M2497" s="523"/>
      <c r="N2497" s="157"/>
      <c r="O2497" s="157"/>
    </row>
    <row r="2498" spans="3:15" ht="15" customHeight="1">
      <c r="C2498" s="498"/>
      <c r="D2498" s="256"/>
      <c r="E2498" s="195"/>
      <c r="F2498" s="157"/>
      <c r="G2498" s="157"/>
      <c r="H2498" s="157"/>
      <c r="I2498" s="157"/>
      <c r="J2498" s="157"/>
      <c r="K2498" s="157"/>
      <c r="L2498" s="157"/>
      <c r="M2498" s="523"/>
      <c r="N2498" s="157"/>
      <c r="O2498" s="157"/>
    </row>
    <row r="2499" spans="3:15" ht="15" customHeight="1">
      <c r="C2499" s="498"/>
      <c r="D2499" s="256"/>
      <c r="E2499" s="195"/>
      <c r="F2499" s="157"/>
      <c r="G2499" s="157"/>
      <c r="H2499" s="157"/>
      <c r="I2499" s="157"/>
      <c r="J2499" s="157"/>
      <c r="K2499" s="157"/>
      <c r="L2499" s="157"/>
      <c r="M2499" s="523"/>
      <c r="N2499" s="157"/>
      <c r="O2499" s="157"/>
    </row>
    <row r="2500" spans="3:15" ht="15" customHeight="1">
      <c r="C2500" s="498"/>
      <c r="D2500" s="256"/>
      <c r="E2500" s="195"/>
      <c r="F2500" s="157"/>
      <c r="G2500" s="157"/>
      <c r="H2500" s="157"/>
      <c r="I2500" s="157"/>
      <c r="J2500" s="157"/>
      <c r="K2500" s="157"/>
      <c r="L2500" s="157"/>
      <c r="M2500" s="523"/>
      <c r="N2500" s="157"/>
      <c r="O2500" s="157"/>
    </row>
    <row r="2501" spans="3:15" ht="15" customHeight="1">
      <c r="C2501" s="498"/>
      <c r="D2501" s="256"/>
      <c r="E2501" s="195"/>
      <c r="F2501" s="157"/>
      <c r="G2501" s="157"/>
      <c r="H2501" s="157"/>
      <c r="I2501" s="157"/>
      <c r="J2501" s="157"/>
      <c r="K2501" s="157"/>
      <c r="L2501" s="157"/>
      <c r="M2501" s="523"/>
      <c r="N2501" s="157"/>
      <c r="O2501" s="157"/>
    </row>
    <row r="2502" spans="3:15" ht="15" customHeight="1">
      <c r="C2502" s="498"/>
      <c r="D2502" s="256"/>
      <c r="E2502" s="195"/>
      <c r="F2502" s="157"/>
      <c r="G2502" s="157"/>
      <c r="H2502" s="157"/>
      <c r="I2502" s="157"/>
      <c r="J2502" s="157"/>
      <c r="K2502" s="157"/>
      <c r="L2502" s="157"/>
      <c r="M2502" s="523"/>
      <c r="N2502" s="157"/>
      <c r="O2502" s="157"/>
    </row>
    <row r="2503" spans="3:15" ht="15" customHeight="1">
      <c r="C2503" s="498"/>
      <c r="D2503" s="256"/>
      <c r="E2503" s="195"/>
      <c r="F2503" s="157"/>
      <c r="G2503" s="157"/>
      <c r="H2503" s="157"/>
      <c r="I2503" s="157"/>
      <c r="J2503" s="157"/>
      <c r="K2503" s="157"/>
      <c r="L2503" s="157"/>
      <c r="M2503" s="523"/>
      <c r="N2503" s="157"/>
      <c r="O2503" s="157"/>
    </row>
    <row r="2504" spans="3:15" ht="15" customHeight="1">
      <c r="C2504" s="498"/>
      <c r="D2504" s="256"/>
      <c r="E2504" s="195"/>
      <c r="F2504" s="157"/>
      <c r="G2504" s="157"/>
      <c r="H2504" s="157"/>
      <c r="I2504" s="157"/>
      <c r="J2504" s="157"/>
      <c r="K2504" s="157"/>
      <c r="L2504" s="157"/>
      <c r="M2504" s="523"/>
      <c r="N2504" s="157"/>
      <c r="O2504" s="157"/>
    </row>
    <row r="2505" spans="3:15" ht="15" customHeight="1">
      <c r="C2505" s="498"/>
      <c r="D2505" s="256"/>
      <c r="E2505" s="195"/>
      <c r="F2505" s="157"/>
      <c r="G2505" s="157"/>
      <c r="H2505" s="157"/>
      <c r="I2505" s="157"/>
      <c r="J2505" s="157"/>
      <c r="K2505" s="157"/>
      <c r="L2505" s="157"/>
      <c r="M2505" s="523"/>
      <c r="N2505" s="157"/>
      <c r="O2505" s="157"/>
    </row>
    <row r="2506" spans="3:15" ht="15" customHeight="1">
      <c r="C2506" s="498"/>
      <c r="D2506" s="256"/>
      <c r="E2506" s="195"/>
      <c r="F2506" s="157"/>
      <c r="G2506" s="157"/>
      <c r="H2506" s="157"/>
      <c r="I2506" s="157"/>
      <c r="J2506" s="157"/>
      <c r="K2506" s="157"/>
      <c r="L2506" s="157"/>
      <c r="M2506" s="523"/>
      <c r="N2506" s="157"/>
      <c r="O2506" s="157"/>
    </row>
    <row r="2507" spans="3:15" ht="15" customHeight="1">
      <c r="C2507" s="498"/>
      <c r="D2507" s="256"/>
      <c r="E2507" s="195"/>
      <c r="F2507" s="157"/>
      <c r="G2507" s="157"/>
      <c r="H2507" s="157"/>
      <c r="I2507" s="157"/>
      <c r="J2507" s="157"/>
      <c r="K2507" s="157"/>
      <c r="L2507" s="157"/>
      <c r="M2507" s="523"/>
      <c r="N2507" s="157"/>
      <c r="O2507" s="157"/>
    </row>
    <row r="2508" spans="3:15" ht="15" customHeight="1">
      <c r="C2508" s="498"/>
      <c r="D2508" s="256"/>
      <c r="E2508" s="195"/>
      <c r="F2508" s="157"/>
      <c r="G2508" s="157"/>
      <c r="H2508" s="157"/>
      <c r="I2508" s="157"/>
      <c r="J2508" s="157"/>
      <c r="K2508" s="157"/>
      <c r="L2508" s="157"/>
      <c r="M2508" s="523"/>
      <c r="N2508" s="157"/>
      <c r="O2508" s="157"/>
    </row>
    <row r="2509" spans="3:15" ht="15" customHeight="1">
      <c r="C2509" s="498"/>
      <c r="D2509" s="256"/>
      <c r="E2509" s="195"/>
      <c r="F2509" s="157"/>
      <c r="G2509" s="157"/>
      <c r="H2509" s="157"/>
      <c r="I2509" s="157"/>
      <c r="J2509" s="157"/>
      <c r="K2509" s="157"/>
      <c r="L2509" s="157"/>
      <c r="M2509" s="523"/>
      <c r="N2509" s="157"/>
      <c r="O2509" s="157"/>
    </row>
    <row r="2510" spans="3:15" ht="15" customHeight="1">
      <c r="C2510" s="498"/>
      <c r="D2510" s="256"/>
      <c r="E2510" s="195"/>
      <c r="F2510" s="157"/>
      <c r="G2510" s="157"/>
      <c r="H2510" s="157"/>
      <c r="I2510" s="157"/>
      <c r="J2510" s="157"/>
      <c r="K2510" s="157"/>
      <c r="L2510" s="157"/>
      <c r="M2510" s="523"/>
      <c r="N2510" s="157"/>
      <c r="O2510" s="157"/>
    </row>
    <row r="2511" spans="3:15" ht="15" customHeight="1">
      <c r="C2511" s="498"/>
      <c r="D2511" s="256"/>
      <c r="E2511" s="195"/>
      <c r="F2511" s="157"/>
      <c r="G2511" s="157"/>
      <c r="H2511" s="157"/>
      <c r="I2511" s="157"/>
      <c r="J2511" s="157"/>
      <c r="K2511" s="157"/>
      <c r="L2511" s="157"/>
      <c r="M2511" s="523"/>
      <c r="N2511" s="157"/>
      <c r="O2511" s="157"/>
    </row>
    <row r="2512" spans="3:15" ht="15" customHeight="1">
      <c r="C2512" s="498"/>
      <c r="D2512" s="256"/>
      <c r="E2512" s="195"/>
      <c r="F2512" s="157"/>
      <c r="G2512" s="157"/>
      <c r="H2512" s="157"/>
      <c r="I2512" s="157"/>
      <c r="J2512" s="157"/>
      <c r="K2512" s="157"/>
      <c r="L2512" s="157"/>
      <c r="M2512" s="523"/>
      <c r="N2512" s="157"/>
      <c r="O2512" s="157"/>
    </row>
    <row r="2513" spans="3:15" ht="15" customHeight="1">
      <c r="C2513" s="498"/>
      <c r="D2513" s="256"/>
      <c r="E2513" s="195"/>
      <c r="F2513" s="157"/>
      <c r="G2513" s="157"/>
      <c r="H2513" s="157"/>
      <c r="I2513" s="157"/>
      <c r="J2513" s="157"/>
      <c r="K2513" s="157"/>
      <c r="L2513" s="157"/>
      <c r="M2513" s="523"/>
      <c r="N2513" s="157"/>
      <c r="O2513" s="157"/>
    </row>
    <row r="2514" spans="3:15" ht="15" customHeight="1">
      <c r="C2514" s="498"/>
      <c r="D2514" s="256"/>
      <c r="E2514" s="195"/>
      <c r="F2514" s="157"/>
      <c r="G2514" s="157"/>
      <c r="H2514" s="157"/>
      <c r="I2514" s="157"/>
      <c r="J2514" s="157"/>
      <c r="K2514" s="157"/>
      <c r="L2514" s="157"/>
      <c r="M2514" s="523"/>
      <c r="N2514" s="157"/>
      <c r="O2514" s="157"/>
    </row>
    <row r="2515" spans="3:15" ht="15" customHeight="1">
      <c r="C2515" s="498"/>
      <c r="D2515" s="256"/>
      <c r="E2515" s="195"/>
      <c r="F2515" s="157"/>
      <c r="G2515" s="157"/>
      <c r="H2515" s="157"/>
      <c r="I2515" s="157"/>
      <c r="J2515" s="157"/>
      <c r="K2515" s="157"/>
      <c r="L2515" s="157"/>
      <c r="M2515" s="523"/>
      <c r="N2515" s="157"/>
      <c r="O2515" s="157"/>
    </row>
    <row r="2516" spans="3:15" ht="15" customHeight="1">
      <c r="C2516" s="498"/>
      <c r="D2516" s="256"/>
      <c r="E2516" s="195"/>
      <c r="F2516" s="157"/>
      <c r="G2516" s="157"/>
      <c r="H2516" s="157"/>
      <c r="I2516" s="157"/>
      <c r="J2516" s="157"/>
      <c r="K2516" s="157"/>
      <c r="L2516" s="157"/>
      <c r="M2516" s="523"/>
      <c r="N2516" s="157"/>
      <c r="O2516" s="157"/>
    </row>
    <row r="2517" spans="3:15" ht="15" customHeight="1">
      <c r="C2517" s="498"/>
      <c r="D2517" s="256"/>
      <c r="E2517" s="195"/>
      <c r="F2517" s="157"/>
      <c r="G2517" s="157"/>
      <c r="H2517" s="157"/>
      <c r="I2517" s="157"/>
      <c r="J2517" s="157"/>
      <c r="K2517" s="157"/>
      <c r="L2517" s="157"/>
      <c r="M2517" s="523"/>
      <c r="N2517" s="157"/>
      <c r="O2517" s="157"/>
    </row>
    <row r="2518" spans="3:15" ht="15" customHeight="1">
      <c r="C2518" s="498"/>
      <c r="D2518" s="256"/>
      <c r="E2518" s="195"/>
      <c r="F2518" s="157"/>
      <c r="G2518" s="157"/>
      <c r="H2518" s="157"/>
      <c r="I2518" s="157"/>
      <c r="J2518" s="157"/>
      <c r="K2518" s="157"/>
      <c r="L2518" s="157"/>
      <c r="M2518" s="523"/>
      <c r="N2518" s="157"/>
      <c r="O2518" s="157"/>
    </row>
    <row r="2519" spans="3:15" ht="15" customHeight="1">
      <c r="C2519" s="498"/>
      <c r="D2519" s="256"/>
      <c r="E2519" s="195"/>
      <c r="F2519" s="157"/>
      <c r="G2519" s="157"/>
      <c r="H2519" s="157"/>
      <c r="I2519" s="157"/>
      <c r="J2519" s="157"/>
      <c r="K2519" s="157"/>
      <c r="L2519" s="157"/>
      <c r="M2519" s="523"/>
      <c r="N2519" s="157"/>
      <c r="O2519" s="157"/>
    </row>
    <row r="2520" spans="3:15" ht="15" customHeight="1">
      <c r="C2520" s="498"/>
      <c r="D2520" s="256"/>
      <c r="E2520" s="195"/>
      <c r="F2520" s="157"/>
      <c r="G2520" s="157"/>
      <c r="H2520" s="157"/>
      <c r="I2520" s="157"/>
      <c r="J2520" s="157"/>
      <c r="K2520" s="157"/>
      <c r="L2520" s="157"/>
      <c r="M2520" s="523"/>
      <c r="N2520" s="157"/>
      <c r="O2520" s="157"/>
    </row>
    <row r="2521" spans="3:15" ht="15" customHeight="1">
      <c r="C2521" s="498"/>
      <c r="D2521" s="256"/>
      <c r="E2521" s="195"/>
      <c r="F2521" s="157"/>
      <c r="G2521" s="157"/>
      <c r="H2521" s="157"/>
      <c r="I2521" s="157"/>
      <c r="J2521" s="157"/>
      <c r="K2521" s="157"/>
      <c r="L2521" s="157"/>
      <c r="M2521" s="523"/>
      <c r="N2521" s="157"/>
      <c r="O2521" s="157"/>
    </row>
    <row r="2522" spans="3:15" ht="15" customHeight="1">
      <c r="C2522" s="498"/>
      <c r="D2522" s="256"/>
      <c r="E2522" s="195"/>
      <c r="F2522" s="157"/>
      <c r="G2522" s="157"/>
      <c r="H2522" s="157"/>
      <c r="I2522" s="157"/>
      <c r="J2522" s="157"/>
      <c r="K2522" s="157"/>
      <c r="L2522" s="157"/>
      <c r="M2522" s="523"/>
      <c r="N2522" s="157"/>
      <c r="O2522" s="157"/>
    </row>
    <row r="2523" spans="3:15" ht="15" customHeight="1">
      <c r="C2523" s="498"/>
      <c r="D2523" s="256"/>
      <c r="E2523" s="195"/>
      <c r="F2523" s="157"/>
      <c r="G2523" s="157"/>
      <c r="H2523" s="157"/>
      <c r="I2523" s="157"/>
      <c r="J2523" s="157"/>
      <c r="K2523" s="157"/>
      <c r="L2523" s="157"/>
      <c r="M2523" s="523"/>
      <c r="N2523" s="157"/>
      <c r="O2523" s="157"/>
    </row>
    <row r="2524" spans="3:15" ht="15" customHeight="1">
      <c r="C2524" s="498"/>
      <c r="D2524" s="256"/>
      <c r="E2524" s="195"/>
      <c r="F2524" s="157"/>
      <c r="G2524" s="157"/>
      <c r="H2524" s="157"/>
      <c r="I2524" s="157"/>
      <c r="J2524" s="157"/>
      <c r="K2524" s="157"/>
      <c r="L2524" s="157"/>
      <c r="M2524" s="523"/>
      <c r="N2524" s="157"/>
      <c r="O2524" s="157"/>
    </row>
    <row r="2525" spans="3:15" ht="15" customHeight="1">
      <c r="C2525" s="498"/>
      <c r="D2525" s="256"/>
      <c r="E2525" s="195"/>
      <c r="F2525" s="157"/>
      <c r="G2525" s="157"/>
      <c r="H2525" s="157"/>
      <c r="I2525" s="157"/>
      <c r="J2525" s="157"/>
      <c r="K2525" s="157"/>
      <c r="L2525" s="157"/>
      <c r="M2525" s="523"/>
      <c r="N2525" s="157"/>
      <c r="O2525" s="157"/>
    </row>
    <row r="2526" spans="3:15" ht="15" customHeight="1">
      <c r="C2526" s="498"/>
      <c r="D2526" s="256"/>
      <c r="E2526" s="195"/>
      <c r="F2526" s="157"/>
      <c r="G2526" s="157"/>
      <c r="H2526" s="157"/>
      <c r="I2526" s="157"/>
      <c r="J2526" s="157"/>
      <c r="K2526" s="157"/>
      <c r="L2526" s="157"/>
      <c r="M2526" s="523"/>
      <c r="N2526" s="157"/>
      <c r="O2526" s="157"/>
    </row>
    <row r="2527" spans="3:15" ht="15" customHeight="1">
      <c r="C2527" s="498"/>
      <c r="D2527" s="256"/>
      <c r="E2527" s="195"/>
      <c r="F2527" s="157"/>
      <c r="G2527" s="157"/>
      <c r="H2527" s="157"/>
      <c r="I2527" s="157"/>
      <c r="J2527" s="157"/>
      <c r="K2527" s="157"/>
      <c r="L2527" s="157"/>
      <c r="M2527" s="523"/>
      <c r="N2527" s="157"/>
      <c r="O2527" s="157"/>
    </row>
    <row r="2528" spans="3:15" ht="15" customHeight="1">
      <c r="C2528" s="498"/>
      <c r="D2528" s="256"/>
      <c r="E2528" s="195"/>
      <c r="F2528" s="157"/>
      <c r="G2528" s="157"/>
      <c r="H2528" s="157"/>
      <c r="I2528" s="157"/>
      <c r="J2528" s="157"/>
      <c r="K2528" s="157"/>
      <c r="L2528" s="157"/>
      <c r="M2528" s="523"/>
      <c r="N2528" s="157"/>
      <c r="O2528" s="157"/>
    </row>
    <row r="2529" spans="3:15" ht="15" customHeight="1">
      <c r="C2529" s="498"/>
      <c r="D2529" s="256"/>
      <c r="E2529" s="195"/>
      <c r="F2529" s="157"/>
      <c r="G2529" s="157"/>
      <c r="H2529" s="157"/>
      <c r="I2529" s="157"/>
      <c r="J2529" s="157"/>
      <c r="K2529" s="157"/>
      <c r="L2529" s="157"/>
      <c r="M2529" s="523"/>
      <c r="N2529" s="157"/>
      <c r="O2529" s="157"/>
    </row>
    <row r="2530" spans="3:15" ht="15" customHeight="1">
      <c r="C2530" s="498"/>
      <c r="D2530" s="256"/>
      <c r="E2530" s="195"/>
      <c r="F2530" s="157"/>
      <c r="G2530" s="157"/>
      <c r="H2530" s="157"/>
      <c r="I2530" s="157"/>
      <c r="J2530" s="157"/>
      <c r="K2530" s="157"/>
      <c r="L2530" s="157"/>
      <c r="M2530" s="523"/>
      <c r="N2530" s="157"/>
      <c r="O2530" s="157"/>
    </row>
    <row r="2531" spans="3:15" ht="15" customHeight="1">
      <c r="C2531" s="498"/>
      <c r="D2531" s="256"/>
      <c r="E2531" s="195"/>
      <c r="F2531" s="157"/>
      <c r="G2531" s="157"/>
      <c r="H2531" s="157"/>
      <c r="I2531" s="157"/>
      <c r="J2531" s="157"/>
      <c r="K2531" s="157"/>
      <c r="L2531" s="157"/>
      <c r="M2531" s="523"/>
      <c r="N2531" s="157"/>
      <c r="O2531" s="157"/>
    </row>
    <row r="2532" spans="3:15" ht="15" customHeight="1">
      <c r="C2532" s="498"/>
      <c r="D2532" s="256"/>
      <c r="E2532" s="195"/>
      <c r="F2532" s="157"/>
      <c r="G2532" s="157"/>
      <c r="H2532" s="157"/>
      <c r="I2532" s="157"/>
      <c r="J2532" s="157"/>
      <c r="K2532" s="157"/>
      <c r="L2532" s="157"/>
      <c r="M2532" s="523"/>
      <c r="N2532" s="157"/>
      <c r="O2532" s="157"/>
    </row>
    <row r="2533" spans="3:15" ht="15" customHeight="1">
      <c r="C2533" s="498"/>
      <c r="D2533" s="256"/>
      <c r="E2533" s="195"/>
      <c r="F2533" s="157"/>
      <c r="G2533" s="157"/>
      <c r="H2533" s="157"/>
      <c r="I2533" s="157"/>
      <c r="J2533" s="157"/>
      <c r="K2533" s="157"/>
      <c r="L2533" s="157"/>
      <c r="M2533" s="523"/>
      <c r="N2533" s="157"/>
      <c r="O2533" s="157"/>
    </row>
    <row r="2534" spans="3:15" ht="15" customHeight="1">
      <c r="C2534" s="498"/>
      <c r="D2534" s="256"/>
      <c r="E2534" s="195"/>
      <c r="F2534" s="157"/>
      <c r="G2534" s="157"/>
      <c r="H2534" s="157"/>
      <c r="I2534" s="157"/>
      <c r="J2534" s="157"/>
      <c r="K2534" s="157"/>
      <c r="L2534" s="157"/>
      <c r="M2534" s="523"/>
      <c r="N2534" s="157"/>
      <c r="O2534" s="157"/>
    </row>
    <row r="2535" spans="3:15" ht="15" customHeight="1">
      <c r="C2535" s="498"/>
      <c r="D2535" s="256"/>
      <c r="E2535" s="195"/>
      <c r="F2535" s="157"/>
      <c r="G2535" s="157"/>
      <c r="H2535" s="157"/>
      <c r="I2535" s="157"/>
      <c r="J2535" s="157"/>
      <c r="K2535" s="157"/>
      <c r="L2535" s="157"/>
      <c r="M2535" s="523"/>
      <c r="N2535" s="157"/>
      <c r="O2535" s="157"/>
    </row>
    <row r="2536" spans="3:15" ht="15" customHeight="1">
      <c r="C2536" s="498"/>
      <c r="D2536" s="256"/>
      <c r="E2536" s="195"/>
      <c r="F2536" s="157"/>
      <c r="G2536" s="157"/>
      <c r="H2536" s="157"/>
      <c r="I2536" s="157"/>
      <c r="J2536" s="157"/>
      <c r="K2536" s="157"/>
      <c r="L2536" s="157"/>
      <c r="M2536" s="523"/>
      <c r="N2536" s="157"/>
      <c r="O2536" s="157"/>
    </row>
    <row r="2537" spans="3:15" ht="15" customHeight="1">
      <c r="C2537" s="498"/>
      <c r="D2537" s="256"/>
      <c r="E2537" s="195"/>
      <c r="F2537" s="157"/>
      <c r="G2537" s="157"/>
      <c r="H2537" s="157"/>
      <c r="I2537" s="157"/>
      <c r="J2537" s="157"/>
      <c r="K2537" s="157"/>
      <c r="L2537" s="157"/>
      <c r="M2537" s="523"/>
      <c r="N2537" s="157"/>
      <c r="O2537" s="157"/>
    </row>
    <row r="2538" spans="3:15" ht="15" customHeight="1">
      <c r="C2538" s="498"/>
      <c r="D2538" s="256"/>
      <c r="E2538" s="195"/>
      <c r="F2538" s="157"/>
      <c r="G2538" s="157"/>
      <c r="H2538" s="157"/>
      <c r="I2538" s="157"/>
      <c r="J2538" s="157"/>
      <c r="K2538" s="157"/>
      <c r="L2538" s="157"/>
      <c r="M2538" s="523"/>
      <c r="N2538" s="157"/>
      <c r="O2538" s="157"/>
    </row>
    <row r="2539" spans="3:15" ht="15" customHeight="1">
      <c r="C2539" s="498"/>
      <c r="D2539" s="256"/>
      <c r="E2539" s="195"/>
      <c r="F2539" s="157"/>
      <c r="G2539" s="157"/>
      <c r="H2539" s="157"/>
      <c r="I2539" s="157"/>
      <c r="J2539" s="157"/>
      <c r="K2539" s="157"/>
      <c r="L2539" s="157"/>
      <c r="M2539" s="523"/>
      <c r="N2539" s="157"/>
      <c r="O2539" s="157"/>
    </row>
    <row r="2540" spans="3:15" ht="15" customHeight="1">
      <c r="C2540" s="498"/>
      <c r="D2540" s="256"/>
      <c r="E2540" s="195"/>
      <c r="F2540" s="157"/>
      <c r="G2540" s="157"/>
      <c r="H2540" s="157"/>
      <c r="I2540" s="157"/>
      <c r="J2540" s="157"/>
      <c r="K2540" s="157"/>
      <c r="L2540" s="157"/>
      <c r="M2540" s="523"/>
      <c r="N2540" s="157"/>
      <c r="O2540" s="157"/>
    </row>
    <row r="2541" spans="3:15" ht="15" customHeight="1">
      <c r="C2541" s="498"/>
      <c r="D2541" s="256"/>
      <c r="E2541" s="195"/>
      <c r="F2541" s="157"/>
      <c r="G2541" s="157"/>
      <c r="H2541" s="157"/>
      <c r="I2541" s="157"/>
      <c r="J2541" s="157"/>
      <c r="K2541" s="157"/>
      <c r="L2541" s="157"/>
      <c r="M2541" s="523"/>
      <c r="N2541" s="157"/>
      <c r="O2541" s="157"/>
    </row>
    <row r="2542" spans="3:15" ht="15" customHeight="1">
      <c r="C2542" s="498"/>
      <c r="D2542" s="256"/>
      <c r="E2542" s="195"/>
      <c r="F2542" s="157"/>
      <c r="G2542" s="157"/>
      <c r="H2542" s="157"/>
      <c r="I2542" s="157"/>
      <c r="J2542" s="157"/>
      <c r="K2542" s="157"/>
      <c r="L2542" s="157"/>
      <c r="M2542" s="523"/>
      <c r="N2542" s="157"/>
      <c r="O2542" s="157"/>
    </row>
    <row r="2543" spans="3:15" ht="15" customHeight="1">
      <c r="C2543" s="498"/>
      <c r="D2543" s="256"/>
      <c r="E2543" s="195"/>
      <c r="F2543" s="157"/>
      <c r="G2543" s="157"/>
      <c r="H2543" s="157"/>
      <c r="I2543" s="157"/>
      <c r="J2543" s="157"/>
      <c r="K2543" s="157"/>
      <c r="L2543" s="157"/>
      <c r="M2543" s="523"/>
      <c r="N2543" s="157"/>
      <c r="O2543" s="157"/>
    </row>
    <row r="2544" spans="3:15" ht="15" customHeight="1">
      <c r="C2544" s="498"/>
      <c r="D2544" s="256"/>
      <c r="E2544" s="195"/>
      <c r="F2544" s="157"/>
      <c r="G2544" s="157"/>
      <c r="H2544" s="157"/>
      <c r="I2544" s="157"/>
      <c r="J2544" s="157"/>
      <c r="K2544" s="157"/>
      <c r="L2544" s="157"/>
      <c r="M2544" s="523"/>
      <c r="N2544" s="157"/>
      <c r="O2544" s="157"/>
    </row>
    <row r="2545" spans="3:15" ht="15" customHeight="1">
      <c r="C2545" s="498"/>
      <c r="D2545" s="256"/>
      <c r="E2545" s="195"/>
      <c r="F2545" s="157"/>
      <c r="G2545" s="157"/>
      <c r="H2545" s="157"/>
      <c r="I2545" s="157"/>
      <c r="J2545" s="157"/>
      <c r="K2545" s="157"/>
      <c r="L2545" s="157"/>
      <c r="M2545" s="523"/>
      <c r="N2545" s="157"/>
      <c r="O2545" s="157"/>
    </row>
    <row r="2546" spans="3:15" ht="15" customHeight="1">
      <c r="C2546" s="498"/>
      <c r="D2546" s="256"/>
      <c r="E2546" s="195"/>
      <c r="F2546" s="157"/>
      <c r="G2546" s="157"/>
      <c r="H2546" s="157"/>
      <c r="I2546" s="157"/>
      <c r="J2546" s="157"/>
      <c r="K2546" s="157"/>
      <c r="L2546" s="157"/>
      <c r="M2546" s="523"/>
      <c r="N2546" s="157"/>
      <c r="O2546" s="157"/>
    </row>
    <row r="2547" spans="3:15" ht="15" customHeight="1">
      <c r="C2547" s="498"/>
      <c r="D2547" s="256"/>
      <c r="E2547" s="195"/>
      <c r="F2547" s="157"/>
      <c r="G2547" s="157"/>
      <c r="H2547" s="157"/>
      <c r="I2547" s="157"/>
      <c r="J2547" s="157"/>
      <c r="K2547" s="157"/>
      <c r="L2547" s="157"/>
      <c r="M2547" s="523"/>
      <c r="N2547" s="157"/>
      <c r="O2547" s="157"/>
    </row>
    <row r="2548" spans="3:15" ht="15" customHeight="1">
      <c r="C2548" s="498"/>
      <c r="D2548" s="256"/>
      <c r="E2548" s="195"/>
      <c r="F2548" s="157"/>
      <c r="G2548" s="157"/>
      <c r="H2548" s="157"/>
      <c r="I2548" s="157"/>
      <c r="J2548" s="157"/>
      <c r="K2548" s="157"/>
      <c r="L2548" s="157"/>
      <c r="M2548" s="523"/>
      <c r="N2548" s="157"/>
      <c r="O2548" s="157"/>
    </row>
    <row r="2549" spans="3:15" ht="15" customHeight="1">
      <c r="C2549" s="498"/>
      <c r="D2549" s="256"/>
      <c r="E2549" s="195"/>
      <c r="F2549" s="157"/>
      <c r="G2549" s="157"/>
      <c r="H2549" s="157"/>
      <c r="I2549" s="157"/>
      <c r="J2549" s="157"/>
      <c r="K2549" s="157"/>
      <c r="L2549" s="157"/>
      <c r="M2549" s="523"/>
      <c r="N2549" s="157"/>
      <c r="O2549" s="157"/>
    </row>
    <row r="2550" spans="3:15" ht="15" customHeight="1">
      <c r="C2550" s="498"/>
      <c r="D2550" s="256"/>
      <c r="E2550" s="195"/>
      <c r="F2550" s="157"/>
      <c r="G2550" s="157"/>
      <c r="H2550" s="157"/>
      <c r="I2550" s="157"/>
      <c r="J2550" s="157"/>
      <c r="K2550" s="157"/>
      <c r="L2550" s="157"/>
      <c r="M2550" s="523"/>
      <c r="N2550" s="157"/>
      <c r="O2550" s="157"/>
    </row>
    <row r="2551" spans="3:15" ht="15" customHeight="1">
      <c r="C2551" s="498"/>
      <c r="D2551" s="256"/>
      <c r="E2551" s="195"/>
      <c r="F2551" s="157"/>
      <c r="G2551" s="157"/>
      <c r="H2551" s="157"/>
      <c r="I2551" s="157"/>
      <c r="J2551" s="157"/>
      <c r="K2551" s="157"/>
      <c r="L2551" s="157"/>
      <c r="M2551" s="523"/>
      <c r="N2551" s="157"/>
      <c r="O2551" s="157"/>
    </row>
    <row r="2552" spans="3:15" ht="15" customHeight="1">
      <c r="C2552" s="498"/>
      <c r="D2552" s="256"/>
      <c r="E2552" s="195"/>
      <c r="F2552" s="157"/>
      <c r="G2552" s="157"/>
      <c r="H2552" s="157"/>
      <c r="I2552" s="157"/>
      <c r="J2552" s="157"/>
      <c r="K2552" s="157"/>
      <c r="L2552" s="157"/>
      <c r="M2552" s="523"/>
      <c r="N2552" s="157"/>
      <c r="O2552" s="157"/>
    </row>
    <row r="2553" spans="3:15" ht="15" customHeight="1">
      <c r="C2553" s="498"/>
      <c r="D2553" s="256"/>
      <c r="E2553" s="195"/>
      <c r="F2553" s="157"/>
      <c r="G2553" s="157"/>
      <c r="H2553" s="157"/>
      <c r="I2553" s="157"/>
      <c r="J2553" s="157"/>
      <c r="K2553" s="157"/>
      <c r="L2553" s="157"/>
      <c r="M2553" s="523"/>
      <c r="N2553" s="157"/>
      <c r="O2553" s="157"/>
    </row>
    <row r="2554" spans="3:15" ht="15" customHeight="1">
      <c r="C2554" s="498"/>
      <c r="D2554" s="256"/>
      <c r="E2554" s="195"/>
      <c r="F2554" s="157"/>
      <c r="G2554" s="157"/>
      <c r="H2554" s="157"/>
      <c r="I2554" s="157"/>
      <c r="J2554" s="157"/>
      <c r="K2554" s="157"/>
      <c r="L2554" s="157"/>
      <c r="M2554" s="523"/>
      <c r="N2554" s="157"/>
      <c r="O2554" s="157"/>
    </row>
    <row r="2555" spans="3:15" ht="15" customHeight="1">
      <c r="C2555" s="498"/>
      <c r="D2555" s="256"/>
      <c r="E2555" s="195"/>
      <c r="F2555" s="157"/>
      <c r="G2555" s="157"/>
      <c r="H2555" s="157"/>
      <c r="I2555" s="157"/>
      <c r="J2555" s="157"/>
      <c r="K2555" s="157"/>
      <c r="L2555" s="157"/>
      <c r="M2555" s="523"/>
      <c r="N2555" s="157"/>
      <c r="O2555" s="157"/>
    </row>
    <row r="2556" spans="3:15" ht="15" customHeight="1">
      <c r="C2556" s="498"/>
      <c r="D2556" s="256"/>
      <c r="E2556" s="195"/>
      <c r="F2556" s="157"/>
      <c r="G2556" s="157"/>
      <c r="H2556" s="157"/>
      <c r="I2556" s="157"/>
      <c r="J2556" s="157"/>
      <c r="K2556" s="157"/>
      <c r="L2556" s="157"/>
      <c r="M2556" s="523"/>
      <c r="N2556" s="157"/>
      <c r="O2556" s="157"/>
    </row>
    <row r="2557" spans="3:15" ht="15" customHeight="1">
      <c r="C2557" s="498"/>
      <c r="D2557" s="256"/>
      <c r="E2557" s="195"/>
      <c r="F2557" s="157"/>
      <c r="G2557" s="157"/>
      <c r="H2557" s="157"/>
      <c r="I2557" s="157"/>
      <c r="J2557" s="157"/>
      <c r="K2557" s="157"/>
      <c r="L2557" s="157"/>
      <c r="M2557" s="523"/>
      <c r="N2557" s="157"/>
      <c r="O2557" s="157"/>
    </row>
    <row r="2558" spans="3:15" ht="15" customHeight="1">
      <c r="C2558" s="498"/>
      <c r="D2558" s="256"/>
      <c r="E2558" s="195"/>
      <c r="F2558" s="157"/>
      <c r="G2558" s="157"/>
      <c r="H2558" s="157"/>
      <c r="I2558" s="157"/>
      <c r="J2558" s="157"/>
      <c r="K2558" s="157"/>
      <c r="L2558" s="157"/>
      <c r="M2558" s="523"/>
      <c r="N2558" s="157"/>
      <c r="O2558" s="157"/>
    </row>
    <row r="2559" spans="3:15" ht="15" customHeight="1">
      <c r="C2559" s="498"/>
      <c r="D2559" s="256"/>
      <c r="E2559" s="195"/>
      <c r="F2559" s="157"/>
      <c r="G2559" s="157"/>
      <c r="H2559" s="157"/>
      <c r="I2559" s="157"/>
      <c r="J2559" s="157"/>
      <c r="K2559" s="157"/>
      <c r="L2559" s="157"/>
      <c r="M2559" s="523"/>
      <c r="N2559" s="157"/>
      <c r="O2559" s="157"/>
    </row>
    <row r="2560" spans="3:15" ht="15" customHeight="1">
      <c r="C2560" s="498"/>
      <c r="D2560" s="256"/>
      <c r="E2560" s="195"/>
      <c r="F2560" s="157"/>
      <c r="G2560" s="157"/>
      <c r="H2560" s="157"/>
      <c r="I2560" s="157"/>
      <c r="J2560" s="157"/>
      <c r="K2560" s="157"/>
      <c r="L2560" s="157"/>
      <c r="M2560" s="523"/>
      <c r="N2560" s="157"/>
      <c r="O2560" s="157"/>
    </row>
    <row r="2561" spans="3:15" ht="15" customHeight="1">
      <c r="C2561" s="498"/>
      <c r="D2561" s="256"/>
      <c r="E2561" s="195"/>
      <c r="F2561" s="157"/>
      <c r="G2561" s="157"/>
      <c r="H2561" s="157"/>
      <c r="I2561" s="157"/>
      <c r="J2561" s="157"/>
      <c r="K2561" s="157"/>
      <c r="L2561" s="157"/>
      <c r="M2561" s="523"/>
      <c r="N2561" s="157"/>
      <c r="O2561" s="157"/>
    </row>
    <row r="2562" spans="3:15" ht="15" customHeight="1">
      <c r="C2562" s="498"/>
      <c r="D2562" s="256"/>
      <c r="E2562" s="195"/>
      <c r="F2562" s="157"/>
      <c r="G2562" s="157"/>
      <c r="H2562" s="157"/>
      <c r="I2562" s="157"/>
      <c r="J2562" s="157"/>
      <c r="K2562" s="157"/>
      <c r="L2562" s="157"/>
      <c r="M2562" s="523"/>
      <c r="N2562" s="157"/>
      <c r="O2562" s="157"/>
    </row>
    <row r="2563" spans="3:15" ht="15" customHeight="1">
      <c r="C2563" s="498"/>
      <c r="D2563" s="256"/>
      <c r="E2563" s="195"/>
      <c r="F2563" s="157"/>
      <c r="G2563" s="157"/>
      <c r="H2563" s="157"/>
      <c r="I2563" s="157"/>
      <c r="J2563" s="157"/>
      <c r="K2563" s="157"/>
      <c r="L2563" s="157"/>
      <c r="M2563" s="523"/>
      <c r="N2563" s="157"/>
      <c r="O2563" s="157"/>
    </row>
    <row r="2564" spans="3:15" ht="15" customHeight="1">
      <c r="C2564" s="498"/>
      <c r="D2564" s="256"/>
      <c r="E2564" s="195"/>
      <c r="F2564" s="157"/>
      <c r="G2564" s="157"/>
      <c r="H2564" s="157"/>
      <c r="I2564" s="157"/>
      <c r="J2564" s="157"/>
      <c r="K2564" s="157"/>
      <c r="L2564" s="157"/>
      <c r="M2564" s="523"/>
      <c r="N2564" s="157"/>
      <c r="O2564" s="157"/>
    </row>
    <row r="2565" spans="3:15" ht="15" customHeight="1">
      <c r="C2565" s="498"/>
      <c r="D2565" s="256"/>
      <c r="E2565" s="195"/>
      <c r="F2565" s="157"/>
      <c r="G2565" s="157"/>
      <c r="H2565" s="157"/>
      <c r="I2565" s="157"/>
      <c r="J2565" s="157"/>
      <c r="K2565" s="157"/>
      <c r="L2565" s="157"/>
      <c r="M2565" s="523"/>
      <c r="N2565" s="157"/>
      <c r="O2565" s="157"/>
    </row>
    <row r="2566" spans="3:15" ht="15" customHeight="1">
      <c r="C2566" s="498"/>
      <c r="D2566" s="256"/>
      <c r="E2566" s="195"/>
      <c r="F2566" s="157"/>
      <c r="G2566" s="157"/>
      <c r="H2566" s="157"/>
      <c r="I2566" s="157"/>
      <c r="J2566" s="157"/>
      <c r="K2566" s="157"/>
      <c r="L2566" s="157"/>
      <c r="M2566" s="523"/>
      <c r="N2566" s="157"/>
      <c r="O2566" s="157"/>
    </row>
    <row r="2567" spans="3:15" ht="15" customHeight="1">
      <c r="C2567" s="498"/>
      <c r="D2567" s="256"/>
      <c r="E2567" s="195"/>
      <c r="F2567" s="157"/>
      <c r="G2567" s="157"/>
      <c r="H2567" s="157"/>
      <c r="I2567" s="157"/>
      <c r="J2567" s="157"/>
      <c r="K2567" s="157"/>
      <c r="L2567" s="157"/>
      <c r="M2567" s="523"/>
      <c r="N2567" s="157"/>
      <c r="O2567" s="157"/>
    </row>
    <row r="2568" spans="3:15" ht="15" customHeight="1">
      <c r="C2568" s="498"/>
      <c r="D2568" s="256"/>
      <c r="E2568" s="195"/>
      <c r="F2568" s="157"/>
      <c r="G2568" s="157"/>
      <c r="H2568" s="157"/>
      <c r="I2568" s="157"/>
      <c r="J2568" s="157"/>
      <c r="K2568" s="157"/>
      <c r="L2568" s="157"/>
      <c r="M2568" s="523"/>
      <c r="N2568" s="157"/>
      <c r="O2568" s="157"/>
    </row>
    <row r="2569" spans="3:15" ht="15" customHeight="1">
      <c r="C2569" s="498"/>
      <c r="D2569" s="256"/>
      <c r="E2569" s="195"/>
      <c r="F2569" s="157"/>
      <c r="G2569" s="157"/>
      <c r="H2569" s="157"/>
      <c r="I2569" s="157"/>
      <c r="J2569" s="157"/>
      <c r="K2569" s="157"/>
      <c r="L2569" s="157"/>
      <c r="M2569" s="523"/>
      <c r="N2569" s="157"/>
      <c r="O2569" s="157"/>
    </row>
    <row r="2570" spans="3:15" ht="15" customHeight="1">
      <c r="C2570" s="498"/>
      <c r="D2570" s="256"/>
      <c r="E2570" s="195"/>
      <c r="F2570" s="157"/>
      <c r="G2570" s="157"/>
      <c r="H2570" s="157"/>
      <c r="I2570" s="157"/>
      <c r="J2570" s="157"/>
      <c r="K2570" s="157"/>
      <c r="L2570" s="157"/>
      <c r="M2570" s="523"/>
      <c r="N2570" s="157"/>
      <c r="O2570" s="157"/>
    </row>
    <row r="2571" spans="3:15" ht="15" customHeight="1">
      <c r="C2571" s="498"/>
      <c r="D2571" s="256"/>
      <c r="E2571" s="195"/>
      <c r="F2571" s="157"/>
      <c r="G2571" s="157"/>
      <c r="H2571" s="157"/>
      <c r="I2571" s="157"/>
      <c r="J2571" s="157"/>
      <c r="K2571" s="157"/>
      <c r="L2571" s="157"/>
      <c r="M2571" s="523"/>
      <c r="N2571" s="157"/>
      <c r="O2571" s="157"/>
    </row>
    <row r="2572" spans="3:15" ht="15" customHeight="1">
      <c r="C2572" s="498"/>
      <c r="D2572" s="256"/>
      <c r="E2572" s="195"/>
      <c r="F2572" s="157"/>
      <c r="G2572" s="157"/>
      <c r="H2572" s="157"/>
      <c r="I2572" s="157"/>
      <c r="J2572" s="157"/>
      <c r="K2572" s="157"/>
      <c r="L2572" s="157"/>
      <c r="M2572" s="523"/>
      <c r="N2572" s="157"/>
      <c r="O2572" s="157"/>
    </row>
    <row r="2573" spans="3:15" ht="15" customHeight="1">
      <c r="C2573" s="498"/>
      <c r="D2573" s="256"/>
      <c r="E2573" s="195"/>
      <c r="F2573" s="157"/>
      <c r="G2573" s="157"/>
      <c r="H2573" s="157"/>
      <c r="I2573" s="157"/>
      <c r="J2573" s="157"/>
      <c r="K2573" s="157"/>
      <c r="L2573" s="157"/>
      <c r="M2573" s="523"/>
      <c r="N2573" s="157"/>
      <c r="O2573" s="157"/>
    </row>
    <row r="2574" spans="3:15" ht="15" customHeight="1">
      <c r="C2574" s="498"/>
      <c r="D2574" s="256"/>
      <c r="E2574" s="195"/>
      <c r="F2574" s="157"/>
      <c r="G2574" s="157"/>
      <c r="H2574" s="157"/>
      <c r="I2574" s="157"/>
      <c r="J2574" s="157"/>
      <c r="K2574" s="157"/>
      <c r="L2574" s="157"/>
      <c r="M2574" s="523"/>
      <c r="N2574" s="157"/>
      <c r="O2574" s="157"/>
    </row>
    <row r="2575" spans="3:15" ht="15" customHeight="1">
      <c r="C2575" s="498"/>
      <c r="D2575" s="256"/>
      <c r="E2575" s="195"/>
      <c r="F2575" s="157"/>
      <c r="G2575" s="157"/>
      <c r="H2575" s="157"/>
      <c r="I2575" s="157"/>
      <c r="J2575" s="157"/>
      <c r="K2575" s="157"/>
      <c r="L2575" s="157"/>
      <c r="M2575" s="523"/>
      <c r="N2575" s="157"/>
      <c r="O2575" s="157"/>
    </row>
    <row r="2576" spans="3:15" ht="15" customHeight="1">
      <c r="C2576" s="498"/>
      <c r="D2576" s="256"/>
      <c r="E2576" s="195"/>
      <c r="F2576" s="157"/>
      <c r="G2576" s="157"/>
      <c r="H2576" s="157"/>
      <c r="I2576" s="157"/>
      <c r="J2576" s="157"/>
      <c r="K2576" s="157"/>
      <c r="L2576" s="157"/>
      <c r="M2576" s="523"/>
      <c r="N2576" s="157"/>
      <c r="O2576" s="157"/>
    </row>
    <row r="2577" spans="3:15" ht="15" customHeight="1">
      <c r="C2577" s="498"/>
      <c r="D2577" s="256"/>
      <c r="E2577" s="195"/>
      <c r="F2577" s="157"/>
      <c r="G2577" s="157"/>
      <c r="H2577" s="157"/>
      <c r="I2577" s="157"/>
      <c r="J2577" s="157"/>
      <c r="K2577" s="157"/>
      <c r="L2577" s="157"/>
      <c r="M2577" s="523"/>
      <c r="N2577" s="157"/>
      <c r="O2577" s="157"/>
    </row>
    <row r="2578" spans="3:15" ht="15" customHeight="1">
      <c r="C2578" s="498"/>
      <c r="D2578" s="256"/>
      <c r="E2578" s="195"/>
      <c r="F2578" s="157"/>
      <c r="G2578" s="157"/>
      <c r="H2578" s="157"/>
      <c r="I2578" s="157"/>
      <c r="J2578" s="157"/>
      <c r="K2578" s="157"/>
      <c r="L2578" s="157"/>
      <c r="M2578" s="523"/>
      <c r="N2578" s="157"/>
      <c r="O2578" s="157"/>
    </row>
    <row r="2579" spans="3:15" ht="15" customHeight="1">
      <c r="C2579" s="498"/>
      <c r="D2579" s="256"/>
      <c r="E2579" s="195"/>
      <c r="F2579" s="157"/>
      <c r="G2579" s="157"/>
      <c r="H2579" s="157"/>
      <c r="I2579" s="157"/>
      <c r="J2579" s="157"/>
      <c r="K2579" s="157"/>
      <c r="L2579" s="157"/>
      <c r="M2579" s="523"/>
      <c r="N2579" s="157"/>
      <c r="O2579" s="157"/>
    </row>
    <row r="2580" spans="3:15" ht="15" customHeight="1">
      <c r="C2580" s="498"/>
      <c r="D2580" s="256"/>
      <c r="E2580" s="195"/>
      <c r="F2580" s="157"/>
      <c r="G2580" s="157"/>
      <c r="H2580" s="157"/>
      <c r="I2580" s="157"/>
      <c r="J2580" s="157"/>
      <c r="K2580" s="157"/>
      <c r="L2580" s="157"/>
      <c r="M2580" s="523"/>
      <c r="N2580" s="157"/>
      <c r="O2580" s="157"/>
    </row>
    <row r="2581" spans="3:15" ht="15" customHeight="1">
      <c r="C2581" s="498"/>
      <c r="D2581" s="256"/>
      <c r="E2581" s="195"/>
      <c r="F2581" s="157"/>
      <c r="G2581" s="157"/>
      <c r="H2581" s="157"/>
      <c r="I2581" s="157"/>
      <c r="J2581" s="157"/>
      <c r="K2581" s="157"/>
      <c r="L2581" s="157"/>
      <c r="M2581" s="523"/>
      <c r="N2581" s="157"/>
      <c r="O2581" s="157"/>
    </row>
    <row r="2582" spans="3:15" ht="15" customHeight="1">
      <c r="C2582" s="498"/>
      <c r="D2582" s="256"/>
      <c r="E2582" s="195"/>
      <c r="F2582" s="157"/>
      <c r="G2582" s="157"/>
      <c r="H2582" s="157"/>
      <c r="I2582" s="157"/>
      <c r="J2582" s="157"/>
      <c r="K2582" s="157"/>
      <c r="L2582" s="157"/>
      <c r="M2582" s="523"/>
      <c r="N2582" s="157"/>
      <c r="O2582" s="157"/>
    </row>
    <row r="2583" spans="3:15" ht="15" customHeight="1">
      <c r="C2583" s="498"/>
      <c r="D2583" s="256"/>
      <c r="E2583" s="195"/>
      <c r="F2583" s="157"/>
      <c r="G2583" s="157"/>
      <c r="H2583" s="157"/>
      <c r="I2583" s="157"/>
      <c r="J2583" s="157"/>
      <c r="K2583" s="157"/>
      <c r="L2583" s="157"/>
      <c r="M2583" s="523"/>
      <c r="N2583" s="157"/>
      <c r="O2583" s="157"/>
    </row>
    <row r="2584" spans="3:15" ht="15" customHeight="1">
      <c r="C2584" s="498"/>
      <c r="D2584" s="256"/>
      <c r="E2584" s="195"/>
      <c r="F2584" s="157"/>
      <c r="G2584" s="157"/>
      <c r="H2584" s="157"/>
      <c r="I2584" s="157"/>
      <c r="J2584" s="157"/>
      <c r="K2584" s="157"/>
      <c r="L2584" s="157"/>
      <c r="M2584" s="523"/>
      <c r="N2584" s="157"/>
      <c r="O2584" s="157"/>
    </row>
    <row r="2585" spans="3:15" ht="15" customHeight="1">
      <c r="C2585" s="498"/>
      <c r="D2585" s="256"/>
      <c r="E2585" s="195"/>
      <c r="F2585" s="157"/>
      <c r="G2585" s="157"/>
      <c r="H2585" s="157"/>
      <c r="I2585" s="157"/>
      <c r="J2585" s="157"/>
      <c r="K2585" s="157"/>
      <c r="L2585" s="157"/>
      <c r="M2585" s="523"/>
      <c r="N2585" s="157"/>
      <c r="O2585" s="157"/>
    </row>
    <row r="2586" spans="3:15" ht="15" customHeight="1">
      <c r="C2586" s="498"/>
      <c r="D2586" s="256"/>
      <c r="E2586" s="195"/>
      <c r="F2586" s="157"/>
      <c r="G2586" s="157"/>
      <c r="H2586" s="157"/>
      <c r="I2586" s="157"/>
      <c r="J2586" s="157"/>
      <c r="K2586" s="157"/>
      <c r="L2586" s="157"/>
      <c r="M2586" s="523"/>
      <c r="N2586" s="157"/>
      <c r="O2586" s="157"/>
    </row>
    <row r="2587" spans="3:15" ht="15" customHeight="1">
      <c r="C2587" s="498"/>
      <c r="D2587" s="256"/>
      <c r="E2587" s="195"/>
      <c r="F2587" s="157"/>
      <c r="G2587" s="157"/>
      <c r="H2587" s="157"/>
      <c r="I2587" s="157"/>
      <c r="J2587" s="157"/>
      <c r="K2587" s="157"/>
      <c r="L2587" s="157"/>
      <c r="M2587" s="523"/>
      <c r="N2587" s="157"/>
      <c r="O2587" s="157"/>
    </row>
    <row r="2588" spans="3:15" ht="15" customHeight="1">
      <c r="C2588" s="498"/>
      <c r="D2588" s="256"/>
      <c r="E2588" s="195"/>
      <c r="F2588" s="157"/>
      <c r="G2588" s="157"/>
      <c r="H2588" s="157"/>
      <c r="I2588" s="157"/>
      <c r="J2588" s="157"/>
      <c r="K2588" s="157"/>
      <c r="L2588" s="157"/>
      <c r="M2588" s="523"/>
      <c r="N2588" s="157"/>
      <c r="O2588" s="157"/>
    </row>
    <row r="2589" spans="3:15" ht="15" customHeight="1">
      <c r="C2589" s="498"/>
      <c r="D2589" s="256"/>
      <c r="E2589" s="195"/>
      <c r="F2589" s="157"/>
      <c r="G2589" s="157"/>
      <c r="H2589" s="157"/>
      <c r="I2589" s="157"/>
      <c r="J2589" s="157"/>
      <c r="K2589" s="157"/>
      <c r="L2589" s="157"/>
      <c r="M2589" s="523"/>
      <c r="N2589" s="157"/>
      <c r="O2589" s="157"/>
    </row>
    <row r="2590" spans="3:15" ht="15" customHeight="1">
      <c r="C2590" s="498"/>
      <c r="D2590" s="256"/>
      <c r="E2590" s="195"/>
      <c r="F2590" s="157"/>
      <c r="G2590" s="157"/>
      <c r="H2590" s="157"/>
      <c r="I2590" s="157"/>
      <c r="J2590" s="157"/>
      <c r="K2590" s="157"/>
      <c r="L2590" s="157"/>
      <c r="M2590" s="523"/>
      <c r="N2590" s="157"/>
      <c r="O2590" s="157"/>
    </row>
    <row r="2591" spans="3:15" ht="15" customHeight="1">
      <c r="C2591" s="498"/>
      <c r="D2591" s="256"/>
      <c r="E2591" s="195"/>
      <c r="F2591" s="157"/>
      <c r="G2591" s="157"/>
      <c r="H2591" s="157"/>
      <c r="I2591" s="157"/>
      <c r="J2591" s="157"/>
      <c r="K2591" s="157"/>
      <c r="L2591" s="157"/>
      <c r="M2591" s="523"/>
      <c r="N2591" s="157"/>
      <c r="O2591" s="157"/>
    </row>
    <row r="2592" spans="3:15" ht="15" customHeight="1">
      <c r="C2592" s="498"/>
      <c r="D2592" s="256"/>
      <c r="E2592" s="195"/>
      <c r="F2592" s="157"/>
      <c r="G2592" s="157"/>
      <c r="H2592" s="157"/>
      <c r="I2592" s="157"/>
      <c r="J2592" s="157"/>
      <c r="K2592" s="157"/>
      <c r="L2592" s="157"/>
      <c r="M2592" s="523"/>
      <c r="N2592" s="157"/>
      <c r="O2592" s="157"/>
    </row>
    <row r="2593" spans="3:15" ht="15" customHeight="1">
      <c r="C2593" s="498"/>
      <c r="D2593" s="256"/>
      <c r="E2593" s="195"/>
      <c r="F2593" s="157"/>
      <c r="G2593" s="157"/>
      <c r="H2593" s="157"/>
      <c r="I2593" s="157"/>
      <c r="J2593" s="157"/>
      <c r="K2593" s="157"/>
      <c r="L2593" s="157"/>
      <c r="M2593" s="523"/>
      <c r="N2593" s="157"/>
      <c r="O2593" s="157"/>
    </row>
    <row r="2594" spans="3:15" ht="15" customHeight="1">
      <c r="C2594" s="498"/>
      <c r="D2594" s="256"/>
      <c r="E2594" s="195"/>
      <c r="F2594" s="157"/>
      <c r="G2594" s="157"/>
      <c r="H2594" s="157"/>
      <c r="I2594" s="157"/>
      <c r="J2594" s="157"/>
      <c r="K2594" s="157"/>
      <c r="L2594" s="157"/>
      <c r="M2594" s="523"/>
      <c r="N2594" s="157"/>
      <c r="O2594" s="157"/>
    </row>
    <row r="2595" spans="3:15" ht="15" customHeight="1">
      <c r="C2595" s="498"/>
      <c r="D2595" s="256"/>
      <c r="E2595" s="195"/>
      <c r="F2595" s="157"/>
      <c r="G2595" s="157"/>
      <c r="H2595" s="157"/>
      <c r="I2595" s="157"/>
      <c r="J2595" s="157"/>
      <c r="K2595" s="157"/>
      <c r="L2595" s="157"/>
      <c r="M2595" s="523"/>
      <c r="N2595" s="157"/>
      <c r="O2595" s="157"/>
    </row>
    <row r="2596" spans="3:15" ht="15" customHeight="1">
      <c r="C2596" s="498"/>
      <c r="D2596" s="256"/>
      <c r="E2596" s="195"/>
      <c r="F2596" s="157"/>
      <c r="G2596" s="157"/>
      <c r="H2596" s="157"/>
      <c r="I2596" s="157"/>
      <c r="J2596" s="157"/>
      <c r="K2596" s="157"/>
      <c r="L2596" s="157"/>
      <c r="M2596" s="523"/>
      <c r="N2596" s="157"/>
      <c r="O2596" s="157"/>
    </row>
    <row r="2597" spans="3:15" ht="15" customHeight="1">
      <c r="C2597" s="498"/>
      <c r="D2597" s="256"/>
      <c r="E2597" s="195"/>
      <c r="F2597" s="157"/>
      <c r="G2597" s="157"/>
      <c r="H2597" s="157"/>
      <c r="I2597" s="157"/>
      <c r="J2597" s="157"/>
      <c r="K2597" s="157"/>
      <c r="L2597" s="157"/>
      <c r="M2597" s="523"/>
      <c r="N2597" s="157"/>
      <c r="O2597" s="157"/>
    </row>
    <row r="2598" spans="3:15" ht="15" customHeight="1">
      <c r="C2598" s="498"/>
      <c r="D2598" s="256"/>
      <c r="E2598" s="195"/>
      <c r="F2598" s="157"/>
      <c r="G2598" s="157"/>
      <c r="H2598" s="157"/>
      <c r="I2598" s="157"/>
      <c r="J2598" s="157"/>
      <c r="K2598" s="157"/>
      <c r="L2598" s="157"/>
      <c r="M2598" s="523"/>
      <c r="N2598" s="157"/>
      <c r="O2598" s="157"/>
    </row>
    <row r="2599" spans="3:15" ht="15" customHeight="1">
      <c r="C2599" s="498"/>
      <c r="D2599" s="256"/>
      <c r="E2599" s="195"/>
      <c r="F2599" s="157"/>
      <c r="G2599" s="157"/>
      <c r="H2599" s="157"/>
      <c r="I2599" s="157"/>
      <c r="J2599" s="157"/>
      <c r="K2599" s="157"/>
      <c r="L2599" s="157"/>
      <c r="M2599" s="523"/>
      <c r="N2599" s="157"/>
      <c r="O2599" s="157"/>
    </row>
    <row r="2600" spans="3:15" ht="15" customHeight="1">
      <c r="C2600" s="498"/>
      <c r="D2600" s="256"/>
      <c r="E2600" s="195"/>
      <c r="F2600" s="157"/>
      <c r="G2600" s="157"/>
      <c r="H2600" s="157"/>
      <c r="I2600" s="157"/>
      <c r="J2600" s="157"/>
      <c r="K2600" s="157"/>
      <c r="L2600" s="157"/>
      <c r="M2600" s="523"/>
      <c r="N2600" s="157"/>
      <c r="O2600" s="157"/>
    </row>
    <row r="2601" spans="3:15" ht="15" customHeight="1">
      <c r="C2601" s="498"/>
      <c r="D2601" s="256"/>
      <c r="E2601" s="195"/>
      <c r="F2601" s="157"/>
      <c r="G2601" s="157"/>
      <c r="H2601" s="157"/>
      <c r="I2601" s="157"/>
      <c r="J2601" s="157"/>
      <c r="K2601" s="157"/>
      <c r="L2601" s="157"/>
      <c r="M2601" s="523"/>
      <c r="N2601" s="157"/>
      <c r="O2601" s="157"/>
    </row>
    <row r="2602" spans="3:15" ht="15" customHeight="1">
      <c r="C2602" s="498"/>
      <c r="D2602" s="256"/>
      <c r="E2602" s="195"/>
      <c r="F2602" s="157"/>
      <c r="G2602" s="157"/>
      <c r="H2602" s="157"/>
      <c r="I2602" s="157"/>
      <c r="J2602" s="157"/>
      <c r="K2602" s="157"/>
      <c r="L2602" s="157"/>
      <c r="M2602" s="523"/>
      <c r="N2602" s="157"/>
      <c r="O2602" s="157"/>
    </row>
    <row r="2603" spans="3:15" ht="15" customHeight="1">
      <c r="C2603" s="498"/>
      <c r="D2603" s="256"/>
      <c r="E2603" s="195"/>
      <c r="F2603" s="157"/>
      <c r="G2603" s="157"/>
      <c r="H2603" s="157"/>
      <c r="I2603" s="157"/>
      <c r="J2603" s="157"/>
      <c r="K2603" s="157"/>
      <c r="L2603" s="157"/>
      <c r="M2603" s="523"/>
      <c r="N2603" s="157"/>
      <c r="O2603" s="157"/>
    </row>
    <row r="2604" spans="3:15" ht="15" customHeight="1">
      <c r="C2604" s="498"/>
      <c r="D2604" s="256"/>
      <c r="E2604" s="195"/>
      <c r="F2604" s="157"/>
      <c r="G2604" s="157"/>
      <c r="H2604" s="157"/>
      <c r="I2604" s="157"/>
      <c r="J2604" s="157"/>
      <c r="K2604" s="157"/>
      <c r="L2604" s="157"/>
      <c r="M2604" s="523"/>
      <c r="N2604" s="157"/>
      <c r="O2604" s="157"/>
    </row>
    <row r="2605" spans="3:15" ht="15" customHeight="1">
      <c r="C2605" s="498"/>
      <c r="D2605" s="256"/>
      <c r="E2605" s="195"/>
      <c r="F2605" s="157"/>
      <c r="G2605" s="157"/>
      <c r="H2605" s="157"/>
      <c r="I2605" s="157"/>
      <c r="J2605" s="157"/>
      <c r="K2605" s="157"/>
      <c r="L2605" s="157"/>
      <c r="M2605" s="523"/>
      <c r="N2605" s="157"/>
      <c r="O2605" s="157"/>
    </row>
    <row r="2606" spans="3:15" ht="15" customHeight="1">
      <c r="C2606" s="498"/>
      <c r="D2606" s="256"/>
      <c r="E2606" s="195"/>
      <c r="F2606" s="157"/>
      <c r="G2606" s="157"/>
      <c r="H2606" s="157"/>
      <c r="I2606" s="157"/>
      <c r="J2606" s="157"/>
      <c r="K2606" s="157"/>
      <c r="L2606" s="157"/>
      <c r="M2606" s="523"/>
      <c r="N2606" s="157"/>
      <c r="O2606" s="157"/>
    </row>
    <row r="2607" spans="3:15" ht="15" customHeight="1">
      <c r="C2607" s="498"/>
      <c r="D2607" s="256"/>
      <c r="E2607" s="195"/>
      <c r="F2607" s="157"/>
      <c r="G2607" s="157"/>
      <c r="H2607" s="157"/>
      <c r="I2607" s="157"/>
      <c r="J2607" s="157"/>
      <c r="K2607" s="157"/>
      <c r="L2607" s="157"/>
      <c r="M2607" s="523"/>
      <c r="N2607" s="157"/>
      <c r="O2607" s="157"/>
    </row>
    <row r="2608" spans="3:15" ht="15" customHeight="1">
      <c r="C2608" s="498"/>
      <c r="D2608" s="256"/>
      <c r="E2608" s="195"/>
      <c r="F2608" s="157"/>
      <c r="G2608" s="157"/>
      <c r="H2608" s="157"/>
      <c r="I2608" s="157"/>
      <c r="J2608" s="157"/>
      <c r="K2608" s="157"/>
      <c r="L2608" s="157"/>
      <c r="M2608" s="523"/>
      <c r="N2608" s="157"/>
      <c r="O2608" s="157"/>
    </row>
    <row r="2609" spans="3:15" ht="15" customHeight="1">
      <c r="C2609" s="498"/>
      <c r="D2609" s="256"/>
      <c r="E2609" s="195"/>
      <c r="F2609" s="157"/>
      <c r="G2609" s="157"/>
      <c r="H2609" s="157"/>
      <c r="I2609" s="157"/>
      <c r="J2609" s="157"/>
      <c r="K2609" s="157"/>
      <c r="L2609" s="157"/>
      <c r="M2609" s="523"/>
      <c r="N2609" s="157"/>
      <c r="O2609" s="157"/>
    </row>
    <row r="2610" spans="3:15" ht="15" customHeight="1">
      <c r="C2610" s="498"/>
      <c r="D2610" s="256"/>
      <c r="E2610" s="195"/>
      <c r="F2610" s="157"/>
      <c r="G2610" s="157"/>
      <c r="H2610" s="157"/>
      <c r="I2610" s="157"/>
      <c r="J2610" s="157"/>
      <c r="K2610" s="157"/>
      <c r="L2610" s="157"/>
      <c r="M2610" s="523"/>
      <c r="N2610" s="157"/>
      <c r="O2610" s="157"/>
    </row>
    <row r="2611" spans="3:15" ht="15" customHeight="1">
      <c r="C2611" s="498"/>
      <c r="D2611" s="256"/>
      <c r="E2611" s="195"/>
      <c r="F2611" s="157"/>
      <c r="G2611" s="157"/>
      <c r="H2611" s="157"/>
      <c r="I2611" s="157"/>
      <c r="J2611" s="157"/>
      <c r="K2611" s="157"/>
      <c r="L2611" s="157"/>
      <c r="M2611" s="523"/>
      <c r="N2611" s="157"/>
      <c r="O2611" s="157"/>
    </row>
    <row r="2612" spans="3:15" ht="15" customHeight="1">
      <c r="C2612" s="498"/>
      <c r="D2612" s="256"/>
      <c r="E2612" s="195"/>
      <c r="F2612" s="157"/>
      <c r="G2612" s="157"/>
      <c r="H2612" s="157"/>
      <c r="I2612" s="157"/>
      <c r="J2612" s="157"/>
      <c r="K2612" s="157"/>
      <c r="L2612" s="157"/>
      <c r="M2612" s="523"/>
      <c r="N2612" s="157"/>
      <c r="O2612" s="157"/>
    </row>
    <row r="2613" spans="3:15" ht="15" customHeight="1">
      <c r="C2613" s="498"/>
      <c r="D2613" s="256"/>
      <c r="E2613" s="195"/>
      <c r="F2613" s="157"/>
      <c r="G2613" s="157"/>
      <c r="H2613" s="157"/>
      <c r="I2613" s="157"/>
      <c r="J2613" s="157"/>
      <c r="K2613" s="157"/>
      <c r="L2613" s="157"/>
      <c r="M2613" s="523"/>
      <c r="N2613" s="157"/>
      <c r="O2613" s="157"/>
    </row>
    <row r="2614" spans="3:15" ht="15" customHeight="1">
      <c r="C2614" s="498"/>
      <c r="D2614" s="256"/>
      <c r="E2614" s="195"/>
      <c r="F2614" s="157"/>
      <c r="G2614" s="157"/>
      <c r="H2614" s="157"/>
      <c r="I2614" s="157"/>
      <c r="J2614" s="157"/>
      <c r="K2614" s="157"/>
      <c r="L2614" s="157"/>
      <c r="M2614" s="523"/>
      <c r="N2614" s="157"/>
      <c r="O2614" s="157"/>
    </row>
    <row r="2615" spans="3:15" ht="15" customHeight="1">
      <c r="C2615" s="498"/>
      <c r="D2615" s="256"/>
      <c r="E2615" s="195"/>
      <c r="F2615" s="157"/>
      <c r="G2615" s="157"/>
      <c r="H2615" s="157"/>
      <c r="I2615" s="157"/>
      <c r="J2615" s="157"/>
      <c r="K2615" s="157"/>
      <c r="L2615" s="157"/>
      <c r="M2615" s="523"/>
      <c r="N2615" s="157"/>
      <c r="O2615" s="157"/>
    </row>
    <row r="2616" spans="3:15" ht="15" customHeight="1">
      <c r="C2616" s="498"/>
      <c r="D2616" s="256"/>
      <c r="E2616" s="195"/>
      <c r="F2616" s="157"/>
      <c r="G2616" s="157"/>
      <c r="H2616" s="157"/>
      <c r="I2616" s="157"/>
      <c r="J2616" s="157"/>
      <c r="K2616" s="157"/>
      <c r="L2616" s="157"/>
      <c r="M2616" s="523"/>
      <c r="N2616" s="157"/>
      <c r="O2616" s="157"/>
    </row>
    <row r="2617" spans="3:15" ht="15" customHeight="1">
      <c r="C2617" s="498"/>
      <c r="D2617" s="256"/>
      <c r="E2617" s="195"/>
      <c r="F2617" s="157"/>
      <c r="G2617" s="157"/>
      <c r="H2617" s="157"/>
      <c r="I2617" s="157"/>
      <c r="J2617" s="157"/>
      <c r="K2617" s="157"/>
      <c r="L2617" s="157"/>
      <c r="M2617" s="523"/>
      <c r="N2617" s="157"/>
      <c r="O2617" s="157"/>
    </row>
    <row r="2618" spans="3:15" ht="15" customHeight="1">
      <c r="C2618" s="498"/>
      <c r="D2618" s="256"/>
      <c r="E2618" s="195"/>
      <c r="F2618" s="157"/>
      <c r="G2618" s="157"/>
      <c r="H2618" s="157"/>
      <c r="I2618" s="157"/>
      <c r="J2618" s="157"/>
      <c r="K2618" s="157"/>
      <c r="L2618" s="157"/>
      <c r="M2618" s="523"/>
      <c r="N2618" s="157"/>
      <c r="O2618" s="157"/>
    </row>
    <row r="2619" spans="3:15" ht="15" customHeight="1">
      <c r="C2619" s="498"/>
      <c r="D2619" s="256"/>
      <c r="E2619" s="195"/>
      <c r="F2619" s="157"/>
      <c r="G2619" s="157"/>
      <c r="H2619" s="157"/>
      <c r="I2619" s="157"/>
      <c r="J2619" s="157"/>
      <c r="K2619" s="157"/>
      <c r="L2619" s="157"/>
      <c r="M2619" s="523"/>
      <c r="N2619" s="157"/>
      <c r="O2619" s="157"/>
    </row>
    <row r="2620" spans="3:15" ht="15" customHeight="1">
      <c r="C2620" s="498"/>
      <c r="D2620" s="256"/>
      <c r="E2620" s="195"/>
      <c r="F2620" s="157"/>
      <c r="G2620" s="157"/>
      <c r="H2620" s="157"/>
      <c r="I2620" s="157"/>
      <c r="J2620" s="157"/>
      <c r="K2620" s="157"/>
      <c r="L2620" s="157"/>
      <c r="M2620" s="523"/>
      <c r="N2620" s="157"/>
      <c r="O2620" s="157"/>
    </row>
    <row r="2621" spans="3:15" ht="15" customHeight="1">
      <c r="C2621" s="498"/>
      <c r="D2621" s="256"/>
      <c r="E2621" s="195"/>
      <c r="F2621" s="157"/>
      <c r="G2621" s="157"/>
      <c r="H2621" s="157"/>
      <c r="I2621" s="157"/>
      <c r="J2621" s="157"/>
      <c r="K2621" s="157"/>
      <c r="L2621" s="157"/>
      <c r="M2621" s="523"/>
      <c r="N2621" s="157"/>
      <c r="O2621" s="157"/>
    </row>
    <row r="2622" spans="3:15" ht="15" customHeight="1">
      <c r="C2622" s="498"/>
      <c r="D2622" s="256"/>
      <c r="E2622" s="195"/>
      <c r="F2622" s="157"/>
      <c r="G2622" s="157"/>
      <c r="H2622" s="157"/>
      <c r="I2622" s="157"/>
      <c r="J2622" s="157"/>
      <c r="K2622" s="157"/>
      <c r="L2622" s="157"/>
      <c r="M2622" s="523"/>
      <c r="N2622" s="157"/>
      <c r="O2622" s="157"/>
    </row>
    <row r="2623" spans="3:15" ht="15" customHeight="1">
      <c r="C2623" s="498"/>
      <c r="D2623" s="256"/>
      <c r="E2623" s="195"/>
      <c r="F2623" s="157"/>
      <c r="G2623" s="157"/>
      <c r="H2623" s="157"/>
      <c r="I2623" s="157"/>
      <c r="J2623" s="157"/>
      <c r="K2623" s="157"/>
      <c r="L2623" s="157"/>
      <c r="M2623" s="523"/>
      <c r="N2623" s="157"/>
      <c r="O2623" s="157"/>
    </row>
    <row r="2624" spans="3:15" ht="15" customHeight="1">
      <c r="C2624" s="498"/>
      <c r="D2624" s="256"/>
      <c r="E2624" s="195"/>
      <c r="F2624" s="157"/>
      <c r="G2624" s="157"/>
      <c r="H2624" s="157"/>
      <c r="I2624" s="157"/>
      <c r="J2624" s="157"/>
      <c r="K2624" s="157"/>
      <c r="L2624" s="157"/>
      <c r="M2624" s="523"/>
      <c r="N2624" s="157"/>
      <c r="O2624" s="157"/>
    </row>
    <row r="2625" spans="3:15" ht="15" customHeight="1">
      <c r="C2625" s="498"/>
      <c r="D2625" s="256"/>
      <c r="E2625" s="195"/>
      <c r="F2625" s="157"/>
      <c r="G2625" s="157"/>
      <c r="H2625" s="157"/>
      <c r="I2625" s="157"/>
      <c r="J2625" s="157"/>
      <c r="K2625" s="157"/>
      <c r="L2625" s="157"/>
      <c r="M2625" s="523"/>
      <c r="N2625" s="157"/>
      <c r="O2625" s="157"/>
    </row>
    <row r="2626" spans="3:15" ht="15" customHeight="1">
      <c r="C2626" s="498"/>
      <c r="D2626" s="256"/>
      <c r="E2626" s="195"/>
      <c r="F2626" s="157"/>
      <c r="G2626" s="157"/>
      <c r="H2626" s="157"/>
      <c r="I2626" s="157"/>
      <c r="J2626" s="157"/>
      <c r="K2626" s="157"/>
      <c r="L2626" s="157"/>
      <c r="M2626" s="523"/>
      <c r="N2626" s="157"/>
      <c r="O2626" s="157"/>
    </row>
    <row r="2627" spans="3:15" ht="15" customHeight="1">
      <c r="C2627" s="498"/>
      <c r="D2627" s="256"/>
      <c r="E2627" s="195"/>
      <c r="F2627" s="157"/>
      <c r="G2627" s="157"/>
      <c r="H2627" s="157"/>
      <c r="I2627" s="157"/>
      <c r="J2627" s="157"/>
      <c r="K2627" s="157"/>
      <c r="L2627" s="157"/>
      <c r="M2627" s="523"/>
      <c r="N2627" s="157"/>
      <c r="O2627" s="157"/>
    </row>
    <row r="2628" spans="3:15" ht="15" customHeight="1">
      <c r="C2628" s="498"/>
      <c r="D2628" s="256"/>
      <c r="E2628" s="195"/>
      <c r="F2628" s="157"/>
      <c r="G2628" s="157"/>
      <c r="H2628" s="157"/>
      <c r="I2628" s="157"/>
      <c r="J2628" s="157"/>
      <c r="K2628" s="157"/>
      <c r="L2628" s="157"/>
      <c r="M2628" s="523"/>
      <c r="N2628" s="157"/>
      <c r="O2628" s="157"/>
    </row>
    <row r="2629" spans="3:15" ht="15" customHeight="1">
      <c r="C2629" s="498"/>
      <c r="D2629" s="256"/>
      <c r="E2629" s="195"/>
      <c r="F2629" s="157"/>
      <c r="G2629" s="157"/>
      <c r="H2629" s="157"/>
      <c r="I2629" s="157"/>
      <c r="J2629" s="157"/>
      <c r="K2629" s="157"/>
      <c r="L2629" s="157"/>
      <c r="M2629" s="523"/>
      <c r="N2629" s="157"/>
      <c r="O2629" s="157"/>
    </row>
    <row r="2630" spans="3:15" ht="15" customHeight="1">
      <c r="C2630" s="498"/>
      <c r="D2630" s="256"/>
      <c r="E2630" s="195"/>
      <c r="F2630" s="157"/>
      <c r="G2630" s="157"/>
      <c r="H2630" s="157"/>
      <c r="I2630" s="157"/>
      <c r="J2630" s="157"/>
      <c r="K2630" s="157"/>
      <c r="L2630" s="157"/>
      <c r="M2630" s="523"/>
      <c r="N2630" s="157"/>
      <c r="O2630" s="157"/>
    </row>
    <row r="2631" spans="3:15" ht="15" customHeight="1">
      <c r="C2631" s="498"/>
      <c r="D2631" s="256"/>
      <c r="E2631" s="195"/>
      <c r="F2631" s="157"/>
      <c r="G2631" s="157"/>
      <c r="H2631" s="157"/>
      <c r="I2631" s="157"/>
      <c r="J2631" s="157"/>
      <c r="K2631" s="157"/>
      <c r="L2631" s="157"/>
      <c r="M2631" s="523"/>
      <c r="N2631" s="157"/>
      <c r="O2631" s="157"/>
    </row>
    <row r="2632" spans="3:15" ht="15" customHeight="1">
      <c r="C2632" s="498"/>
      <c r="D2632" s="256"/>
      <c r="E2632" s="195"/>
      <c r="F2632" s="157"/>
      <c r="G2632" s="157"/>
      <c r="H2632" s="157"/>
      <c r="I2632" s="157"/>
      <c r="J2632" s="157"/>
      <c r="K2632" s="157"/>
      <c r="L2632" s="157"/>
      <c r="M2632" s="523"/>
      <c r="N2632" s="157"/>
      <c r="O2632" s="157"/>
    </row>
    <row r="2633" spans="3:15" ht="15" customHeight="1">
      <c r="C2633" s="498"/>
      <c r="D2633" s="256"/>
      <c r="E2633" s="195"/>
      <c r="F2633" s="157"/>
      <c r="G2633" s="157"/>
      <c r="H2633" s="157"/>
      <c r="I2633" s="157"/>
      <c r="J2633" s="157"/>
      <c r="K2633" s="157"/>
      <c r="L2633" s="157"/>
      <c r="M2633" s="523"/>
      <c r="N2633" s="157"/>
      <c r="O2633" s="157"/>
    </row>
    <row r="2634" spans="3:15" ht="15" customHeight="1">
      <c r="C2634" s="498"/>
      <c r="D2634" s="256"/>
      <c r="E2634" s="195"/>
      <c r="F2634" s="157"/>
      <c r="G2634" s="157"/>
      <c r="H2634" s="157"/>
      <c r="I2634" s="157"/>
      <c r="J2634" s="157"/>
      <c r="K2634" s="157"/>
      <c r="L2634" s="157"/>
      <c r="M2634" s="523"/>
      <c r="N2634" s="157"/>
      <c r="O2634" s="157"/>
    </row>
    <row r="2635" spans="3:15" ht="15" customHeight="1">
      <c r="C2635" s="498"/>
      <c r="D2635" s="256"/>
      <c r="E2635" s="195"/>
      <c r="F2635" s="157"/>
      <c r="G2635" s="157"/>
      <c r="H2635" s="157"/>
      <c r="I2635" s="157"/>
      <c r="J2635" s="157"/>
      <c r="K2635" s="157"/>
      <c r="L2635" s="157"/>
      <c r="M2635" s="523"/>
      <c r="N2635" s="157"/>
      <c r="O2635" s="157"/>
    </row>
    <row r="2636" spans="3:15" ht="15" customHeight="1">
      <c r="C2636" s="498"/>
      <c r="D2636" s="256"/>
      <c r="E2636" s="195"/>
      <c r="F2636" s="157"/>
      <c r="G2636" s="157"/>
      <c r="H2636" s="157"/>
      <c r="I2636" s="157"/>
      <c r="J2636" s="157"/>
      <c r="K2636" s="157"/>
      <c r="L2636" s="157"/>
      <c r="M2636" s="523"/>
      <c r="N2636" s="157"/>
      <c r="O2636" s="157"/>
    </row>
    <row r="2637" spans="3:15" ht="15" customHeight="1">
      <c r="C2637" s="498"/>
      <c r="D2637" s="256"/>
      <c r="E2637" s="195"/>
      <c r="F2637" s="157"/>
      <c r="G2637" s="157"/>
      <c r="H2637" s="157"/>
      <c r="I2637" s="157"/>
      <c r="J2637" s="157"/>
      <c r="K2637" s="157"/>
      <c r="L2637" s="157"/>
      <c r="M2637" s="523"/>
      <c r="N2637" s="157"/>
      <c r="O2637" s="157"/>
    </row>
    <row r="2638" spans="3:15" ht="15" customHeight="1">
      <c r="C2638" s="498"/>
      <c r="D2638" s="256"/>
      <c r="E2638" s="195"/>
      <c r="F2638" s="157"/>
      <c r="G2638" s="157"/>
      <c r="H2638" s="157"/>
      <c r="I2638" s="157"/>
      <c r="J2638" s="157"/>
      <c r="K2638" s="157"/>
      <c r="L2638" s="157"/>
      <c r="M2638" s="523"/>
      <c r="N2638" s="157"/>
      <c r="O2638" s="157"/>
    </row>
    <row r="2639" spans="3:15" ht="15" customHeight="1">
      <c r="C2639" s="498"/>
      <c r="D2639" s="256"/>
      <c r="E2639" s="195"/>
      <c r="F2639" s="157"/>
      <c r="G2639" s="157"/>
      <c r="H2639" s="157"/>
      <c r="I2639" s="157"/>
      <c r="J2639" s="157"/>
      <c r="K2639" s="157"/>
      <c r="L2639" s="157"/>
      <c r="M2639" s="523"/>
      <c r="N2639" s="157"/>
      <c r="O2639" s="157"/>
    </row>
    <row r="2640" spans="3:15" ht="15" customHeight="1">
      <c r="C2640" s="498"/>
      <c r="D2640" s="256"/>
      <c r="E2640" s="195"/>
      <c r="F2640" s="157"/>
      <c r="G2640" s="157"/>
      <c r="H2640" s="157"/>
      <c r="I2640" s="157"/>
      <c r="J2640" s="157"/>
      <c r="K2640" s="157"/>
      <c r="L2640" s="157"/>
      <c r="M2640" s="523"/>
      <c r="N2640" s="157"/>
      <c r="O2640" s="157"/>
    </row>
    <row r="2641" spans="3:15" ht="15" customHeight="1">
      <c r="C2641" s="498"/>
      <c r="D2641" s="256"/>
      <c r="E2641" s="195"/>
      <c r="F2641" s="157"/>
      <c r="G2641" s="157"/>
      <c r="H2641" s="157"/>
      <c r="I2641" s="157"/>
      <c r="J2641" s="157"/>
      <c r="K2641" s="157"/>
      <c r="L2641" s="157"/>
      <c r="M2641" s="523"/>
      <c r="N2641" s="157"/>
      <c r="O2641" s="157"/>
    </row>
    <row r="2642" spans="3:15" ht="15" customHeight="1">
      <c r="C2642" s="498"/>
      <c r="D2642" s="256"/>
      <c r="E2642" s="195"/>
      <c r="F2642" s="157"/>
      <c r="G2642" s="157"/>
      <c r="H2642" s="157"/>
      <c r="I2642" s="157"/>
      <c r="J2642" s="157"/>
      <c r="K2642" s="157"/>
      <c r="L2642" s="157"/>
      <c r="M2642" s="523"/>
      <c r="N2642" s="157"/>
      <c r="O2642" s="157"/>
    </row>
    <row r="2643" spans="3:15" ht="15" customHeight="1">
      <c r="C2643" s="498"/>
      <c r="D2643" s="256"/>
      <c r="E2643" s="195"/>
      <c r="F2643" s="157"/>
      <c r="G2643" s="157"/>
      <c r="H2643" s="157"/>
      <c r="I2643" s="157"/>
      <c r="J2643" s="157"/>
      <c r="K2643" s="157"/>
      <c r="L2643" s="157"/>
      <c r="M2643" s="523"/>
      <c r="N2643" s="157"/>
      <c r="O2643" s="157"/>
    </row>
    <row r="2644" spans="3:15" ht="15" customHeight="1">
      <c r="C2644" s="498"/>
      <c r="D2644" s="256"/>
      <c r="E2644" s="195"/>
      <c r="F2644" s="157"/>
      <c r="G2644" s="157"/>
      <c r="H2644" s="157"/>
      <c r="I2644" s="157"/>
      <c r="J2644" s="157"/>
      <c r="K2644" s="157"/>
      <c r="L2644" s="157"/>
      <c r="M2644" s="523"/>
      <c r="N2644" s="157"/>
      <c r="O2644" s="157"/>
    </row>
    <row r="2645" spans="3:15" ht="15" customHeight="1">
      <c r="C2645" s="498"/>
      <c r="D2645" s="256"/>
      <c r="E2645" s="195"/>
      <c r="F2645" s="157"/>
      <c r="G2645" s="157"/>
      <c r="H2645" s="157"/>
      <c r="I2645" s="157"/>
      <c r="J2645" s="157"/>
      <c r="K2645" s="157"/>
      <c r="L2645" s="157"/>
      <c r="M2645" s="523"/>
      <c r="N2645" s="157"/>
      <c r="O2645" s="157"/>
    </row>
    <row r="2646" spans="3:15" ht="15" customHeight="1">
      <c r="C2646" s="498"/>
      <c r="D2646" s="256"/>
      <c r="E2646" s="195"/>
      <c r="F2646" s="157"/>
      <c r="G2646" s="157"/>
      <c r="H2646" s="157"/>
      <c r="I2646" s="157"/>
      <c r="J2646" s="157"/>
      <c r="K2646" s="157"/>
      <c r="L2646" s="157"/>
      <c r="M2646" s="523"/>
      <c r="N2646" s="157"/>
      <c r="O2646" s="157"/>
    </row>
    <row r="2647" spans="3:15" ht="15" customHeight="1">
      <c r="C2647" s="498"/>
      <c r="D2647" s="256"/>
      <c r="E2647" s="195"/>
      <c r="F2647" s="157"/>
      <c r="G2647" s="157"/>
      <c r="H2647" s="157"/>
      <c r="I2647" s="157"/>
      <c r="J2647" s="157"/>
      <c r="K2647" s="157"/>
      <c r="L2647" s="157"/>
      <c r="M2647" s="523"/>
      <c r="N2647" s="157"/>
      <c r="O2647" s="157"/>
    </row>
    <row r="2648" spans="3:15" ht="15" customHeight="1">
      <c r="C2648" s="498"/>
      <c r="D2648" s="256"/>
      <c r="E2648" s="195"/>
      <c r="F2648" s="157"/>
      <c r="G2648" s="157"/>
      <c r="H2648" s="157"/>
      <c r="I2648" s="157"/>
      <c r="J2648" s="157"/>
      <c r="K2648" s="157"/>
      <c r="L2648" s="157"/>
      <c r="M2648" s="523"/>
      <c r="N2648" s="157"/>
      <c r="O2648" s="157"/>
    </row>
    <row r="2649" spans="3:15" ht="15" customHeight="1">
      <c r="C2649" s="498"/>
      <c r="D2649" s="256"/>
      <c r="E2649" s="195"/>
      <c r="F2649" s="157"/>
      <c r="G2649" s="157"/>
      <c r="H2649" s="157"/>
      <c r="I2649" s="157"/>
      <c r="J2649" s="157"/>
      <c r="K2649" s="157"/>
      <c r="L2649" s="157"/>
      <c r="M2649" s="523"/>
      <c r="N2649" s="157"/>
      <c r="O2649" s="157"/>
    </row>
    <row r="2650" spans="3:15" ht="15" customHeight="1">
      <c r="C2650" s="498"/>
      <c r="D2650" s="256"/>
      <c r="E2650" s="195"/>
      <c r="F2650" s="157"/>
      <c r="G2650" s="157"/>
      <c r="H2650" s="157"/>
      <c r="I2650" s="157"/>
      <c r="J2650" s="157"/>
      <c r="K2650" s="157"/>
      <c r="L2650" s="157"/>
      <c r="M2650" s="523"/>
      <c r="N2650" s="157"/>
      <c r="O2650" s="157"/>
    </row>
    <row r="2651" spans="3:15" ht="15" customHeight="1">
      <c r="C2651" s="498"/>
      <c r="D2651" s="256"/>
      <c r="E2651" s="195"/>
      <c r="F2651" s="157"/>
      <c r="G2651" s="157"/>
      <c r="H2651" s="157"/>
      <c r="I2651" s="157"/>
      <c r="J2651" s="157"/>
      <c r="K2651" s="157"/>
      <c r="L2651" s="157"/>
      <c r="M2651" s="523"/>
      <c r="N2651" s="157"/>
      <c r="O2651" s="157"/>
    </row>
    <row r="2652" spans="3:15" ht="15" customHeight="1">
      <c r="C2652" s="498"/>
      <c r="D2652" s="256"/>
      <c r="E2652" s="195"/>
      <c r="F2652" s="157"/>
      <c r="G2652" s="157"/>
      <c r="H2652" s="157"/>
      <c r="I2652" s="157"/>
      <c r="J2652" s="157"/>
      <c r="K2652" s="157"/>
      <c r="L2652" s="157"/>
      <c r="M2652" s="523"/>
      <c r="N2652" s="157"/>
      <c r="O2652" s="157"/>
    </row>
    <row r="2653" spans="3:15" ht="15" customHeight="1">
      <c r="C2653" s="498"/>
      <c r="D2653" s="256"/>
      <c r="E2653" s="195"/>
      <c r="F2653" s="157"/>
      <c r="G2653" s="157"/>
      <c r="H2653" s="157"/>
      <c r="I2653" s="157"/>
      <c r="J2653" s="157"/>
      <c r="K2653" s="157"/>
      <c r="L2653" s="157"/>
      <c r="M2653" s="523"/>
      <c r="N2653" s="157"/>
      <c r="O2653" s="157"/>
    </row>
    <row r="2654" spans="3:15" ht="15" customHeight="1">
      <c r="C2654" s="498"/>
      <c r="D2654" s="256"/>
      <c r="E2654" s="195"/>
      <c r="F2654" s="157"/>
      <c r="G2654" s="157"/>
      <c r="H2654" s="157"/>
      <c r="I2654" s="157"/>
      <c r="J2654" s="157"/>
      <c r="K2654" s="157"/>
      <c r="L2654" s="157"/>
      <c r="M2654" s="523"/>
      <c r="N2654" s="157"/>
      <c r="O2654" s="157"/>
    </row>
    <row r="2655" spans="3:15" ht="15" customHeight="1">
      <c r="C2655" s="498"/>
      <c r="D2655" s="256"/>
      <c r="E2655" s="195"/>
      <c r="F2655" s="157"/>
      <c r="G2655" s="157"/>
      <c r="H2655" s="157"/>
      <c r="I2655" s="157"/>
      <c r="J2655" s="157"/>
      <c r="K2655" s="157"/>
      <c r="L2655" s="157"/>
      <c r="M2655" s="523"/>
      <c r="N2655" s="157"/>
      <c r="O2655" s="157"/>
    </row>
    <row r="2656" spans="3:15" ht="15" customHeight="1">
      <c r="C2656" s="498"/>
      <c r="D2656" s="256"/>
      <c r="E2656" s="195"/>
      <c r="F2656" s="157"/>
      <c r="G2656" s="157"/>
      <c r="H2656" s="157"/>
      <c r="I2656" s="157"/>
      <c r="J2656" s="157"/>
      <c r="K2656" s="157"/>
      <c r="L2656" s="157"/>
      <c r="M2656" s="523"/>
      <c r="N2656" s="157"/>
      <c r="O2656" s="157"/>
    </row>
    <row r="2657" spans="3:15" ht="15" customHeight="1">
      <c r="C2657" s="498"/>
      <c r="D2657" s="256"/>
      <c r="E2657" s="195"/>
      <c r="F2657" s="157"/>
      <c r="G2657" s="157"/>
      <c r="H2657" s="157"/>
      <c r="I2657" s="157"/>
      <c r="J2657" s="157"/>
      <c r="K2657" s="157"/>
      <c r="L2657" s="157"/>
      <c r="M2657" s="523"/>
      <c r="N2657" s="157"/>
      <c r="O2657" s="157"/>
    </row>
    <row r="2658" spans="3:15" ht="15" customHeight="1">
      <c r="C2658" s="498"/>
      <c r="D2658" s="256"/>
      <c r="E2658" s="195"/>
      <c r="F2658" s="157"/>
      <c r="G2658" s="157"/>
      <c r="H2658" s="157"/>
      <c r="I2658" s="157"/>
      <c r="J2658" s="157"/>
      <c r="K2658" s="157"/>
      <c r="L2658" s="157"/>
      <c r="M2658" s="523"/>
      <c r="N2658" s="157"/>
      <c r="O2658" s="157"/>
    </row>
    <row r="2659" spans="3:15" ht="15" customHeight="1">
      <c r="C2659" s="498"/>
      <c r="D2659" s="256"/>
      <c r="E2659" s="195"/>
      <c r="F2659" s="157"/>
      <c r="G2659" s="157"/>
      <c r="H2659" s="157"/>
      <c r="I2659" s="157"/>
      <c r="J2659" s="157"/>
      <c r="K2659" s="157"/>
      <c r="L2659" s="157"/>
      <c r="M2659" s="523"/>
      <c r="N2659" s="157"/>
      <c r="O2659" s="157"/>
    </row>
    <row r="2660" spans="3:15" ht="15" customHeight="1">
      <c r="C2660" s="498"/>
      <c r="D2660" s="256"/>
      <c r="E2660" s="195"/>
      <c r="F2660" s="157"/>
      <c r="G2660" s="157"/>
      <c r="H2660" s="157"/>
      <c r="I2660" s="157"/>
      <c r="J2660" s="157"/>
      <c r="K2660" s="157"/>
      <c r="L2660" s="157"/>
      <c r="M2660" s="523"/>
      <c r="N2660" s="157"/>
      <c r="O2660" s="157"/>
    </row>
    <row r="2661" spans="3:15" ht="15" customHeight="1">
      <c r="C2661" s="498"/>
      <c r="D2661" s="256"/>
      <c r="E2661" s="195"/>
      <c r="F2661" s="157"/>
      <c r="G2661" s="157"/>
      <c r="H2661" s="157"/>
      <c r="I2661" s="157"/>
      <c r="J2661" s="157"/>
      <c r="K2661" s="157"/>
      <c r="L2661" s="157"/>
      <c r="M2661" s="523"/>
      <c r="N2661" s="157"/>
      <c r="O2661" s="157"/>
    </row>
    <row r="2662" spans="3:15" ht="15" customHeight="1">
      <c r="C2662" s="498"/>
      <c r="D2662" s="256"/>
      <c r="E2662" s="195"/>
      <c r="F2662" s="157"/>
      <c r="G2662" s="157"/>
      <c r="H2662" s="157"/>
      <c r="I2662" s="157"/>
      <c r="J2662" s="157"/>
      <c r="K2662" s="157"/>
      <c r="L2662" s="157"/>
      <c r="M2662" s="523"/>
      <c r="N2662" s="157"/>
      <c r="O2662" s="157"/>
    </row>
    <row r="2663" spans="3:15" ht="15" customHeight="1">
      <c r="C2663" s="498"/>
      <c r="D2663" s="256"/>
      <c r="E2663" s="195"/>
      <c r="F2663" s="157"/>
      <c r="G2663" s="157"/>
      <c r="H2663" s="157"/>
      <c r="I2663" s="157"/>
      <c r="J2663" s="157"/>
      <c r="K2663" s="157"/>
      <c r="L2663" s="157"/>
      <c r="M2663" s="523"/>
      <c r="N2663" s="157"/>
      <c r="O2663" s="157"/>
    </row>
    <row r="2664" spans="3:15" ht="15" customHeight="1">
      <c r="C2664" s="498"/>
      <c r="D2664" s="256"/>
      <c r="E2664" s="195"/>
      <c r="F2664" s="157"/>
      <c r="G2664" s="157"/>
      <c r="H2664" s="157"/>
      <c r="I2664" s="157"/>
      <c r="J2664" s="157"/>
      <c r="K2664" s="157"/>
      <c r="L2664" s="157"/>
      <c r="M2664" s="523"/>
      <c r="N2664" s="157"/>
      <c r="O2664" s="157"/>
    </row>
    <row r="2665" spans="3:15" ht="15" customHeight="1">
      <c r="C2665" s="498"/>
      <c r="D2665" s="256"/>
      <c r="E2665" s="195"/>
      <c r="F2665" s="157"/>
      <c r="G2665" s="157"/>
      <c r="H2665" s="157"/>
      <c r="I2665" s="157"/>
      <c r="J2665" s="157"/>
      <c r="K2665" s="157"/>
      <c r="L2665" s="157"/>
      <c r="M2665" s="523"/>
      <c r="N2665" s="157"/>
      <c r="O2665" s="157"/>
    </row>
    <row r="2666" spans="3:15" ht="15" customHeight="1">
      <c r="C2666" s="498"/>
      <c r="D2666" s="256"/>
      <c r="E2666" s="195"/>
      <c r="F2666" s="157"/>
      <c r="G2666" s="157"/>
      <c r="H2666" s="157"/>
      <c r="I2666" s="157"/>
      <c r="J2666" s="157"/>
      <c r="K2666" s="157"/>
      <c r="L2666" s="157"/>
      <c r="M2666" s="523"/>
      <c r="N2666" s="157"/>
      <c r="O2666" s="157"/>
    </row>
    <row r="2667" spans="3:15" ht="15" customHeight="1">
      <c r="C2667" s="498"/>
      <c r="D2667" s="256"/>
      <c r="E2667" s="195"/>
      <c r="F2667" s="157"/>
      <c r="G2667" s="157"/>
      <c r="H2667" s="157"/>
      <c r="I2667" s="157"/>
      <c r="J2667" s="157"/>
      <c r="K2667" s="157"/>
      <c r="L2667" s="157"/>
      <c r="M2667" s="523"/>
      <c r="N2667" s="157"/>
      <c r="O2667" s="157"/>
    </row>
    <row r="2668" spans="3:15" ht="15" customHeight="1">
      <c r="C2668" s="498"/>
      <c r="D2668" s="256"/>
      <c r="E2668" s="195"/>
      <c r="F2668" s="157"/>
      <c r="G2668" s="157"/>
      <c r="H2668" s="157"/>
      <c r="I2668" s="157"/>
      <c r="J2668" s="157"/>
      <c r="K2668" s="157"/>
      <c r="L2668" s="157"/>
      <c r="M2668" s="523"/>
      <c r="N2668" s="157"/>
      <c r="O2668" s="157"/>
    </row>
    <row r="2669" spans="3:15" ht="15" customHeight="1">
      <c r="C2669" s="498"/>
      <c r="D2669" s="256"/>
      <c r="E2669" s="195"/>
      <c r="F2669" s="157"/>
      <c r="G2669" s="157"/>
      <c r="H2669" s="157"/>
      <c r="I2669" s="157"/>
      <c r="J2669" s="157"/>
      <c r="K2669" s="157"/>
      <c r="L2669" s="157"/>
      <c r="M2669" s="523"/>
      <c r="N2669" s="157"/>
      <c r="O2669" s="157"/>
    </row>
    <row r="2670" spans="3:15" ht="15" customHeight="1">
      <c r="C2670" s="498"/>
      <c r="D2670" s="256"/>
      <c r="E2670" s="195"/>
      <c r="F2670" s="157"/>
      <c r="G2670" s="157"/>
      <c r="H2670" s="157"/>
      <c r="I2670" s="157"/>
      <c r="J2670" s="157"/>
      <c r="K2670" s="157"/>
      <c r="L2670" s="157"/>
      <c r="M2670" s="523"/>
      <c r="N2670" s="157"/>
      <c r="O2670" s="157"/>
    </row>
    <row r="2671" spans="3:15" ht="15" customHeight="1">
      <c r="C2671" s="498"/>
      <c r="D2671" s="256"/>
      <c r="E2671" s="195"/>
      <c r="F2671" s="157"/>
      <c r="G2671" s="157"/>
      <c r="H2671" s="157"/>
      <c r="I2671" s="157"/>
      <c r="J2671" s="157"/>
      <c r="K2671" s="157"/>
      <c r="L2671" s="157"/>
      <c r="M2671" s="523"/>
      <c r="N2671" s="157"/>
      <c r="O2671" s="157"/>
    </row>
    <row r="2672" spans="3:15" ht="15" customHeight="1">
      <c r="C2672" s="498"/>
      <c r="D2672" s="256"/>
      <c r="E2672" s="195"/>
      <c r="F2672" s="157"/>
      <c r="G2672" s="157"/>
      <c r="H2672" s="157"/>
      <c r="I2672" s="157"/>
      <c r="J2672" s="157"/>
      <c r="K2672" s="157"/>
      <c r="L2672" s="157"/>
      <c r="M2672" s="523"/>
      <c r="N2672" s="157"/>
      <c r="O2672" s="157"/>
    </row>
    <row r="2673" spans="3:15" ht="15" customHeight="1">
      <c r="C2673" s="498"/>
      <c r="D2673" s="256"/>
      <c r="E2673" s="195"/>
      <c r="F2673" s="157"/>
      <c r="G2673" s="157"/>
      <c r="H2673" s="157"/>
      <c r="I2673" s="157"/>
      <c r="J2673" s="157"/>
      <c r="K2673" s="157"/>
      <c r="L2673" s="157"/>
      <c r="M2673" s="523"/>
      <c r="N2673" s="157"/>
      <c r="O2673" s="157"/>
    </row>
    <row r="2674" spans="3:15" ht="15" customHeight="1">
      <c r="C2674" s="498"/>
      <c r="D2674" s="256"/>
      <c r="E2674" s="195"/>
      <c r="F2674" s="157"/>
      <c r="G2674" s="157"/>
      <c r="H2674" s="157"/>
      <c r="I2674" s="157"/>
      <c r="J2674" s="157"/>
      <c r="K2674" s="157"/>
      <c r="L2674" s="157"/>
      <c r="M2674" s="523"/>
      <c r="N2674" s="157"/>
      <c r="O2674" s="157"/>
    </row>
    <row r="2675" spans="3:15" ht="15" customHeight="1">
      <c r="C2675" s="498"/>
      <c r="D2675" s="256"/>
      <c r="E2675" s="195"/>
      <c r="F2675" s="157"/>
      <c r="G2675" s="157"/>
      <c r="H2675" s="157"/>
      <c r="I2675" s="157"/>
      <c r="J2675" s="157"/>
      <c r="K2675" s="157"/>
      <c r="L2675" s="157"/>
      <c r="M2675" s="523"/>
      <c r="N2675" s="157"/>
      <c r="O2675" s="157"/>
    </row>
    <row r="2676" spans="3:15" ht="15" customHeight="1">
      <c r="C2676" s="498"/>
      <c r="D2676" s="256"/>
      <c r="E2676" s="195"/>
      <c r="F2676" s="157"/>
      <c r="G2676" s="157"/>
      <c r="H2676" s="157"/>
      <c r="I2676" s="157"/>
      <c r="J2676" s="157"/>
      <c r="K2676" s="157"/>
      <c r="L2676" s="157"/>
      <c r="M2676" s="523"/>
      <c r="N2676" s="157"/>
      <c r="O2676" s="157"/>
    </row>
    <row r="2677" spans="3:15" ht="15" customHeight="1">
      <c r="C2677" s="498"/>
      <c r="D2677" s="256"/>
      <c r="E2677" s="195"/>
      <c r="F2677" s="157"/>
      <c r="G2677" s="157"/>
      <c r="H2677" s="157"/>
      <c r="I2677" s="157"/>
      <c r="J2677" s="157"/>
      <c r="K2677" s="157"/>
      <c r="L2677" s="157"/>
      <c r="M2677" s="523"/>
      <c r="N2677" s="157"/>
      <c r="O2677" s="157"/>
    </row>
    <row r="2678" spans="3:15" ht="15" customHeight="1">
      <c r="C2678" s="498"/>
      <c r="D2678" s="256"/>
      <c r="E2678" s="195"/>
      <c r="F2678" s="157"/>
      <c r="G2678" s="157"/>
      <c r="H2678" s="157"/>
      <c r="I2678" s="157"/>
      <c r="J2678" s="157"/>
      <c r="K2678" s="157"/>
      <c r="L2678" s="157"/>
      <c r="M2678" s="523"/>
      <c r="N2678" s="157"/>
      <c r="O2678" s="157"/>
    </row>
    <row r="2679" spans="3:15" ht="15" customHeight="1">
      <c r="C2679" s="498"/>
      <c r="D2679" s="256"/>
      <c r="E2679" s="195"/>
      <c r="F2679" s="157"/>
      <c r="G2679" s="157"/>
      <c r="H2679" s="157"/>
      <c r="I2679" s="157"/>
      <c r="J2679" s="157"/>
      <c r="K2679" s="157"/>
      <c r="L2679" s="157"/>
      <c r="M2679" s="523"/>
      <c r="N2679" s="157"/>
      <c r="O2679" s="157"/>
    </row>
    <row r="2680" spans="3:15" ht="15" customHeight="1">
      <c r="C2680" s="498"/>
      <c r="D2680" s="256"/>
      <c r="E2680" s="195"/>
      <c r="F2680" s="157"/>
      <c r="G2680" s="157"/>
      <c r="H2680" s="157"/>
      <c r="I2680" s="157"/>
      <c r="J2680" s="157"/>
      <c r="K2680" s="157"/>
      <c r="L2680" s="157"/>
      <c r="M2680" s="523"/>
      <c r="N2680" s="157"/>
      <c r="O2680" s="157"/>
    </row>
    <row r="2681" spans="3:15" ht="15" customHeight="1">
      <c r="C2681" s="498"/>
      <c r="D2681" s="256"/>
      <c r="E2681" s="195"/>
      <c r="F2681" s="157"/>
      <c r="G2681" s="157"/>
      <c r="H2681" s="157"/>
      <c r="I2681" s="157"/>
      <c r="J2681" s="157"/>
      <c r="K2681" s="157"/>
      <c r="L2681" s="157"/>
      <c r="M2681" s="523"/>
      <c r="N2681" s="157"/>
      <c r="O2681" s="157"/>
    </row>
    <row r="2682" spans="3:15" ht="15" customHeight="1">
      <c r="C2682" s="498"/>
      <c r="D2682" s="256"/>
      <c r="E2682" s="195"/>
      <c r="F2682" s="157"/>
      <c r="G2682" s="157"/>
      <c r="H2682" s="157"/>
      <c r="I2682" s="157"/>
      <c r="J2682" s="157"/>
      <c r="K2682" s="157"/>
      <c r="L2682" s="157"/>
      <c r="M2682" s="523"/>
      <c r="N2682" s="157"/>
      <c r="O2682" s="157"/>
    </row>
    <row r="2683" spans="3:15" ht="15" customHeight="1">
      <c r="C2683" s="498"/>
      <c r="D2683" s="256"/>
      <c r="E2683" s="195"/>
      <c r="F2683" s="157"/>
      <c r="G2683" s="157"/>
      <c r="H2683" s="157"/>
      <c r="I2683" s="157"/>
      <c r="J2683" s="157"/>
      <c r="K2683" s="157"/>
      <c r="L2683" s="157"/>
      <c r="M2683" s="523"/>
      <c r="N2683" s="157"/>
      <c r="O2683" s="157"/>
    </row>
    <row r="2684" spans="3:15" ht="15" customHeight="1">
      <c r="C2684" s="498"/>
      <c r="D2684" s="256"/>
      <c r="E2684" s="195"/>
      <c r="F2684" s="157"/>
      <c r="G2684" s="157"/>
      <c r="H2684" s="157"/>
      <c r="I2684" s="157"/>
      <c r="J2684" s="157"/>
      <c r="K2684" s="157"/>
      <c r="L2684" s="157"/>
      <c r="M2684" s="523"/>
      <c r="N2684" s="157"/>
      <c r="O2684" s="157"/>
    </row>
    <row r="2685" spans="3:15" ht="15" customHeight="1">
      <c r="C2685" s="498"/>
      <c r="D2685" s="256"/>
      <c r="E2685" s="195"/>
      <c r="F2685" s="157"/>
      <c r="G2685" s="157"/>
      <c r="H2685" s="157"/>
      <c r="I2685" s="157"/>
      <c r="J2685" s="157"/>
      <c r="K2685" s="157"/>
      <c r="L2685" s="157"/>
      <c r="M2685" s="523"/>
      <c r="N2685" s="157"/>
      <c r="O2685" s="157"/>
    </row>
    <row r="2686" spans="3:15" ht="15" customHeight="1">
      <c r="C2686" s="498"/>
      <c r="D2686" s="256"/>
      <c r="E2686" s="195"/>
      <c r="F2686" s="157"/>
      <c r="G2686" s="157"/>
      <c r="H2686" s="157"/>
      <c r="I2686" s="157"/>
      <c r="J2686" s="157"/>
      <c r="K2686" s="157"/>
      <c r="L2686" s="157"/>
      <c r="M2686" s="523"/>
      <c r="N2686" s="157"/>
      <c r="O2686" s="157"/>
    </row>
    <row r="2687" spans="3:15" ht="15" customHeight="1">
      <c r="C2687" s="498"/>
      <c r="D2687" s="256"/>
      <c r="E2687" s="195"/>
      <c r="F2687" s="157"/>
      <c r="G2687" s="157"/>
      <c r="H2687" s="157"/>
      <c r="I2687" s="157"/>
      <c r="J2687" s="157"/>
      <c r="K2687" s="157"/>
      <c r="L2687" s="157"/>
      <c r="M2687" s="523"/>
      <c r="N2687" s="157"/>
      <c r="O2687" s="157"/>
    </row>
    <row r="2688" spans="3:15" ht="15" customHeight="1">
      <c r="C2688" s="498"/>
      <c r="D2688" s="256"/>
      <c r="E2688" s="195"/>
      <c r="F2688" s="157"/>
      <c r="G2688" s="157"/>
      <c r="H2688" s="157"/>
      <c r="I2688" s="157"/>
      <c r="J2688" s="157"/>
      <c r="K2688" s="157"/>
      <c r="L2688" s="157"/>
      <c r="M2688" s="523"/>
      <c r="N2688" s="157"/>
      <c r="O2688" s="157"/>
    </row>
    <row r="2689" spans="3:15" ht="15" customHeight="1">
      <c r="C2689" s="498"/>
      <c r="D2689" s="256"/>
      <c r="E2689" s="195"/>
      <c r="F2689" s="157"/>
      <c r="G2689" s="157"/>
      <c r="H2689" s="157"/>
      <c r="I2689" s="157"/>
      <c r="J2689" s="157"/>
      <c r="K2689" s="157"/>
      <c r="L2689" s="157"/>
      <c r="M2689" s="523"/>
      <c r="N2689" s="157"/>
      <c r="O2689" s="157"/>
    </row>
    <row r="2690" spans="3:15" ht="15" customHeight="1">
      <c r="C2690" s="498"/>
      <c r="D2690" s="256"/>
      <c r="E2690" s="195"/>
      <c r="F2690" s="157"/>
      <c r="G2690" s="157"/>
      <c r="H2690" s="157"/>
      <c r="I2690" s="157"/>
      <c r="J2690" s="157"/>
      <c r="K2690" s="157"/>
      <c r="L2690" s="157"/>
      <c r="M2690" s="523"/>
      <c r="N2690" s="157"/>
      <c r="O2690" s="157"/>
    </row>
    <row r="2691" spans="3:15" ht="15" customHeight="1">
      <c r="C2691" s="498"/>
      <c r="D2691" s="256"/>
      <c r="E2691" s="195"/>
      <c r="F2691" s="157"/>
      <c r="G2691" s="157"/>
      <c r="H2691" s="157"/>
      <c r="I2691" s="157"/>
      <c r="J2691" s="157"/>
      <c r="K2691" s="157"/>
      <c r="L2691" s="157"/>
      <c r="M2691" s="523"/>
      <c r="N2691" s="157"/>
      <c r="O2691" s="157"/>
    </row>
    <row r="2692" spans="3:15" ht="15" customHeight="1">
      <c r="C2692" s="498"/>
      <c r="D2692" s="256"/>
      <c r="E2692" s="195"/>
      <c r="F2692" s="157"/>
      <c r="G2692" s="157"/>
      <c r="H2692" s="157"/>
      <c r="I2692" s="157"/>
      <c r="J2692" s="157"/>
      <c r="K2692" s="157"/>
      <c r="L2692" s="157"/>
      <c r="M2692" s="523"/>
      <c r="N2692" s="157"/>
      <c r="O2692" s="157"/>
    </row>
    <row r="2693" spans="3:15" ht="15" customHeight="1">
      <c r="C2693" s="498"/>
      <c r="D2693" s="256"/>
      <c r="E2693" s="195"/>
      <c r="F2693" s="157"/>
      <c r="G2693" s="157"/>
      <c r="H2693" s="157"/>
      <c r="I2693" s="157"/>
      <c r="J2693" s="157"/>
      <c r="K2693" s="157"/>
      <c r="L2693" s="157"/>
      <c r="M2693" s="523"/>
      <c r="N2693" s="157"/>
      <c r="O2693" s="157"/>
    </row>
    <row r="2694" spans="3:15" ht="15" customHeight="1">
      <c r="C2694" s="498"/>
      <c r="D2694" s="256"/>
      <c r="E2694" s="195"/>
      <c r="F2694" s="157"/>
      <c r="G2694" s="157"/>
      <c r="H2694" s="157"/>
      <c r="I2694" s="157"/>
      <c r="J2694" s="157"/>
      <c r="K2694" s="157"/>
      <c r="L2694" s="157"/>
      <c r="M2694" s="523"/>
      <c r="N2694" s="157"/>
      <c r="O2694" s="157"/>
    </row>
    <row r="2695" spans="3:15" ht="15" customHeight="1">
      <c r="C2695" s="498"/>
      <c r="D2695" s="256"/>
      <c r="E2695" s="195"/>
      <c r="F2695" s="157"/>
      <c r="G2695" s="157"/>
      <c r="H2695" s="157"/>
      <c r="I2695" s="157"/>
      <c r="J2695" s="157"/>
      <c r="K2695" s="157"/>
      <c r="L2695" s="157"/>
      <c r="M2695" s="523"/>
      <c r="N2695" s="157"/>
      <c r="O2695" s="157"/>
    </row>
    <row r="2696" spans="3:15" ht="15" customHeight="1">
      <c r="C2696" s="498"/>
      <c r="D2696" s="256"/>
      <c r="E2696" s="195"/>
      <c r="F2696" s="157"/>
      <c r="G2696" s="157"/>
      <c r="H2696" s="157"/>
      <c r="I2696" s="157"/>
      <c r="J2696" s="157"/>
      <c r="K2696" s="157"/>
      <c r="L2696" s="157"/>
      <c r="M2696" s="523"/>
      <c r="N2696" s="157"/>
      <c r="O2696" s="157"/>
    </row>
    <row r="2697" spans="3:15" ht="15" customHeight="1">
      <c r="C2697" s="498"/>
      <c r="D2697" s="256"/>
      <c r="E2697" s="195"/>
      <c r="F2697" s="157"/>
      <c r="G2697" s="157"/>
      <c r="H2697" s="157"/>
      <c r="I2697" s="157"/>
      <c r="J2697" s="157"/>
      <c r="K2697" s="157"/>
      <c r="L2697" s="157"/>
      <c r="M2697" s="523"/>
      <c r="N2697" s="157"/>
      <c r="O2697" s="157"/>
    </row>
    <row r="2698" spans="3:15" ht="15" customHeight="1">
      <c r="C2698" s="498"/>
      <c r="D2698" s="256"/>
      <c r="E2698" s="195"/>
      <c r="F2698" s="157"/>
      <c r="G2698" s="157"/>
      <c r="H2698" s="157"/>
      <c r="I2698" s="157"/>
      <c r="J2698" s="157"/>
      <c r="K2698" s="157"/>
      <c r="L2698" s="157"/>
      <c r="M2698" s="523"/>
      <c r="N2698" s="157"/>
      <c r="O2698" s="157"/>
    </row>
    <row r="2699" spans="3:15" ht="15" customHeight="1">
      <c r="C2699" s="498"/>
      <c r="D2699" s="256"/>
      <c r="E2699" s="195"/>
      <c r="F2699" s="157"/>
      <c r="G2699" s="157"/>
      <c r="H2699" s="157"/>
      <c r="I2699" s="157"/>
      <c r="J2699" s="157"/>
      <c r="K2699" s="157"/>
      <c r="L2699" s="157"/>
      <c r="M2699" s="523"/>
      <c r="N2699" s="157"/>
      <c r="O2699" s="157"/>
    </row>
    <row r="2700" spans="3:15" ht="15" customHeight="1">
      <c r="C2700" s="498"/>
      <c r="D2700" s="256"/>
      <c r="E2700" s="195"/>
      <c r="F2700" s="157"/>
      <c r="G2700" s="157"/>
      <c r="H2700" s="157"/>
      <c r="I2700" s="157"/>
      <c r="J2700" s="157"/>
      <c r="K2700" s="157"/>
      <c r="L2700" s="157"/>
      <c r="M2700" s="523"/>
      <c r="N2700" s="157"/>
      <c r="O2700" s="157"/>
    </row>
    <row r="2701" spans="3:15" ht="15" customHeight="1">
      <c r="C2701" s="498"/>
      <c r="D2701" s="256"/>
      <c r="E2701" s="195"/>
      <c r="F2701" s="157"/>
      <c r="G2701" s="157"/>
      <c r="H2701" s="157"/>
      <c r="I2701" s="157"/>
      <c r="J2701" s="157"/>
      <c r="K2701" s="157"/>
      <c r="L2701" s="157"/>
      <c r="M2701" s="523"/>
      <c r="N2701" s="157"/>
      <c r="O2701" s="157"/>
    </row>
    <row r="2702" spans="3:15" ht="15" customHeight="1">
      <c r="C2702" s="498"/>
      <c r="D2702" s="256"/>
      <c r="E2702" s="195"/>
      <c r="F2702" s="157"/>
      <c r="G2702" s="157"/>
      <c r="H2702" s="157"/>
      <c r="I2702" s="157"/>
      <c r="J2702" s="157"/>
      <c r="K2702" s="157"/>
      <c r="L2702" s="157"/>
      <c r="M2702" s="523"/>
      <c r="N2702" s="157"/>
      <c r="O2702" s="157"/>
    </row>
    <row r="2703" spans="3:15" ht="15" customHeight="1">
      <c r="C2703" s="498"/>
      <c r="D2703" s="256"/>
      <c r="E2703" s="195"/>
      <c r="F2703" s="157"/>
      <c r="G2703" s="157"/>
      <c r="H2703" s="157"/>
      <c r="I2703" s="157"/>
      <c r="J2703" s="157"/>
      <c r="K2703" s="157"/>
      <c r="L2703" s="157"/>
      <c r="M2703" s="523"/>
      <c r="N2703" s="157"/>
      <c r="O2703" s="157"/>
    </row>
    <row r="2704" spans="3:15" ht="15" customHeight="1">
      <c r="C2704" s="498"/>
      <c r="D2704" s="256"/>
      <c r="E2704" s="195"/>
      <c r="F2704" s="157"/>
      <c r="G2704" s="157"/>
      <c r="H2704" s="157"/>
      <c r="I2704" s="157"/>
      <c r="J2704" s="157"/>
      <c r="K2704" s="157"/>
      <c r="L2704" s="157"/>
      <c r="M2704" s="523"/>
      <c r="N2704" s="157"/>
      <c r="O2704" s="157"/>
    </row>
    <row r="2705" spans="3:15" ht="15" customHeight="1">
      <c r="C2705" s="498"/>
      <c r="D2705" s="256"/>
      <c r="E2705" s="195"/>
      <c r="F2705" s="157"/>
      <c r="G2705" s="157"/>
      <c r="H2705" s="157"/>
      <c r="I2705" s="157"/>
      <c r="J2705" s="157"/>
      <c r="K2705" s="157"/>
      <c r="L2705" s="157"/>
      <c r="M2705" s="523"/>
      <c r="N2705" s="157"/>
      <c r="O2705" s="157"/>
    </row>
    <row r="2706" spans="3:15" ht="15" customHeight="1">
      <c r="C2706" s="498"/>
      <c r="D2706" s="256"/>
      <c r="E2706" s="195"/>
      <c r="F2706" s="157"/>
      <c r="G2706" s="157"/>
      <c r="H2706" s="157"/>
      <c r="I2706" s="157"/>
      <c r="J2706" s="157"/>
      <c r="K2706" s="157"/>
      <c r="L2706" s="157"/>
      <c r="M2706" s="523"/>
      <c r="N2706" s="157"/>
      <c r="O2706" s="157"/>
    </row>
    <row r="2707" spans="3:15" ht="15" customHeight="1">
      <c r="C2707" s="498"/>
      <c r="D2707" s="256"/>
      <c r="E2707" s="195"/>
      <c r="F2707" s="157"/>
      <c r="G2707" s="157"/>
      <c r="H2707" s="157"/>
      <c r="I2707" s="157"/>
      <c r="J2707" s="157"/>
      <c r="K2707" s="157"/>
      <c r="L2707" s="157"/>
      <c r="M2707" s="523"/>
      <c r="N2707" s="157"/>
      <c r="O2707" s="157"/>
    </row>
    <row r="2708" spans="3:15" ht="15" customHeight="1">
      <c r="C2708" s="498"/>
      <c r="D2708" s="256"/>
      <c r="E2708" s="195"/>
      <c r="F2708" s="157"/>
      <c r="G2708" s="157"/>
      <c r="H2708" s="157"/>
      <c r="I2708" s="157"/>
      <c r="J2708" s="157"/>
      <c r="K2708" s="157"/>
      <c r="L2708" s="157"/>
      <c r="M2708" s="523"/>
      <c r="N2708" s="157"/>
      <c r="O2708" s="157"/>
    </row>
    <row r="2709" spans="3:15" ht="15" customHeight="1">
      <c r="C2709" s="498"/>
      <c r="D2709" s="256"/>
      <c r="E2709" s="195"/>
      <c r="F2709" s="157"/>
      <c r="G2709" s="157"/>
      <c r="H2709" s="157"/>
      <c r="I2709" s="157"/>
      <c r="J2709" s="157"/>
      <c r="K2709" s="157"/>
      <c r="L2709" s="157"/>
      <c r="M2709" s="523"/>
      <c r="N2709" s="157"/>
      <c r="O2709" s="157"/>
    </row>
    <row r="2710" spans="3:15" ht="15" customHeight="1">
      <c r="C2710" s="498"/>
      <c r="D2710" s="256"/>
      <c r="E2710" s="195"/>
      <c r="F2710" s="157"/>
      <c r="G2710" s="157"/>
      <c r="H2710" s="157"/>
      <c r="I2710" s="157"/>
      <c r="J2710" s="157"/>
      <c r="K2710" s="157"/>
      <c r="L2710" s="157"/>
      <c r="M2710" s="523"/>
      <c r="N2710" s="157"/>
      <c r="O2710" s="157"/>
    </row>
    <row r="2711" spans="3:15" ht="15" customHeight="1">
      <c r="C2711" s="498"/>
      <c r="D2711" s="256"/>
      <c r="E2711" s="195"/>
      <c r="F2711" s="157"/>
      <c r="G2711" s="157"/>
      <c r="H2711" s="157"/>
      <c r="I2711" s="157"/>
      <c r="J2711" s="157"/>
      <c r="K2711" s="157"/>
      <c r="L2711" s="157"/>
      <c r="M2711" s="523"/>
      <c r="N2711" s="157"/>
      <c r="O2711" s="157"/>
    </row>
    <row r="2712" spans="3:15" ht="15" customHeight="1">
      <c r="C2712" s="498"/>
      <c r="D2712" s="256"/>
      <c r="E2712" s="195"/>
      <c r="F2712" s="157"/>
      <c r="G2712" s="157"/>
      <c r="H2712" s="157"/>
      <c r="I2712" s="157"/>
      <c r="J2712" s="157"/>
      <c r="K2712" s="157"/>
      <c r="L2712" s="157"/>
      <c r="M2712" s="523"/>
      <c r="N2712" s="157"/>
      <c r="O2712" s="157"/>
    </row>
    <row r="2713" spans="3:15" ht="15" customHeight="1">
      <c r="C2713" s="498"/>
      <c r="D2713" s="256"/>
      <c r="E2713" s="195"/>
      <c r="F2713" s="157"/>
      <c r="G2713" s="157"/>
      <c r="H2713" s="157"/>
      <c r="I2713" s="157"/>
      <c r="J2713" s="157"/>
      <c r="K2713" s="157"/>
      <c r="L2713" s="157"/>
      <c r="M2713" s="523"/>
      <c r="N2713" s="157"/>
      <c r="O2713" s="157"/>
    </row>
    <row r="2714" spans="3:15" ht="15" customHeight="1">
      <c r="C2714" s="498"/>
      <c r="D2714" s="256"/>
      <c r="E2714" s="195"/>
      <c r="F2714" s="157"/>
      <c r="G2714" s="157"/>
      <c r="H2714" s="157"/>
      <c r="I2714" s="157"/>
      <c r="J2714" s="157"/>
      <c r="K2714" s="157"/>
      <c r="L2714" s="157"/>
      <c r="M2714" s="523"/>
      <c r="N2714" s="157"/>
      <c r="O2714" s="157"/>
    </row>
    <row r="2715" spans="3:15" ht="15" customHeight="1">
      <c r="C2715" s="498"/>
      <c r="D2715" s="256"/>
      <c r="E2715" s="195"/>
      <c r="F2715" s="157"/>
      <c r="G2715" s="157"/>
      <c r="H2715" s="157"/>
      <c r="I2715" s="157"/>
      <c r="J2715" s="157"/>
      <c r="K2715" s="157"/>
      <c r="L2715" s="157"/>
      <c r="M2715" s="523"/>
      <c r="N2715" s="157"/>
      <c r="O2715" s="157"/>
    </row>
    <row r="2716" spans="3:15" ht="15" customHeight="1">
      <c r="C2716" s="498"/>
      <c r="D2716" s="256"/>
      <c r="E2716" s="195"/>
      <c r="F2716" s="157"/>
      <c r="G2716" s="157"/>
      <c r="H2716" s="157"/>
      <c r="I2716" s="157"/>
      <c r="J2716" s="157"/>
      <c r="K2716" s="157"/>
      <c r="L2716" s="157"/>
      <c r="M2716" s="523"/>
      <c r="N2716" s="157"/>
      <c r="O2716" s="157"/>
    </row>
    <row r="2717" spans="3:15" ht="15" customHeight="1">
      <c r="C2717" s="498"/>
      <c r="D2717" s="256"/>
      <c r="E2717" s="195"/>
      <c r="F2717" s="157"/>
      <c r="G2717" s="157"/>
      <c r="H2717" s="157"/>
      <c r="I2717" s="157"/>
      <c r="J2717" s="157"/>
      <c r="K2717" s="157"/>
      <c r="L2717" s="157"/>
      <c r="M2717" s="523"/>
      <c r="N2717" s="157"/>
      <c r="O2717" s="157"/>
    </row>
    <row r="2718" spans="3:15" ht="15" customHeight="1">
      <c r="C2718" s="498"/>
      <c r="D2718" s="256"/>
      <c r="E2718" s="195"/>
      <c r="F2718" s="157"/>
      <c r="G2718" s="157"/>
      <c r="H2718" s="157"/>
      <c r="I2718" s="157"/>
      <c r="J2718" s="157"/>
      <c r="K2718" s="157"/>
      <c r="L2718" s="157"/>
      <c r="M2718" s="523"/>
      <c r="N2718" s="157"/>
      <c r="O2718" s="157"/>
    </row>
    <row r="2719" spans="3:15" ht="15" customHeight="1">
      <c r="C2719" s="498"/>
      <c r="D2719" s="256"/>
      <c r="E2719" s="195"/>
      <c r="F2719" s="157"/>
      <c r="G2719" s="157"/>
      <c r="H2719" s="157"/>
      <c r="I2719" s="157"/>
      <c r="J2719" s="157"/>
      <c r="K2719" s="157"/>
      <c r="L2719" s="157"/>
      <c r="M2719" s="523"/>
      <c r="N2719" s="157"/>
      <c r="O2719" s="157"/>
    </row>
    <row r="2720" spans="3:15" ht="15" customHeight="1">
      <c r="C2720" s="498"/>
      <c r="D2720" s="256"/>
      <c r="E2720" s="195"/>
      <c r="F2720" s="157"/>
      <c r="G2720" s="157"/>
      <c r="H2720" s="157"/>
      <c r="I2720" s="157"/>
      <c r="J2720" s="157"/>
      <c r="K2720" s="157"/>
      <c r="L2720" s="157"/>
      <c r="M2720" s="523"/>
      <c r="N2720" s="157"/>
      <c r="O2720" s="157"/>
    </row>
    <row r="2721" spans="3:15" ht="15" customHeight="1">
      <c r="C2721" s="498"/>
      <c r="D2721" s="256"/>
      <c r="E2721" s="195"/>
      <c r="F2721" s="157"/>
      <c r="G2721" s="157"/>
      <c r="H2721" s="157"/>
      <c r="I2721" s="157"/>
      <c r="J2721" s="157"/>
      <c r="K2721" s="157"/>
      <c r="L2721" s="157"/>
      <c r="M2721" s="523"/>
      <c r="N2721" s="157"/>
      <c r="O2721" s="157"/>
    </row>
    <row r="2722" spans="3:15" ht="15" customHeight="1">
      <c r="C2722" s="498"/>
      <c r="D2722" s="256"/>
      <c r="E2722" s="195"/>
      <c r="F2722" s="157"/>
      <c r="G2722" s="157"/>
      <c r="H2722" s="157"/>
      <c r="I2722" s="157"/>
      <c r="J2722" s="157"/>
      <c r="K2722" s="157"/>
      <c r="L2722" s="157"/>
      <c r="M2722" s="523"/>
      <c r="N2722" s="157"/>
      <c r="O2722" s="157"/>
    </row>
    <row r="2723" spans="3:15" ht="15" customHeight="1">
      <c r="C2723" s="498"/>
      <c r="D2723" s="256"/>
      <c r="E2723" s="195"/>
      <c r="F2723" s="157"/>
      <c r="G2723" s="157"/>
      <c r="H2723" s="157"/>
      <c r="I2723" s="157"/>
      <c r="J2723" s="157"/>
      <c r="K2723" s="157"/>
      <c r="L2723" s="157"/>
      <c r="M2723" s="523"/>
      <c r="N2723" s="157"/>
      <c r="O2723" s="157"/>
    </row>
    <row r="2724" spans="3:15" ht="15" customHeight="1">
      <c r="C2724" s="498"/>
      <c r="D2724" s="256"/>
      <c r="E2724" s="195"/>
      <c r="F2724" s="157"/>
      <c r="G2724" s="157"/>
      <c r="H2724" s="157"/>
      <c r="I2724" s="157"/>
      <c r="J2724" s="157"/>
      <c r="K2724" s="157"/>
      <c r="L2724" s="157"/>
      <c r="M2724" s="523"/>
      <c r="N2724" s="157"/>
      <c r="O2724" s="157"/>
    </row>
    <row r="2725" spans="3:15" ht="15" customHeight="1">
      <c r="C2725" s="498"/>
      <c r="D2725" s="256"/>
      <c r="E2725" s="195"/>
      <c r="F2725" s="157"/>
      <c r="G2725" s="157"/>
      <c r="H2725" s="157"/>
      <c r="I2725" s="157"/>
      <c r="J2725" s="157"/>
      <c r="K2725" s="157"/>
      <c r="L2725" s="157"/>
      <c r="M2725" s="523"/>
      <c r="N2725" s="157"/>
      <c r="O2725" s="157"/>
    </row>
    <row r="2726" spans="3:15" ht="15" customHeight="1">
      <c r="C2726" s="498"/>
      <c r="D2726" s="256"/>
      <c r="E2726" s="195"/>
      <c r="F2726" s="157"/>
      <c r="G2726" s="157"/>
      <c r="H2726" s="157"/>
      <c r="I2726" s="157"/>
      <c r="J2726" s="157"/>
      <c r="K2726" s="157"/>
      <c r="L2726" s="157"/>
      <c r="M2726" s="523"/>
      <c r="N2726" s="157"/>
      <c r="O2726" s="157"/>
    </row>
    <row r="2727" spans="3:15" ht="15" customHeight="1">
      <c r="C2727" s="498"/>
      <c r="D2727" s="256"/>
      <c r="E2727" s="195"/>
      <c r="F2727" s="157"/>
      <c r="G2727" s="157"/>
      <c r="H2727" s="157"/>
      <c r="I2727" s="157"/>
      <c r="J2727" s="157"/>
      <c r="K2727" s="157"/>
      <c r="L2727" s="157"/>
      <c r="M2727" s="523"/>
      <c r="N2727" s="157"/>
      <c r="O2727" s="157"/>
    </row>
    <row r="2728" spans="3:15" ht="15" customHeight="1">
      <c r="C2728" s="498"/>
      <c r="D2728" s="256"/>
      <c r="E2728" s="195"/>
      <c r="F2728" s="157"/>
      <c r="G2728" s="157"/>
      <c r="H2728" s="157"/>
      <c r="I2728" s="157"/>
      <c r="J2728" s="157"/>
      <c r="K2728" s="157"/>
      <c r="L2728" s="157"/>
      <c r="M2728" s="523"/>
      <c r="N2728" s="157"/>
      <c r="O2728" s="157"/>
    </row>
    <row r="2729" spans="3:15" ht="15" customHeight="1">
      <c r="C2729" s="498"/>
      <c r="D2729" s="256"/>
      <c r="E2729" s="195"/>
      <c r="F2729" s="157"/>
      <c r="G2729" s="157"/>
      <c r="H2729" s="157"/>
      <c r="I2729" s="157"/>
      <c r="J2729" s="157"/>
      <c r="K2729" s="157"/>
      <c r="L2729" s="157"/>
      <c r="M2729" s="523"/>
      <c r="N2729" s="157"/>
      <c r="O2729" s="157"/>
    </row>
    <row r="2730" spans="3:15" ht="15" customHeight="1">
      <c r="C2730" s="498"/>
      <c r="D2730" s="256"/>
      <c r="E2730" s="195"/>
      <c r="F2730" s="157"/>
      <c r="G2730" s="157"/>
      <c r="H2730" s="157"/>
      <c r="I2730" s="157"/>
      <c r="J2730" s="157"/>
      <c r="K2730" s="157"/>
      <c r="L2730" s="157"/>
      <c r="M2730" s="523"/>
      <c r="N2730" s="157"/>
      <c r="O2730" s="157"/>
    </row>
    <row r="2731" spans="3:15" ht="15" customHeight="1">
      <c r="C2731" s="498"/>
      <c r="D2731" s="256"/>
      <c r="E2731" s="195"/>
      <c r="F2731" s="157"/>
      <c r="G2731" s="157"/>
      <c r="H2731" s="157"/>
      <c r="I2731" s="157"/>
      <c r="J2731" s="157"/>
      <c r="K2731" s="157"/>
      <c r="L2731" s="157"/>
      <c r="M2731" s="523"/>
      <c r="N2731" s="157"/>
      <c r="O2731" s="157"/>
    </row>
    <row r="2732" spans="3:15" ht="15" customHeight="1">
      <c r="C2732" s="498"/>
      <c r="D2732" s="256"/>
      <c r="E2732" s="195"/>
      <c r="F2732" s="157"/>
      <c r="G2732" s="157"/>
      <c r="H2732" s="157"/>
      <c r="I2732" s="157"/>
      <c r="J2732" s="157"/>
      <c r="K2732" s="157"/>
      <c r="L2732" s="157"/>
      <c r="M2732" s="523"/>
      <c r="N2732" s="157"/>
      <c r="O2732" s="157"/>
    </row>
    <row r="2733" spans="3:15" ht="15" customHeight="1">
      <c r="C2733" s="498"/>
      <c r="D2733" s="256"/>
      <c r="E2733" s="195"/>
      <c r="F2733" s="157"/>
      <c r="G2733" s="157"/>
      <c r="H2733" s="157"/>
      <c r="I2733" s="157"/>
      <c r="J2733" s="157"/>
      <c r="K2733" s="157"/>
      <c r="L2733" s="157"/>
      <c r="M2733" s="523"/>
      <c r="N2733" s="157"/>
      <c r="O2733" s="157"/>
    </row>
    <row r="2734" spans="3:15" ht="15" customHeight="1">
      <c r="C2734" s="498"/>
      <c r="D2734" s="256"/>
      <c r="E2734" s="195"/>
      <c r="F2734" s="157"/>
      <c r="G2734" s="157"/>
      <c r="H2734" s="157"/>
      <c r="I2734" s="157"/>
      <c r="J2734" s="157"/>
      <c r="K2734" s="157"/>
      <c r="L2734" s="157"/>
      <c r="M2734" s="523"/>
      <c r="N2734" s="157"/>
      <c r="O2734" s="157"/>
    </row>
    <row r="2735" spans="3:15" ht="15" customHeight="1">
      <c r="C2735" s="498"/>
      <c r="D2735" s="256"/>
      <c r="E2735" s="195"/>
      <c r="F2735" s="157"/>
      <c r="G2735" s="157"/>
      <c r="H2735" s="157"/>
      <c r="I2735" s="157"/>
      <c r="J2735" s="157"/>
      <c r="K2735" s="157"/>
      <c r="L2735" s="157"/>
      <c r="M2735" s="523"/>
      <c r="N2735" s="157"/>
      <c r="O2735" s="157"/>
    </row>
    <row r="2736" spans="3:15" ht="15" customHeight="1">
      <c r="C2736" s="498"/>
      <c r="D2736" s="256"/>
      <c r="E2736" s="195"/>
      <c r="F2736" s="157"/>
      <c r="G2736" s="157"/>
      <c r="H2736" s="157"/>
      <c r="I2736" s="157"/>
      <c r="J2736" s="157"/>
      <c r="K2736" s="157"/>
      <c r="L2736" s="157"/>
      <c r="M2736" s="523"/>
      <c r="N2736" s="157"/>
      <c r="O2736" s="157"/>
    </row>
    <row r="2737" spans="3:15" ht="15" customHeight="1">
      <c r="C2737" s="498"/>
      <c r="D2737" s="256"/>
      <c r="E2737" s="195"/>
      <c r="F2737" s="157"/>
      <c r="G2737" s="157"/>
      <c r="H2737" s="157"/>
      <c r="I2737" s="157"/>
      <c r="J2737" s="157"/>
      <c r="K2737" s="157"/>
      <c r="L2737" s="157"/>
      <c r="M2737" s="523"/>
      <c r="N2737" s="157"/>
      <c r="O2737" s="157"/>
    </row>
    <row r="2738" spans="3:15" ht="15" customHeight="1">
      <c r="C2738" s="498"/>
      <c r="D2738" s="256"/>
      <c r="E2738" s="195"/>
      <c r="F2738" s="157"/>
      <c r="G2738" s="157"/>
      <c r="H2738" s="157"/>
      <c r="I2738" s="157"/>
      <c r="J2738" s="157"/>
      <c r="K2738" s="157"/>
      <c r="L2738" s="157"/>
      <c r="M2738" s="523"/>
      <c r="N2738" s="157"/>
      <c r="O2738" s="157"/>
    </row>
    <row r="2739" spans="3:15" ht="15" customHeight="1">
      <c r="C2739" s="498"/>
      <c r="D2739" s="256"/>
      <c r="E2739" s="195"/>
      <c r="F2739" s="157"/>
      <c r="G2739" s="157"/>
      <c r="H2739" s="157"/>
      <c r="I2739" s="157"/>
      <c r="J2739" s="157"/>
      <c r="K2739" s="157"/>
      <c r="L2739" s="157"/>
      <c r="M2739" s="523"/>
      <c r="N2739" s="157"/>
      <c r="O2739" s="157"/>
    </row>
    <row r="2740" spans="3:15" ht="15" customHeight="1">
      <c r="C2740" s="498"/>
      <c r="D2740" s="256"/>
      <c r="E2740" s="195"/>
      <c r="F2740" s="157"/>
      <c r="G2740" s="157"/>
      <c r="H2740" s="157"/>
      <c r="I2740" s="157"/>
      <c r="J2740" s="157"/>
      <c r="K2740" s="157"/>
      <c r="L2740" s="157"/>
      <c r="M2740" s="523"/>
      <c r="N2740" s="157"/>
      <c r="O2740" s="157"/>
    </row>
    <row r="2741" spans="3:15" ht="15" customHeight="1">
      <c r="C2741" s="498"/>
      <c r="D2741" s="256"/>
      <c r="E2741" s="195"/>
      <c r="F2741" s="157"/>
      <c r="G2741" s="157"/>
      <c r="H2741" s="157"/>
      <c r="I2741" s="157"/>
      <c r="J2741" s="157"/>
      <c r="K2741" s="157"/>
      <c r="L2741" s="157"/>
      <c r="M2741" s="523"/>
      <c r="N2741" s="157"/>
      <c r="O2741" s="157"/>
    </row>
    <row r="2742" spans="3:15" ht="15" customHeight="1">
      <c r="C2742" s="498"/>
      <c r="D2742" s="256"/>
      <c r="E2742" s="195"/>
      <c r="F2742" s="157"/>
      <c r="G2742" s="157"/>
      <c r="H2742" s="157"/>
      <c r="I2742" s="157"/>
      <c r="J2742" s="157"/>
      <c r="K2742" s="157"/>
      <c r="L2742" s="157"/>
      <c r="M2742" s="523"/>
      <c r="N2742" s="157"/>
      <c r="O2742" s="157"/>
    </row>
    <row r="2743" spans="3:15" ht="15" customHeight="1">
      <c r="C2743" s="498"/>
      <c r="D2743" s="256"/>
      <c r="E2743" s="195"/>
      <c r="F2743" s="157"/>
      <c r="G2743" s="157"/>
      <c r="H2743" s="157"/>
      <c r="I2743" s="157"/>
      <c r="J2743" s="157"/>
      <c r="K2743" s="157"/>
      <c r="L2743" s="157"/>
      <c r="M2743" s="523"/>
      <c r="N2743" s="157"/>
      <c r="O2743" s="157"/>
    </row>
    <row r="2744" spans="3:15" ht="15" customHeight="1">
      <c r="C2744" s="498"/>
      <c r="D2744" s="256"/>
      <c r="E2744" s="195"/>
      <c r="F2744" s="157"/>
      <c r="G2744" s="157"/>
      <c r="H2744" s="157"/>
      <c r="I2744" s="157"/>
      <c r="J2744" s="157"/>
      <c r="K2744" s="157"/>
      <c r="L2744" s="157"/>
      <c r="M2744" s="523"/>
      <c r="N2744" s="157"/>
      <c r="O2744" s="157"/>
    </row>
    <row r="2745" spans="3:15" ht="15" customHeight="1">
      <c r="C2745" s="498"/>
      <c r="D2745" s="256"/>
      <c r="E2745" s="195"/>
      <c r="F2745" s="157"/>
      <c r="G2745" s="157"/>
      <c r="H2745" s="157"/>
      <c r="I2745" s="157"/>
      <c r="J2745" s="157"/>
      <c r="K2745" s="157"/>
      <c r="L2745" s="157"/>
      <c r="M2745" s="523"/>
      <c r="N2745" s="157"/>
      <c r="O2745" s="157"/>
    </row>
    <row r="2746" spans="3:15" ht="15" customHeight="1">
      <c r="C2746" s="498"/>
      <c r="D2746" s="256"/>
      <c r="E2746" s="195"/>
      <c r="F2746" s="157"/>
      <c r="G2746" s="157"/>
      <c r="H2746" s="157"/>
      <c r="I2746" s="157"/>
      <c r="J2746" s="157"/>
      <c r="K2746" s="157"/>
      <c r="L2746" s="157"/>
      <c r="M2746" s="523"/>
      <c r="N2746" s="157"/>
      <c r="O2746" s="157"/>
    </row>
    <row r="2747" spans="3:15" ht="15" customHeight="1">
      <c r="C2747" s="498"/>
      <c r="D2747" s="256"/>
      <c r="E2747" s="195"/>
      <c r="F2747" s="157"/>
      <c r="G2747" s="157"/>
      <c r="H2747" s="157"/>
      <c r="I2747" s="157"/>
      <c r="J2747" s="157"/>
      <c r="K2747" s="157"/>
      <c r="L2747" s="157"/>
      <c r="M2747" s="523"/>
      <c r="N2747" s="157"/>
      <c r="O2747" s="157"/>
    </row>
    <row r="2748" spans="3:15" ht="15" customHeight="1">
      <c r="C2748" s="498"/>
      <c r="D2748" s="256"/>
      <c r="E2748" s="195"/>
      <c r="F2748" s="157"/>
      <c r="G2748" s="157"/>
      <c r="H2748" s="157"/>
      <c r="I2748" s="157"/>
      <c r="J2748" s="157"/>
      <c r="K2748" s="157"/>
      <c r="L2748" s="157"/>
      <c r="M2748" s="523"/>
      <c r="N2748" s="157"/>
      <c r="O2748" s="157"/>
    </row>
    <row r="2749" spans="3:15" ht="15" customHeight="1">
      <c r="C2749" s="498"/>
      <c r="D2749" s="256"/>
      <c r="E2749" s="195"/>
      <c r="F2749" s="157"/>
      <c r="G2749" s="157"/>
      <c r="H2749" s="157"/>
      <c r="I2749" s="157"/>
      <c r="J2749" s="157"/>
      <c r="K2749" s="157"/>
      <c r="L2749" s="157"/>
      <c r="M2749" s="523"/>
      <c r="N2749" s="157"/>
      <c r="O2749" s="157"/>
    </row>
    <row r="2750" spans="3:15" ht="15" customHeight="1">
      <c r="C2750" s="498"/>
      <c r="D2750" s="256"/>
      <c r="E2750" s="195"/>
      <c r="F2750" s="157"/>
      <c r="G2750" s="157"/>
      <c r="H2750" s="157"/>
      <c r="I2750" s="157"/>
      <c r="J2750" s="157"/>
      <c r="K2750" s="157"/>
      <c r="L2750" s="157"/>
      <c r="M2750" s="523"/>
      <c r="N2750" s="157"/>
      <c r="O2750" s="157"/>
    </row>
    <row r="2751" spans="3:15" ht="15" customHeight="1">
      <c r="C2751" s="498"/>
      <c r="D2751" s="256"/>
      <c r="E2751" s="195"/>
      <c r="F2751" s="157"/>
      <c r="G2751" s="157"/>
      <c r="H2751" s="157"/>
      <c r="I2751" s="157"/>
      <c r="J2751" s="157"/>
      <c r="K2751" s="157"/>
      <c r="L2751" s="157"/>
      <c r="M2751" s="523"/>
      <c r="N2751" s="157"/>
      <c r="O2751" s="157"/>
    </row>
    <row r="2752" spans="3:15" ht="15" customHeight="1">
      <c r="C2752" s="498"/>
      <c r="D2752" s="256"/>
      <c r="E2752" s="195"/>
      <c r="F2752" s="157"/>
      <c r="G2752" s="157"/>
      <c r="H2752" s="157"/>
      <c r="I2752" s="157"/>
      <c r="J2752" s="157"/>
      <c r="K2752" s="157"/>
      <c r="L2752" s="157"/>
      <c r="M2752" s="523"/>
      <c r="N2752" s="157"/>
      <c r="O2752" s="157"/>
    </row>
    <row r="2753" spans="3:15" ht="15" customHeight="1">
      <c r="C2753" s="498"/>
      <c r="D2753" s="256"/>
      <c r="E2753" s="195"/>
      <c r="F2753" s="157"/>
      <c r="G2753" s="157"/>
      <c r="H2753" s="157"/>
      <c r="I2753" s="157"/>
      <c r="J2753" s="157"/>
      <c r="K2753" s="157"/>
      <c r="L2753" s="157"/>
      <c r="M2753" s="523"/>
      <c r="N2753" s="157"/>
      <c r="O2753" s="157"/>
    </row>
    <row r="2754" spans="3:15" ht="15" customHeight="1">
      <c r="C2754" s="498"/>
      <c r="D2754" s="256"/>
      <c r="E2754" s="195"/>
      <c r="F2754" s="157"/>
      <c r="G2754" s="157"/>
      <c r="H2754" s="157"/>
      <c r="I2754" s="157"/>
      <c r="J2754" s="157"/>
      <c r="K2754" s="157"/>
      <c r="L2754" s="157"/>
      <c r="M2754" s="523"/>
      <c r="N2754" s="157"/>
      <c r="O2754" s="157"/>
    </row>
    <row r="2755" spans="3:15" ht="15" customHeight="1">
      <c r="C2755" s="498"/>
      <c r="D2755" s="256"/>
      <c r="E2755" s="195"/>
      <c r="F2755" s="157"/>
      <c r="G2755" s="157"/>
      <c r="H2755" s="157"/>
      <c r="I2755" s="157"/>
      <c r="J2755" s="157"/>
      <c r="K2755" s="157"/>
      <c r="L2755" s="157"/>
      <c r="M2755" s="523"/>
      <c r="N2755" s="157"/>
      <c r="O2755" s="157"/>
    </row>
    <row r="2756" spans="3:15" ht="15" customHeight="1">
      <c r="C2756" s="498"/>
      <c r="D2756" s="256"/>
      <c r="E2756" s="195"/>
      <c r="F2756" s="157"/>
      <c r="G2756" s="157"/>
      <c r="H2756" s="157"/>
      <c r="I2756" s="157"/>
      <c r="J2756" s="157"/>
      <c r="K2756" s="157"/>
      <c r="L2756" s="157"/>
      <c r="M2756" s="523"/>
      <c r="N2756" s="157"/>
      <c r="O2756" s="157"/>
    </row>
    <row r="2757" spans="3:15" ht="15" customHeight="1">
      <c r="C2757" s="498"/>
      <c r="D2757" s="256"/>
      <c r="E2757" s="195"/>
      <c r="F2757" s="157"/>
      <c r="G2757" s="157"/>
      <c r="H2757" s="157"/>
      <c r="I2757" s="157"/>
      <c r="J2757" s="157"/>
      <c r="K2757" s="157"/>
      <c r="L2757" s="157"/>
      <c r="M2757" s="523"/>
      <c r="N2757" s="157"/>
      <c r="O2757" s="157"/>
    </row>
    <row r="2758" spans="3:15" ht="15" customHeight="1">
      <c r="C2758" s="498"/>
      <c r="D2758" s="256"/>
      <c r="E2758" s="195"/>
      <c r="F2758" s="157"/>
      <c r="G2758" s="157"/>
      <c r="H2758" s="157"/>
      <c r="I2758" s="157"/>
      <c r="J2758" s="157"/>
      <c r="K2758" s="157"/>
      <c r="L2758" s="157"/>
      <c r="M2758" s="523"/>
      <c r="N2758" s="157"/>
      <c r="O2758" s="157"/>
    </row>
    <row r="2759" spans="3:15" ht="15" customHeight="1">
      <c r="C2759" s="498"/>
      <c r="D2759" s="256"/>
      <c r="E2759" s="195"/>
      <c r="F2759" s="157"/>
      <c r="G2759" s="157"/>
      <c r="H2759" s="157"/>
      <c r="I2759" s="157"/>
      <c r="J2759" s="157"/>
      <c r="K2759" s="157"/>
      <c r="L2759" s="157"/>
      <c r="M2759" s="523"/>
      <c r="N2759" s="157"/>
      <c r="O2759" s="157"/>
    </row>
    <row r="2760" spans="3:15" ht="15" customHeight="1">
      <c r="C2760" s="498"/>
      <c r="D2760" s="256"/>
      <c r="E2760" s="195"/>
      <c r="F2760" s="157"/>
      <c r="G2760" s="157"/>
      <c r="H2760" s="157"/>
      <c r="I2760" s="157"/>
      <c r="J2760" s="157"/>
      <c r="K2760" s="157"/>
      <c r="L2760" s="157"/>
      <c r="M2760" s="523"/>
      <c r="N2760" s="157"/>
      <c r="O2760" s="157"/>
    </row>
    <row r="2761" spans="3:15" ht="15" customHeight="1">
      <c r="C2761" s="498"/>
      <c r="D2761" s="256"/>
      <c r="E2761" s="195"/>
      <c r="F2761" s="157"/>
      <c r="G2761" s="157"/>
      <c r="H2761" s="157"/>
      <c r="I2761" s="157"/>
      <c r="J2761" s="157"/>
      <c r="K2761" s="157"/>
      <c r="L2761" s="157"/>
      <c r="M2761" s="523"/>
      <c r="N2761" s="157"/>
      <c r="O2761" s="157"/>
    </row>
    <row r="2762" spans="3:15" ht="15" customHeight="1">
      <c r="C2762" s="498"/>
      <c r="D2762" s="256"/>
      <c r="E2762" s="195"/>
      <c r="F2762" s="157"/>
      <c r="G2762" s="157"/>
      <c r="H2762" s="157"/>
      <c r="I2762" s="157"/>
      <c r="J2762" s="157"/>
      <c r="K2762" s="157"/>
      <c r="L2762" s="157"/>
      <c r="M2762" s="523"/>
      <c r="N2762" s="157"/>
      <c r="O2762" s="157"/>
    </row>
    <row r="2763" spans="3:15" ht="15" customHeight="1">
      <c r="C2763" s="498"/>
      <c r="D2763" s="256"/>
      <c r="E2763" s="195"/>
      <c r="F2763" s="157"/>
      <c r="G2763" s="157"/>
      <c r="H2763" s="157"/>
      <c r="I2763" s="157"/>
      <c r="J2763" s="157"/>
      <c r="K2763" s="157"/>
      <c r="L2763" s="157"/>
      <c r="M2763" s="523"/>
      <c r="N2763" s="157"/>
      <c r="O2763" s="157"/>
    </row>
    <row r="2764" spans="3:15" ht="15" customHeight="1">
      <c r="C2764" s="498"/>
      <c r="D2764" s="256"/>
      <c r="E2764" s="195"/>
      <c r="F2764" s="157"/>
      <c r="G2764" s="157"/>
      <c r="H2764" s="157"/>
      <c r="I2764" s="157"/>
      <c r="J2764" s="157"/>
      <c r="K2764" s="157"/>
      <c r="L2764" s="157"/>
      <c r="M2764" s="523"/>
      <c r="N2764" s="157"/>
      <c r="O2764" s="157"/>
    </row>
    <row r="2765" spans="3:15" ht="15" customHeight="1">
      <c r="C2765" s="498"/>
      <c r="D2765" s="256"/>
      <c r="E2765" s="195"/>
      <c r="F2765" s="157"/>
      <c r="G2765" s="157"/>
      <c r="H2765" s="157"/>
      <c r="I2765" s="157"/>
      <c r="J2765" s="157"/>
      <c r="K2765" s="157"/>
      <c r="L2765" s="157"/>
      <c r="M2765" s="523"/>
      <c r="N2765" s="157"/>
      <c r="O2765" s="157"/>
    </row>
    <row r="2766" spans="3:15" ht="15" customHeight="1">
      <c r="C2766" s="498"/>
      <c r="D2766" s="256"/>
      <c r="E2766" s="195"/>
      <c r="F2766" s="157"/>
      <c r="G2766" s="157"/>
      <c r="H2766" s="157"/>
      <c r="I2766" s="157"/>
      <c r="J2766" s="157"/>
      <c r="K2766" s="157"/>
      <c r="L2766" s="157"/>
      <c r="M2766" s="523"/>
      <c r="N2766" s="157"/>
      <c r="O2766" s="157"/>
    </row>
    <row r="2767" spans="3:15" ht="15" customHeight="1">
      <c r="C2767" s="498"/>
      <c r="D2767" s="256"/>
      <c r="E2767" s="195"/>
      <c r="F2767" s="157"/>
      <c r="G2767" s="157"/>
      <c r="H2767" s="157"/>
      <c r="I2767" s="157"/>
      <c r="J2767" s="157"/>
      <c r="K2767" s="157"/>
      <c r="L2767" s="157"/>
      <c r="M2767" s="523"/>
      <c r="N2767" s="157"/>
      <c r="O2767" s="157"/>
    </row>
    <row r="2768" spans="3:15" ht="15" customHeight="1">
      <c r="C2768" s="498"/>
      <c r="D2768" s="256"/>
      <c r="E2768" s="195"/>
      <c r="F2768" s="157"/>
      <c r="G2768" s="157"/>
      <c r="H2768" s="157"/>
      <c r="I2768" s="157"/>
      <c r="J2768" s="157"/>
      <c r="K2768" s="157"/>
      <c r="L2768" s="157"/>
      <c r="M2768" s="523"/>
      <c r="N2768" s="157"/>
      <c r="O2768" s="157"/>
    </row>
    <row r="2769" spans="3:15" ht="15" customHeight="1">
      <c r="C2769" s="498"/>
      <c r="D2769" s="256"/>
      <c r="E2769" s="195"/>
      <c r="F2769" s="157"/>
      <c r="G2769" s="157"/>
      <c r="H2769" s="157"/>
      <c r="I2769" s="157"/>
      <c r="J2769" s="157"/>
      <c r="K2769" s="157"/>
      <c r="L2769" s="157"/>
      <c r="M2769" s="523"/>
      <c r="N2769" s="157"/>
      <c r="O2769" s="157"/>
    </row>
    <row r="2770" spans="3:15" ht="15" customHeight="1">
      <c r="C2770" s="498"/>
      <c r="D2770" s="256"/>
      <c r="E2770" s="195"/>
      <c r="F2770" s="157"/>
      <c r="G2770" s="157"/>
      <c r="H2770" s="157"/>
      <c r="I2770" s="157"/>
      <c r="J2770" s="157"/>
      <c r="K2770" s="157"/>
      <c r="L2770" s="157"/>
      <c r="M2770" s="523"/>
      <c r="N2770" s="157"/>
      <c r="O2770" s="157"/>
    </row>
    <row r="2771" spans="3:15" ht="15" customHeight="1">
      <c r="C2771" s="498"/>
      <c r="D2771" s="256"/>
      <c r="E2771" s="195"/>
      <c r="F2771" s="157"/>
      <c r="G2771" s="157"/>
      <c r="H2771" s="157"/>
      <c r="I2771" s="157"/>
      <c r="J2771" s="157"/>
      <c r="K2771" s="157"/>
      <c r="L2771" s="157"/>
      <c r="M2771" s="523"/>
      <c r="N2771" s="157"/>
      <c r="O2771" s="157"/>
    </row>
    <row r="2772" spans="3:15" ht="15" customHeight="1">
      <c r="C2772" s="498"/>
      <c r="D2772" s="256"/>
      <c r="E2772" s="195"/>
      <c r="F2772" s="157"/>
      <c r="G2772" s="157"/>
      <c r="H2772" s="157"/>
      <c r="I2772" s="157"/>
      <c r="J2772" s="157"/>
      <c r="K2772" s="157"/>
      <c r="L2772" s="157"/>
      <c r="M2772" s="523"/>
      <c r="N2772" s="157"/>
      <c r="O2772" s="157"/>
    </row>
    <row r="2773" spans="3:15" ht="15" customHeight="1">
      <c r="C2773" s="498"/>
      <c r="D2773" s="256"/>
      <c r="E2773" s="195"/>
      <c r="F2773" s="157"/>
      <c r="G2773" s="157"/>
      <c r="H2773" s="157"/>
      <c r="I2773" s="157"/>
      <c r="J2773" s="157"/>
      <c r="K2773" s="157"/>
      <c r="L2773" s="157"/>
      <c r="M2773" s="523"/>
      <c r="N2773" s="157"/>
      <c r="O2773" s="157"/>
    </row>
    <row r="2774" spans="3:15" ht="15" customHeight="1">
      <c r="C2774" s="498"/>
      <c r="D2774" s="256"/>
      <c r="E2774" s="195"/>
      <c r="F2774" s="157"/>
      <c r="G2774" s="157"/>
      <c r="H2774" s="157"/>
      <c r="I2774" s="157"/>
      <c r="J2774" s="157"/>
      <c r="K2774" s="157"/>
      <c r="L2774" s="157"/>
      <c r="M2774" s="523"/>
      <c r="N2774" s="157"/>
      <c r="O2774" s="157"/>
    </row>
    <row r="2775" spans="3:15" ht="15" customHeight="1">
      <c r="C2775" s="498"/>
      <c r="D2775" s="256"/>
      <c r="E2775" s="195"/>
      <c r="F2775" s="157"/>
      <c r="G2775" s="157"/>
      <c r="H2775" s="157"/>
      <c r="I2775" s="157"/>
      <c r="J2775" s="157"/>
      <c r="K2775" s="157"/>
      <c r="L2775" s="157"/>
      <c r="M2775" s="523"/>
      <c r="N2775" s="157"/>
      <c r="O2775" s="157"/>
    </row>
    <row r="2776" spans="3:15" ht="15" customHeight="1">
      <c r="C2776" s="498"/>
      <c r="D2776" s="256"/>
      <c r="E2776" s="195"/>
      <c r="F2776" s="157"/>
      <c r="G2776" s="157"/>
      <c r="H2776" s="157"/>
      <c r="I2776" s="157"/>
      <c r="J2776" s="157"/>
      <c r="K2776" s="157"/>
      <c r="L2776" s="157"/>
      <c r="M2776" s="523"/>
      <c r="N2776" s="157"/>
      <c r="O2776" s="157"/>
    </row>
    <row r="2777" spans="3:15" ht="15" customHeight="1">
      <c r="C2777" s="498"/>
      <c r="D2777" s="256"/>
      <c r="E2777" s="195"/>
      <c r="F2777" s="157"/>
      <c r="G2777" s="157"/>
      <c r="H2777" s="157"/>
      <c r="I2777" s="157"/>
      <c r="J2777" s="157"/>
      <c r="K2777" s="157"/>
      <c r="L2777" s="157"/>
      <c r="M2777" s="523"/>
      <c r="N2777" s="157"/>
      <c r="O2777" s="157"/>
    </row>
    <row r="2778" spans="3:15" ht="15" customHeight="1">
      <c r="C2778" s="498"/>
      <c r="D2778" s="256"/>
      <c r="E2778" s="195"/>
      <c r="F2778" s="157"/>
      <c r="G2778" s="157"/>
      <c r="H2778" s="157"/>
      <c r="I2778" s="157"/>
      <c r="J2778" s="157"/>
      <c r="K2778" s="157"/>
      <c r="L2778" s="157"/>
      <c r="M2778" s="523"/>
      <c r="N2778" s="157"/>
      <c r="O2778" s="157"/>
    </row>
    <row r="2779" spans="3:15" ht="15" customHeight="1">
      <c r="C2779" s="498"/>
      <c r="D2779" s="256"/>
      <c r="E2779" s="195"/>
      <c r="F2779" s="157"/>
      <c r="G2779" s="157"/>
      <c r="H2779" s="157"/>
      <c r="I2779" s="157"/>
      <c r="J2779" s="157"/>
      <c r="K2779" s="157"/>
      <c r="L2779" s="157"/>
      <c r="M2779" s="523"/>
      <c r="N2779" s="157"/>
      <c r="O2779" s="157"/>
    </row>
    <row r="2780" spans="3:15" ht="15" customHeight="1">
      <c r="C2780" s="498"/>
      <c r="D2780" s="256"/>
      <c r="E2780" s="195"/>
      <c r="F2780" s="157"/>
      <c r="G2780" s="157"/>
      <c r="H2780" s="157"/>
      <c r="I2780" s="157"/>
      <c r="J2780" s="157"/>
      <c r="K2780" s="157"/>
      <c r="L2780" s="157"/>
      <c r="M2780" s="523"/>
      <c r="N2780" s="157"/>
      <c r="O2780" s="157"/>
    </row>
    <row r="2781" spans="3:15" ht="15" customHeight="1">
      <c r="C2781" s="498"/>
      <c r="D2781" s="256"/>
      <c r="E2781" s="195"/>
      <c r="F2781" s="157"/>
      <c r="G2781" s="157"/>
      <c r="H2781" s="157"/>
      <c r="I2781" s="157"/>
      <c r="J2781" s="157"/>
      <c r="K2781" s="157"/>
      <c r="L2781" s="157"/>
      <c r="M2781" s="523"/>
      <c r="N2781" s="157"/>
      <c r="O2781" s="157"/>
    </row>
    <row r="2782" spans="3:15" ht="15" customHeight="1">
      <c r="C2782" s="498"/>
      <c r="D2782" s="256"/>
      <c r="E2782" s="195"/>
      <c r="F2782" s="157"/>
      <c r="G2782" s="157"/>
      <c r="H2782" s="157"/>
      <c r="I2782" s="157"/>
      <c r="J2782" s="157"/>
      <c r="K2782" s="157"/>
      <c r="L2782" s="157"/>
      <c r="M2782" s="523"/>
      <c r="N2782" s="157"/>
      <c r="O2782" s="157"/>
    </row>
    <row r="2783" spans="3:15" ht="15" customHeight="1">
      <c r="C2783" s="498"/>
      <c r="D2783" s="256"/>
      <c r="E2783" s="195"/>
      <c r="F2783" s="157"/>
      <c r="G2783" s="157"/>
      <c r="H2783" s="157"/>
      <c r="I2783" s="157"/>
      <c r="J2783" s="157"/>
      <c r="K2783" s="157"/>
      <c r="L2783" s="157"/>
      <c r="M2783" s="523"/>
      <c r="N2783" s="157"/>
      <c r="O2783" s="157"/>
    </row>
    <row r="2784" spans="3:15" ht="15" customHeight="1">
      <c r="C2784" s="498"/>
      <c r="D2784" s="256"/>
      <c r="E2784" s="195"/>
      <c r="F2784" s="157"/>
      <c r="G2784" s="157"/>
      <c r="H2784" s="157"/>
      <c r="I2784" s="157"/>
      <c r="J2784" s="157"/>
      <c r="K2784" s="157"/>
      <c r="L2784" s="157"/>
      <c r="M2784" s="523"/>
      <c r="N2784" s="157"/>
      <c r="O2784" s="157"/>
    </row>
    <row r="2785" spans="3:15" ht="15" customHeight="1">
      <c r="C2785" s="498"/>
      <c r="D2785" s="256"/>
      <c r="E2785" s="195"/>
      <c r="F2785" s="157"/>
      <c r="G2785" s="157"/>
      <c r="H2785" s="157"/>
      <c r="I2785" s="157"/>
      <c r="J2785" s="157"/>
      <c r="K2785" s="157"/>
      <c r="L2785" s="157"/>
      <c r="M2785" s="523"/>
      <c r="N2785" s="157"/>
      <c r="O2785" s="157"/>
    </row>
    <row r="2786" spans="3:15" ht="15" customHeight="1">
      <c r="C2786" s="498"/>
      <c r="D2786" s="256"/>
      <c r="E2786" s="195"/>
      <c r="F2786" s="157"/>
      <c r="G2786" s="157"/>
      <c r="H2786" s="157"/>
      <c r="I2786" s="157"/>
      <c r="J2786" s="157"/>
      <c r="K2786" s="157"/>
      <c r="L2786" s="157"/>
      <c r="M2786" s="523"/>
      <c r="N2786" s="157"/>
      <c r="O2786" s="157"/>
    </row>
    <row r="2787" spans="3:15" ht="15" customHeight="1">
      <c r="C2787" s="498"/>
      <c r="D2787" s="256"/>
      <c r="E2787" s="195"/>
      <c r="F2787" s="157"/>
      <c r="G2787" s="157"/>
      <c r="H2787" s="157"/>
      <c r="I2787" s="157"/>
      <c r="J2787" s="157"/>
      <c r="K2787" s="157"/>
      <c r="L2787" s="157"/>
      <c r="M2787" s="523"/>
      <c r="N2787" s="157"/>
      <c r="O2787" s="157"/>
    </row>
    <row r="2788" spans="3:15" ht="15" customHeight="1">
      <c r="C2788" s="498"/>
      <c r="D2788" s="256"/>
      <c r="E2788" s="195"/>
      <c r="F2788" s="157"/>
      <c r="G2788" s="157"/>
      <c r="H2788" s="157"/>
      <c r="I2788" s="157"/>
      <c r="J2788" s="157"/>
      <c r="K2788" s="157"/>
      <c r="L2788" s="157"/>
      <c r="M2788" s="523"/>
      <c r="N2788" s="157"/>
      <c r="O2788" s="157"/>
    </row>
    <row r="2789" spans="3:15" ht="15" customHeight="1">
      <c r="C2789" s="498"/>
      <c r="D2789" s="256"/>
      <c r="E2789" s="195"/>
      <c r="F2789" s="157"/>
      <c r="G2789" s="157"/>
      <c r="H2789" s="157"/>
      <c r="I2789" s="157"/>
      <c r="J2789" s="157"/>
      <c r="K2789" s="157"/>
      <c r="L2789" s="157"/>
      <c r="M2789" s="523"/>
      <c r="N2789" s="157"/>
      <c r="O2789" s="157"/>
    </row>
    <row r="2790" spans="3:15" ht="15" customHeight="1">
      <c r="C2790" s="498"/>
      <c r="D2790" s="256"/>
      <c r="E2790" s="195"/>
      <c r="F2790" s="157"/>
      <c r="G2790" s="157"/>
      <c r="H2790" s="157"/>
      <c r="I2790" s="157"/>
      <c r="J2790" s="157"/>
      <c r="K2790" s="157"/>
      <c r="L2790" s="157"/>
      <c r="M2790" s="523"/>
      <c r="N2790" s="157"/>
      <c r="O2790" s="157"/>
    </row>
    <row r="2791" spans="3:15" ht="15" customHeight="1">
      <c r="C2791" s="498"/>
      <c r="D2791" s="256"/>
      <c r="E2791" s="195"/>
      <c r="F2791" s="157"/>
      <c r="G2791" s="157"/>
      <c r="H2791" s="157"/>
      <c r="I2791" s="157"/>
      <c r="J2791" s="157"/>
      <c r="K2791" s="157"/>
      <c r="L2791" s="157"/>
      <c r="M2791" s="523"/>
      <c r="N2791" s="157"/>
      <c r="O2791" s="157"/>
    </row>
    <row r="2792" spans="3:15" ht="15" customHeight="1">
      <c r="C2792" s="498"/>
      <c r="D2792" s="256"/>
      <c r="E2792" s="195"/>
      <c r="F2792" s="157"/>
      <c r="G2792" s="157"/>
      <c r="H2792" s="157"/>
      <c r="I2792" s="157"/>
      <c r="J2792" s="157"/>
      <c r="K2792" s="157"/>
      <c r="L2792" s="157"/>
      <c r="M2792" s="523"/>
      <c r="N2792" s="157"/>
      <c r="O2792" s="157"/>
    </row>
    <row r="2793" spans="3:15" ht="15" customHeight="1">
      <c r="C2793" s="498"/>
      <c r="D2793" s="256"/>
      <c r="E2793" s="195"/>
      <c r="F2793" s="157"/>
      <c r="G2793" s="157"/>
      <c r="H2793" s="157"/>
      <c r="I2793" s="157"/>
      <c r="J2793" s="157"/>
      <c r="K2793" s="157"/>
      <c r="L2793" s="157"/>
      <c r="M2793" s="523"/>
      <c r="N2793" s="157"/>
      <c r="O2793" s="157"/>
    </row>
    <row r="2794" spans="3:15" ht="15" customHeight="1">
      <c r="C2794" s="498"/>
      <c r="D2794" s="256"/>
      <c r="E2794" s="195"/>
      <c r="F2794" s="157"/>
      <c r="G2794" s="157"/>
      <c r="H2794" s="157"/>
      <c r="I2794" s="157"/>
      <c r="J2794" s="157"/>
      <c r="K2794" s="157"/>
      <c r="L2794" s="157"/>
      <c r="M2794" s="523"/>
      <c r="N2794" s="157"/>
      <c r="O2794" s="157"/>
    </row>
    <row r="2795" spans="3:15" ht="15" customHeight="1">
      <c r="C2795" s="498"/>
      <c r="D2795" s="256"/>
      <c r="E2795" s="195"/>
      <c r="F2795" s="157"/>
      <c r="G2795" s="157"/>
      <c r="H2795" s="157"/>
      <c r="I2795" s="157"/>
      <c r="J2795" s="157"/>
      <c r="K2795" s="157"/>
      <c r="L2795" s="157"/>
      <c r="M2795" s="523"/>
      <c r="N2795" s="157"/>
      <c r="O2795" s="157"/>
    </row>
    <row r="2796" spans="3:15" ht="15" customHeight="1">
      <c r="C2796" s="498"/>
      <c r="D2796" s="256"/>
      <c r="E2796" s="195"/>
      <c r="F2796" s="157"/>
      <c r="G2796" s="157"/>
      <c r="H2796" s="157"/>
      <c r="I2796" s="157"/>
      <c r="J2796" s="157"/>
      <c r="K2796" s="157"/>
      <c r="L2796" s="157"/>
      <c r="M2796" s="523"/>
      <c r="N2796" s="157"/>
      <c r="O2796" s="157"/>
    </row>
    <row r="2797" spans="3:15" ht="15" customHeight="1">
      <c r="C2797" s="498"/>
      <c r="D2797" s="256"/>
      <c r="E2797" s="195"/>
      <c r="F2797" s="157"/>
      <c r="G2797" s="157"/>
      <c r="H2797" s="157"/>
      <c r="I2797" s="157"/>
      <c r="J2797" s="157"/>
      <c r="K2797" s="157"/>
      <c r="L2797" s="157"/>
      <c r="M2797" s="523"/>
      <c r="N2797" s="157"/>
      <c r="O2797" s="157"/>
    </row>
    <row r="2798" spans="3:15" ht="15" customHeight="1">
      <c r="C2798" s="498"/>
      <c r="D2798" s="256"/>
      <c r="E2798" s="195"/>
      <c r="F2798" s="157"/>
      <c r="G2798" s="157"/>
      <c r="H2798" s="157"/>
      <c r="I2798" s="157"/>
      <c r="J2798" s="157"/>
      <c r="K2798" s="157"/>
      <c r="L2798" s="157"/>
      <c r="M2798" s="523"/>
      <c r="N2798" s="157"/>
      <c r="O2798" s="157"/>
    </row>
    <row r="2799" spans="3:15" ht="15" customHeight="1">
      <c r="C2799" s="498"/>
      <c r="D2799" s="256"/>
      <c r="E2799" s="195"/>
      <c r="F2799" s="157"/>
      <c r="G2799" s="157"/>
      <c r="H2799" s="157"/>
      <c r="I2799" s="157"/>
      <c r="J2799" s="157"/>
      <c r="K2799" s="157"/>
      <c r="L2799" s="157"/>
      <c r="M2799" s="523"/>
      <c r="N2799" s="157"/>
      <c r="O2799" s="157"/>
    </row>
    <row r="2800" spans="3:15" ht="15" customHeight="1">
      <c r="C2800" s="498"/>
      <c r="D2800" s="256"/>
      <c r="E2800" s="195"/>
      <c r="F2800" s="157"/>
      <c r="G2800" s="157"/>
      <c r="H2800" s="157"/>
      <c r="I2800" s="157"/>
      <c r="J2800" s="157"/>
      <c r="K2800" s="157"/>
      <c r="L2800" s="157"/>
      <c r="M2800" s="523"/>
      <c r="N2800" s="157"/>
      <c r="O2800" s="157"/>
    </row>
    <row r="2801" spans="3:15" ht="15" customHeight="1">
      <c r="C2801" s="498"/>
      <c r="D2801" s="256"/>
      <c r="E2801" s="195"/>
      <c r="F2801" s="157"/>
      <c r="G2801" s="157"/>
      <c r="H2801" s="157"/>
      <c r="I2801" s="157"/>
      <c r="J2801" s="157"/>
      <c r="K2801" s="157"/>
      <c r="L2801" s="157"/>
      <c r="M2801" s="523"/>
      <c r="N2801" s="157"/>
      <c r="O2801" s="157"/>
    </row>
    <row r="2802" spans="3:15" ht="15" customHeight="1">
      <c r="C2802" s="498"/>
      <c r="D2802" s="256"/>
      <c r="E2802" s="195"/>
      <c r="F2802" s="157"/>
      <c r="G2802" s="157"/>
      <c r="H2802" s="157"/>
      <c r="I2802" s="157"/>
      <c r="J2802" s="157"/>
      <c r="K2802" s="157"/>
      <c r="L2802" s="157"/>
      <c r="M2802" s="523"/>
      <c r="N2802" s="157"/>
      <c r="O2802" s="157"/>
    </row>
    <row r="2803" spans="3:15" ht="15" customHeight="1">
      <c r="C2803" s="498"/>
      <c r="D2803" s="256"/>
      <c r="E2803" s="195"/>
      <c r="F2803" s="157"/>
      <c r="G2803" s="157"/>
      <c r="H2803" s="157"/>
      <c r="I2803" s="157"/>
      <c r="J2803" s="157"/>
      <c r="K2803" s="157"/>
      <c r="L2803" s="157"/>
      <c r="M2803" s="523"/>
      <c r="N2803" s="157"/>
      <c r="O2803" s="157"/>
    </row>
    <row r="2804" spans="3:15" ht="15" customHeight="1">
      <c r="C2804" s="498"/>
      <c r="D2804" s="256"/>
      <c r="E2804" s="195"/>
      <c r="F2804" s="157"/>
      <c r="G2804" s="157"/>
      <c r="H2804" s="157"/>
      <c r="I2804" s="157"/>
      <c r="J2804" s="157"/>
      <c r="K2804" s="157"/>
      <c r="L2804" s="157"/>
      <c r="M2804" s="523"/>
      <c r="N2804" s="157"/>
      <c r="O2804" s="157"/>
    </row>
    <row r="2805" spans="3:15" ht="15" customHeight="1">
      <c r="C2805" s="498"/>
      <c r="D2805" s="256"/>
      <c r="E2805" s="195"/>
      <c r="F2805" s="157"/>
      <c r="G2805" s="157"/>
      <c r="H2805" s="157"/>
      <c r="I2805" s="157"/>
      <c r="J2805" s="157"/>
      <c r="K2805" s="157"/>
      <c r="L2805" s="157"/>
      <c r="M2805" s="523"/>
      <c r="N2805" s="157"/>
      <c r="O2805" s="157"/>
    </row>
    <row r="2806" spans="3:15" ht="15" customHeight="1">
      <c r="C2806" s="498"/>
      <c r="D2806" s="256"/>
      <c r="E2806" s="195"/>
      <c r="F2806" s="157"/>
      <c r="G2806" s="157"/>
      <c r="H2806" s="157"/>
      <c r="I2806" s="157"/>
      <c r="J2806" s="157"/>
      <c r="K2806" s="157"/>
      <c r="L2806" s="157"/>
      <c r="M2806" s="523"/>
      <c r="N2806" s="157"/>
      <c r="O2806" s="157"/>
    </row>
    <row r="2807" spans="3:15" ht="15" customHeight="1">
      <c r="C2807" s="498"/>
      <c r="D2807" s="256"/>
      <c r="E2807" s="195"/>
      <c r="F2807" s="157"/>
      <c r="G2807" s="157"/>
      <c r="H2807" s="157"/>
      <c r="I2807" s="157"/>
      <c r="J2807" s="157"/>
      <c r="K2807" s="157"/>
      <c r="L2807" s="157"/>
      <c r="M2807" s="523"/>
      <c r="N2807" s="157"/>
      <c r="O2807" s="157"/>
    </row>
    <row r="2808" spans="3:15" ht="15" customHeight="1">
      <c r="C2808" s="498"/>
      <c r="D2808" s="256"/>
      <c r="E2808" s="195"/>
      <c r="F2808" s="157"/>
      <c r="G2808" s="157"/>
      <c r="H2808" s="157"/>
      <c r="I2808" s="157"/>
      <c r="J2808" s="157"/>
      <c r="K2808" s="157"/>
      <c r="L2808" s="157"/>
      <c r="M2808" s="523"/>
      <c r="N2808" s="157"/>
      <c r="O2808" s="157"/>
    </row>
    <row r="2809" spans="3:15" ht="15" customHeight="1">
      <c r="C2809" s="498"/>
      <c r="D2809" s="256"/>
      <c r="E2809" s="195"/>
      <c r="F2809" s="157"/>
      <c r="G2809" s="157"/>
      <c r="H2809" s="157"/>
      <c r="I2809" s="157"/>
      <c r="J2809" s="157"/>
      <c r="K2809" s="157"/>
      <c r="L2809" s="157"/>
      <c r="M2809" s="523"/>
      <c r="N2809" s="157"/>
      <c r="O2809" s="157"/>
    </row>
    <row r="2810" spans="3:15" ht="15" customHeight="1">
      <c r="C2810" s="498"/>
      <c r="D2810" s="256"/>
      <c r="E2810" s="195"/>
      <c r="F2810" s="157"/>
      <c r="G2810" s="157"/>
      <c r="H2810" s="157"/>
      <c r="I2810" s="157"/>
      <c r="J2810" s="157"/>
      <c r="K2810" s="157"/>
      <c r="L2810" s="157"/>
      <c r="M2810" s="523"/>
      <c r="N2810" s="157"/>
      <c r="O2810" s="157"/>
    </row>
    <row r="2811" spans="3:15" ht="15" customHeight="1">
      <c r="C2811" s="498"/>
      <c r="D2811" s="256"/>
      <c r="E2811" s="195"/>
      <c r="F2811" s="157"/>
      <c r="G2811" s="157"/>
      <c r="H2811" s="157"/>
      <c r="I2811" s="157"/>
      <c r="J2811" s="157"/>
      <c r="K2811" s="157"/>
      <c r="L2811" s="157"/>
      <c r="M2811" s="523"/>
      <c r="N2811" s="157"/>
      <c r="O2811" s="157"/>
    </row>
    <row r="2812" spans="3:15" ht="15" customHeight="1">
      <c r="C2812" s="498"/>
      <c r="D2812" s="256"/>
      <c r="E2812" s="195"/>
      <c r="F2812" s="157"/>
      <c r="G2812" s="157"/>
      <c r="H2812" s="157"/>
      <c r="I2812" s="157"/>
      <c r="J2812" s="157"/>
      <c r="K2812" s="157"/>
      <c r="L2812" s="157"/>
      <c r="M2812" s="523"/>
      <c r="N2812" s="157"/>
      <c r="O2812" s="157"/>
    </row>
    <row r="2813" spans="3:15" ht="15" customHeight="1">
      <c r="C2813" s="498"/>
      <c r="D2813" s="256"/>
      <c r="E2813" s="195"/>
      <c r="F2813" s="157"/>
      <c r="G2813" s="157"/>
      <c r="H2813" s="157"/>
      <c r="I2813" s="157"/>
      <c r="J2813" s="157"/>
      <c r="K2813" s="157"/>
      <c r="L2813" s="157"/>
      <c r="M2813" s="523"/>
      <c r="N2813" s="157"/>
      <c r="O2813" s="157"/>
    </row>
    <row r="2814" spans="3:15" ht="15" customHeight="1">
      <c r="C2814" s="498"/>
      <c r="D2814" s="256"/>
      <c r="E2814" s="195"/>
      <c r="F2814" s="157"/>
      <c r="G2814" s="157"/>
      <c r="H2814" s="157"/>
      <c r="I2814" s="157"/>
      <c r="J2814" s="157"/>
      <c r="K2814" s="157"/>
      <c r="L2814" s="157"/>
      <c r="M2814" s="523"/>
      <c r="N2814" s="157"/>
      <c r="O2814" s="157"/>
    </row>
    <row r="2815" spans="3:15" ht="15" customHeight="1">
      <c r="C2815" s="498"/>
      <c r="D2815" s="256"/>
      <c r="E2815" s="195"/>
      <c r="F2815" s="157"/>
      <c r="G2815" s="157"/>
      <c r="H2815" s="157"/>
      <c r="I2815" s="157"/>
      <c r="J2815" s="157"/>
      <c r="K2815" s="157"/>
      <c r="L2815" s="157"/>
      <c r="M2815" s="523"/>
      <c r="N2815" s="157"/>
      <c r="O2815" s="157"/>
    </row>
    <row r="2816" spans="3:15" ht="15" customHeight="1">
      <c r="C2816" s="498"/>
      <c r="D2816" s="256"/>
      <c r="E2816" s="195"/>
      <c r="F2816" s="157"/>
      <c r="G2816" s="157"/>
      <c r="H2816" s="157"/>
      <c r="I2816" s="157"/>
      <c r="J2816" s="157"/>
      <c r="K2816" s="157"/>
      <c r="L2816" s="157"/>
      <c r="M2816" s="523"/>
      <c r="N2816" s="157"/>
      <c r="O2816" s="157"/>
    </row>
    <row r="2817" spans="3:15" ht="15" customHeight="1">
      <c r="C2817" s="498"/>
      <c r="D2817" s="256"/>
      <c r="E2817" s="195"/>
      <c r="F2817" s="157"/>
      <c r="G2817" s="157"/>
      <c r="H2817" s="157"/>
      <c r="I2817" s="157"/>
      <c r="J2817" s="157"/>
      <c r="K2817" s="157"/>
      <c r="L2817" s="157"/>
      <c r="M2817" s="523"/>
      <c r="N2817" s="157"/>
      <c r="O2817" s="157"/>
    </row>
    <row r="2818" spans="3:15" ht="15" customHeight="1">
      <c r="C2818" s="498"/>
      <c r="D2818" s="256"/>
      <c r="E2818" s="195"/>
      <c r="F2818" s="157"/>
      <c r="G2818" s="157"/>
      <c r="H2818" s="157"/>
      <c r="I2818" s="157"/>
      <c r="J2818" s="157"/>
      <c r="K2818" s="157"/>
      <c r="L2818" s="157"/>
      <c r="M2818" s="523"/>
      <c r="N2818" s="157"/>
      <c r="O2818" s="157"/>
    </row>
    <row r="2819" spans="3:15" ht="15" customHeight="1">
      <c r="C2819" s="498"/>
      <c r="D2819" s="256"/>
      <c r="E2819" s="195"/>
      <c r="F2819" s="157"/>
      <c r="G2819" s="157"/>
      <c r="H2819" s="157"/>
      <c r="I2819" s="157"/>
      <c r="J2819" s="157"/>
      <c r="K2819" s="157"/>
      <c r="L2819" s="157"/>
      <c r="M2819" s="523"/>
      <c r="N2819" s="157"/>
      <c r="O2819" s="157"/>
    </row>
    <row r="2820" spans="3:15" ht="15" customHeight="1">
      <c r="C2820" s="498"/>
      <c r="D2820" s="256"/>
      <c r="E2820" s="195"/>
      <c r="F2820" s="157"/>
      <c r="G2820" s="157"/>
      <c r="H2820" s="157"/>
      <c r="I2820" s="157"/>
      <c r="J2820" s="157"/>
      <c r="K2820" s="157"/>
      <c r="L2820" s="157"/>
      <c r="M2820" s="523"/>
      <c r="N2820" s="157"/>
      <c r="O2820" s="157"/>
    </row>
    <row r="2821" spans="3:15" ht="15" customHeight="1">
      <c r="C2821" s="498"/>
      <c r="D2821" s="256"/>
      <c r="E2821" s="195"/>
      <c r="F2821" s="157"/>
      <c r="G2821" s="157"/>
      <c r="H2821" s="157"/>
      <c r="I2821" s="157"/>
      <c r="J2821" s="157"/>
      <c r="K2821" s="157"/>
      <c r="L2821" s="157"/>
      <c r="M2821" s="523"/>
      <c r="N2821" s="157"/>
      <c r="O2821" s="157"/>
    </row>
    <row r="2822" spans="3:15" ht="15" customHeight="1">
      <c r="C2822" s="498"/>
      <c r="D2822" s="256"/>
      <c r="E2822" s="195"/>
      <c r="F2822" s="157"/>
      <c r="G2822" s="157"/>
      <c r="H2822" s="157"/>
      <c r="I2822" s="157"/>
      <c r="J2822" s="157"/>
      <c r="K2822" s="157"/>
      <c r="L2822" s="157"/>
      <c r="M2822" s="523"/>
      <c r="N2822" s="157"/>
      <c r="O2822" s="157"/>
    </row>
    <row r="2823" spans="3:15" ht="15" customHeight="1">
      <c r="C2823" s="498"/>
      <c r="D2823" s="256"/>
      <c r="E2823" s="195"/>
      <c r="F2823" s="157"/>
      <c r="G2823" s="157"/>
      <c r="H2823" s="157"/>
      <c r="I2823" s="157"/>
      <c r="J2823" s="157"/>
      <c r="K2823" s="157"/>
      <c r="L2823" s="157"/>
      <c r="M2823" s="523"/>
      <c r="N2823" s="157"/>
      <c r="O2823" s="157"/>
    </row>
    <row r="2824" spans="3:15" ht="15" customHeight="1">
      <c r="C2824" s="498"/>
      <c r="D2824" s="256"/>
      <c r="E2824" s="195"/>
      <c r="F2824" s="157"/>
      <c r="G2824" s="157"/>
      <c r="H2824" s="157"/>
      <c r="I2824" s="157"/>
      <c r="J2824" s="157"/>
      <c r="K2824" s="157"/>
      <c r="L2824" s="157"/>
      <c r="M2824" s="523"/>
      <c r="N2824" s="157"/>
      <c r="O2824" s="157"/>
    </row>
    <row r="2825" spans="3:15" ht="15" customHeight="1">
      <c r="C2825" s="498"/>
      <c r="D2825" s="256"/>
      <c r="E2825" s="195"/>
      <c r="F2825" s="157"/>
      <c r="G2825" s="157"/>
      <c r="H2825" s="157"/>
      <c r="I2825" s="157"/>
      <c r="J2825" s="157"/>
      <c r="K2825" s="157"/>
      <c r="L2825" s="157"/>
      <c r="M2825" s="523"/>
      <c r="N2825" s="157"/>
      <c r="O2825" s="157"/>
    </row>
    <row r="2826" spans="3:15" ht="15" customHeight="1">
      <c r="C2826" s="498"/>
      <c r="D2826" s="256"/>
      <c r="E2826" s="195"/>
      <c r="F2826" s="157"/>
      <c r="G2826" s="157"/>
      <c r="H2826" s="157"/>
      <c r="I2826" s="157"/>
      <c r="J2826" s="157"/>
      <c r="K2826" s="157"/>
      <c r="L2826" s="157"/>
      <c r="M2826" s="523"/>
      <c r="N2826" s="157"/>
      <c r="O2826" s="157"/>
    </row>
    <row r="2827" spans="3:15" ht="15" customHeight="1">
      <c r="C2827" s="498"/>
      <c r="D2827" s="256"/>
      <c r="E2827" s="195"/>
      <c r="F2827" s="157"/>
      <c r="G2827" s="157"/>
      <c r="H2827" s="157"/>
      <c r="I2827" s="157"/>
      <c r="J2827" s="157"/>
      <c r="K2827" s="157"/>
      <c r="L2827" s="157"/>
      <c r="M2827" s="523"/>
      <c r="N2827" s="157"/>
      <c r="O2827" s="157"/>
    </row>
    <row r="2828" spans="3:15" ht="15" customHeight="1">
      <c r="C2828" s="498"/>
      <c r="D2828" s="256"/>
      <c r="E2828" s="195"/>
      <c r="F2828" s="157"/>
      <c r="G2828" s="157"/>
      <c r="H2828" s="157"/>
      <c r="I2828" s="157"/>
      <c r="J2828" s="157"/>
      <c r="K2828" s="157"/>
      <c r="L2828" s="157"/>
      <c r="M2828" s="523"/>
      <c r="N2828" s="157"/>
      <c r="O2828" s="157"/>
    </row>
    <row r="2829" spans="3:15" ht="15" customHeight="1">
      <c r="C2829" s="498"/>
      <c r="D2829" s="256"/>
      <c r="E2829" s="195"/>
      <c r="F2829" s="157"/>
      <c r="G2829" s="157"/>
      <c r="H2829" s="157"/>
      <c r="I2829" s="157"/>
      <c r="J2829" s="157"/>
      <c r="K2829" s="157"/>
      <c r="L2829" s="157"/>
      <c r="M2829" s="523"/>
      <c r="N2829" s="157"/>
      <c r="O2829" s="157"/>
    </row>
    <row r="2830" spans="3:15" ht="15" customHeight="1">
      <c r="C2830" s="498"/>
      <c r="D2830" s="256"/>
      <c r="E2830" s="195"/>
      <c r="F2830" s="157"/>
      <c r="G2830" s="157"/>
      <c r="H2830" s="157"/>
      <c r="I2830" s="157"/>
      <c r="J2830" s="157"/>
      <c r="K2830" s="157"/>
      <c r="L2830" s="157"/>
      <c r="M2830" s="523"/>
      <c r="N2830" s="157"/>
      <c r="O2830" s="157"/>
    </row>
    <row r="2831" spans="3:15" ht="15" customHeight="1">
      <c r="C2831" s="498"/>
      <c r="D2831" s="256"/>
      <c r="E2831" s="195"/>
      <c r="F2831" s="157"/>
      <c r="G2831" s="157"/>
      <c r="H2831" s="157"/>
      <c r="I2831" s="157"/>
      <c r="J2831" s="157"/>
      <c r="K2831" s="157"/>
      <c r="L2831" s="157"/>
      <c r="M2831" s="523"/>
      <c r="N2831" s="157"/>
      <c r="O2831" s="157"/>
    </row>
    <row r="2832" spans="3:15" ht="15" customHeight="1">
      <c r="C2832" s="498"/>
      <c r="D2832" s="256"/>
      <c r="E2832" s="195"/>
      <c r="F2832" s="157"/>
      <c r="G2832" s="157"/>
      <c r="H2832" s="157"/>
      <c r="I2832" s="157"/>
      <c r="J2832" s="157"/>
      <c r="K2832" s="157"/>
      <c r="L2832" s="157"/>
      <c r="M2832" s="523"/>
      <c r="N2832" s="157"/>
      <c r="O2832" s="157"/>
    </row>
    <row r="2833" spans="3:15" ht="15" customHeight="1">
      <c r="C2833" s="498"/>
      <c r="D2833" s="256"/>
      <c r="E2833" s="195"/>
      <c r="F2833" s="157"/>
      <c r="G2833" s="157"/>
      <c r="H2833" s="157"/>
      <c r="I2833" s="157"/>
      <c r="J2833" s="157"/>
      <c r="K2833" s="157"/>
      <c r="L2833" s="157"/>
      <c r="M2833" s="523"/>
      <c r="N2833" s="157"/>
      <c r="O2833" s="157"/>
    </row>
    <row r="2834" spans="3:15" ht="15" customHeight="1">
      <c r="C2834" s="498"/>
      <c r="D2834" s="256"/>
      <c r="E2834" s="195"/>
      <c r="F2834" s="157"/>
      <c r="G2834" s="157"/>
      <c r="H2834" s="157"/>
      <c r="I2834" s="157"/>
      <c r="J2834" s="157"/>
      <c r="K2834" s="157"/>
      <c r="L2834" s="157"/>
      <c r="M2834" s="523"/>
      <c r="N2834" s="157"/>
      <c r="O2834" s="157"/>
    </row>
    <row r="2835" spans="3:15" ht="15" customHeight="1">
      <c r="C2835" s="498"/>
      <c r="D2835" s="256"/>
      <c r="E2835" s="195"/>
      <c r="F2835" s="157"/>
      <c r="G2835" s="157"/>
      <c r="H2835" s="157"/>
      <c r="I2835" s="157"/>
      <c r="J2835" s="157"/>
      <c r="K2835" s="157"/>
      <c r="L2835" s="157"/>
      <c r="M2835" s="523"/>
      <c r="N2835" s="157"/>
      <c r="O2835" s="157"/>
    </row>
    <row r="2836" spans="3:15" ht="15" customHeight="1">
      <c r="C2836" s="498"/>
      <c r="D2836" s="256"/>
      <c r="E2836" s="195"/>
      <c r="F2836" s="157"/>
      <c r="G2836" s="157"/>
      <c r="H2836" s="157"/>
      <c r="I2836" s="157"/>
      <c r="J2836" s="157"/>
      <c r="K2836" s="157"/>
      <c r="L2836" s="157"/>
      <c r="M2836" s="523"/>
      <c r="N2836" s="157"/>
      <c r="O2836" s="157"/>
    </row>
    <row r="2837" spans="3:15" ht="15" customHeight="1">
      <c r="C2837" s="498"/>
      <c r="D2837" s="256"/>
      <c r="E2837" s="195"/>
      <c r="F2837" s="157"/>
      <c r="G2837" s="157"/>
      <c r="H2837" s="157"/>
      <c r="I2837" s="157"/>
      <c r="J2837" s="157"/>
      <c r="K2837" s="157"/>
      <c r="L2837" s="157"/>
      <c r="M2837" s="523"/>
      <c r="N2837" s="157"/>
      <c r="O2837" s="157"/>
    </row>
    <row r="2838" spans="3:15" ht="15" customHeight="1">
      <c r="C2838" s="498"/>
      <c r="D2838" s="256"/>
      <c r="E2838" s="195"/>
      <c r="F2838" s="157"/>
      <c r="G2838" s="157"/>
      <c r="H2838" s="157"/>
      <c r="I2838" s="157"/>
      <c r="J2838" s="157"/>
      <c r="K2838" s="157"/>
      <c r="L2838" s="157"/>
      <c r="M2838" s="523"/>
      <c r="N2838" s="157"/>
      <c r="O2838" s="157"/>
    </row>
    <row r="2839" spans="3:15" ht="15" customHeight="1">
      <c r="C2839" s="498"/>
      <c r="D2839" s="256"/>
      <c r="E2839" s="195"/>
      <c r="F2839" s="157"/>
      <c r="G2839" s="157"/>
      <c r="H2839" s="157"/>
      <c r="I2839" s="157"/>
      <c r="J2839" s="157"/>
      <c r="K2839" s="157"/>
      <c r="L2839" s="157"/>
      <c r="M2839" s="523"/>
      <c r="N2839" s="157"/>
      <c r="O2839" s="157"/>
    </row>
    <row r="2840" spans="3:15" ht="15" customHeight="1">
      <c r="C2840" s="498"/>
      <c r="D2840" s="256"/>
      <c r="E2840" s="195"/>
      <c r="F2840" s="157"/>
      <c r="G2840" s="157"/>
      <c r="H2840" s="157"/>
      <c r="I2840" s="157"/>
      <c r="J2840" s="157"/>
      <c r="K2840" s="157"/>
      <c r="L2840" s="157"/>
      <c r="M2840" s="523"/>
      <c r="N2840" s="157"/>
      <c r="O2840" s="157"/>
    </row>
    <row r="2841" spans="3:15" ht="15" customHeight="1">
      <c r="C2841" s="498"/>
      <c r="D2841" s="256"/>
      <c r="E2841" s="195"/>
      <c r="F2841" s="157"/>
      <c r="G2841" s="157"/>
      <c r="H2841" s="157"/>
      <c r="I2841" s="157"/>
      <c r="J2841" s="157"/>
      <c r="K2841" s="157"/>
      <c r="L2841" s="157"/>
      <c r="M2841" s="523"/>
      <c r="N2841" s="157"/>
      <c r="O2841" s="157"/>
    </row>
    <row r="2842" spans="3:15" ht="15" customHeight="1">
      <c r="C2842" s="498"/>
      <c r="D2842" s="256"/>
      <c r="E2842" s="195"/>
      <c r="F2842" s="157"/>
      <c r="G2842" s="157"/>
      <c r="H2842" s="157"/>
      <c r="I2842" s="157"/>
      <c r="J2842" s="157"/>
      <c r="K2842" s="157"/>
      <c r="L2842" s="157"/>
      <c r="M2842" s="523"/>
      <c r="N2842" s="157"/>
      <c r="O2842" s="157"/>
    </row>
    <row r="2843" spans="3:15" ht="15" customHeight="1">
      <c r="C2843" s="498"/>
      <c r="D2843" s="256"/>
      <c r="E2843" s="195"/>
      <c r="F2843" s="157"/>
      <c r="G2843" s="157"/>
      <c r="H2843" s="157"/>
      <c r="I2843" s="157"/>
      <c r="J2843" s="157"/>
      <c r="K2843" s="157"/>
      <c r="L2843" s="157"/>
      <c r="M2843" s="523"/>
      <c r="N2843" s="157"/>
      <c r="O2843" s="157"/>
    </row>
    <row r="2844" spans="3:15" ht="15" customHeight="1">
      <c r="C2844" s="498"/>
      <c r="D2844" s="256"/>
      <c r="E2844" s="195"/>
      <c r="F2844" s="157"/>
      <c r="G2844" s="157"/>
      <c r="H2844" s="157"/>
      <c r="I2844" s="157"/>
      <c r="J2844" s="157"/>
      <c r="K2844" s="157"/>
      <c r="L2844" s="157"/>
      <c r="M2844" s="523"/>
      <c r="N2844" s="157"/>
      <c r="O2844" s="157"/>
    </row>
    <row r="2845" spans="3:15" ht="15" customHeight="1">
      <c r="C2845" s="498"/>
      <c r="D2845" s="256"/>
      <c r="E2845" s="195"/>
      <c r="F2845" s="157"/>
      <c r="G2845" s="157"/>
      <c r="H2845" s="157"/>
      <c r="I2845" s="157"/>
      <c r="J2845" s="157"/>
      <c r="K2845" s="157"/>
      <c r="L2845" s="157"/>
      <c r="M2845" s="523"/>
      <c r="N2845" s="157"/>
      <c r="O2845" s="157"/>
    </row>
    <row r="2846" spans="3:15" ht="15" customHeight="1">
      <c r="C2846" s="498"/>
      <c r="D2846" s="256"/>
      <c r="E2846" s="195"/>
      <c r="F2846" s="157"/>
      <c r="G2846" s="157"/>
      <c r="H2846" s="157"/>
      <c r="I2846" s="157"/>
      <c r="J2846" s="157"/>
      <c r="K2846" s="157"/>
      <c r="L2846" s="157"/>
      <c r="M2846" s="523"/>
      <c r="N2846" s="157"/>
      <c r="O2846" s="157"/>
    </row>
    <row r="2847" spans="3:15" ht="15" customHeight="1">
      <c r="C2847" s="498"/>
      <c r="D2847" s="256"/>
      <c r="E2847" s="195"/>
      <c r="F2847" s="157"/>
      <c r="G2847" s="157"/>
      <c r="H2847" s="157"/>
      <c r="I2847" s="157"/>
      <c r="J2847" s="157"/>
      <c r="K2847" s="157"/>
      <c r="L2847" s="157"/>
      <c r="M2847" s="523"/>
      <c r="N2847" s="157"/>
      <c r="O2847" s="157"/>
    </row>
    <row r="2848" spans="3:15" ht="15" customHeight="1">
      <c r="C2848" s="498"/>
      <c r="D2848" s="256"/>
      <c r="E2848" s="195"/>
      <c r="F2848" s="157"/>
      <c r="G2848" s="157"/>
      <c r="H2848" s="157"/>
      <c r="I2848" s="157"/>
      <c r="J2848" s="157"/>
      <c r="K2848" s="157"/>
      <c r="L2848" s="157"/>
      <c r="M2848" s="523"/>
      <c r="N2848" s="157"/>
      <c r="O2848" s="157"/>
    </row>
    <row r="2849" spans="3:15" ht="15" customHeight="1">
      <c r="C2849" s="498"/>
      <c r="D2849" s="256"/>
      <c r="E2849" s="195"/>
      <c r="F2849" s="157"/>
      <c r="G2849" s="157"/>
      <c r="H2849" s="157"/>
      <c r="I2849" s="157"/>
      <c r="J2849" s="157"/>
      <c r="K2849" s="157"/>
      <c r="L2849" s="157"/>
      <c r="M2849" s="523"/>
      <c r="N2849" s="157"/>
      <c r="O2849" s="157"/>
    </row>
    <row r="2850" spans="3:15" ht="15" customHeight="1">
      <c r="C2850" s="498"/>
      <c r="D2850" s="256"/>
      <c r="E2850" s="195"/>
      <c r="F2850" s="157"/>
      <c r="G2850" s="157"/>
      <c r="H2850" s="157"/>
      <c r="I2850" s="157"/>
      <c r="J2850" s="157"/>
      <c r="K2850" s="157"/>
      <c r="L2850" s="157"/>
      <c r="M2850" s="523"/>
      <c r="N2850" s="157"/>
      <c r="O2850" s="157"/>
    </row>
    <row r="2851" spans="3:15" ht="15" customHeight="1">
      <c r="C2851" s="498"/>
      <c r="D2851" s="256"/>
      <c r="E2851" s="195"/>
      <c r="F2851" s="157"/>
      <c r="G2851" s="157"/>
      <c r="H2851" s="157"/>
      <c r="I2851" s="157"/>
      <c r="J2851" s="157"/>
      <c r="K2851" s="157"/>
      <c r="L2851" s="157"/>
      <c r="M2851" s="523"/>
      <c r="N2851" s="157"/>
      <c r="O2851" s="157"/>
    </row>
    <row r="2852" spans="3:15" ht="15" customHeight="1">
      <c r="C2852" s="498"/>
      <c r="D2852" s="256"/>
      <c r="E2852" s="195"/>
      <c r="F2852" s="157"/>
      <c r="G2852" s="157"/>
      <c r="H2852" s="157"/>
      <c r="I2852" s="157"/>
      <c r="J2852" s="157"/>
      <c r="K2852" s="157"/>
      <c r="L2852" s="157"/>
      <c r="M2852" s="523"/>
      <c r="N2852" s="157"/>
      <c r="O2852" s="157"/>
    </row>
  </sheetData>
  <hyperlinks>
    <hyperlink ref="E8" location="m_results_01" display="m_results_01"/>
    <hyperlink ref="E9" location="m_results_02" display="m_results_02"/>
    <hyperlink ref="E10" location="m_results_03" display="m_results_03"/>
    <hyperlink ref="E11" location="m_results_04" display="m_results_04"/>
    <hyperlink ref="E12" location="m_results_05" display="m_results_05"/>
    <hyperlink ref="E13" location="m_results_06" display="m_results_06"/>
    <hyperlink ref="E14" location="m_results_07" display="m_results_07"/>
    <hyperlink ref="F8" location="SavedResults!C558" display="SavedResults!C558"/>
    <hyperlink ref="F9" location="SavedResults!C635" display="SavedResults!C635"/>
    <hyperlink ref="F10" location="SavedResults!C712" display="SavedResults!C712"/>
    <hyperlink ref="F11" location="SavedResults!C789" display="SavedResults!C789"/>
    <hyperlink ref="F12" location="SavedResults!C866" display="SavedResults!C866"/>
    <hyperlink ref="F13" location="SavedResults!C943" display="SavedResults!C943"/>
    <hyperlink ref="F14" location="SavedResults!C1020" display="SavedResults!C1020"/>
    <hyperlink ref="F15" location="SavedResults!C1098" display="All DNOs"/>
  </hyperlinks>
  <pageMargins left="0.23622047244094491" right="0.23622047244094491" top="0.74803149606299213" bottom="0.74803149606299213" header="0.31496062992125984" footer="0.31496062992125984"/>
  <pageSetup paperSize="8" scale="65" fitToHeight="0" orientation="portrait" r:id="rId1"/>
  <headerFooter>
    <oddFooter>&amp;LDraft at &amp;D&amp;C&amp;P of &amp;N&amp;R"&amp;A" sheet</oddFooter>
  </headerFooter>
  <rowBreaks count="13" manualBreakCount="13">
    <brk id="95" max="16383" man="1"/>
    <brk id="171" max="16383" man="1"/>
    <brk id="248" max="16383" man="1"/>
    <brk id="325" max="16383" man="1"/>
    <brk id="402" max="16383" man="1"/>
    <brk id="479" max="16383" man="1"/>
    <brk id="556" max="16383" man="1"/>
    <brk id="633" max="16383" man="1"/>
    <brk id="709" max="16383" man="1"/>
    <brk id="787" max="16383" man="1"/>
    <brk id="862" max="16383" man="1"/>
    <brk id="940" max="16383" man="1"/>
    <brk id="1017"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4">
    <tabColor rgb="FFFF99FF"/>
    <pageSetUpPr fitToPage="1"/>
  </sheetPr>
  <dimension ref="A1:AV270"/>
  <sheetViews>
    <sheetView tabSelected="1" zoomScale="75" zoomScaleNormal="75" workbookViewId="0">
      <pane xSplit="10" ySplit="7" topLeftCell="AJ8" activePane="bottomRight" state="frozen"/>
      <selection activeCell="F444" sqref="F444"/>
      <selection pane="topRight" activeCell="F444" sqref="F444"/>
      <selection pane="bottomLeft" activeCell="F444" sqref="F444"/>
      <selection pane="bottomRight" activeCell="AZ19" sqref="AZ19"/>
    </sheetView>
  </sheetViews>
  <sheetFormatPr defaultColWidth="9" defaultRowHeight="12.75" zeroHeight="1" outlineLevelCol="1"/>
  <cols>
    <col min="1" max="4" width="1.625" style="195" customWidth="1"/>
    <col min="5" max="5" width="50.625" style="195" customWidth="1"/>
    <col min="6" max="6" width="1.625" style="195" customWidth="1"/>
    <col min="7" max="7" width="12.625" style="195" bestFit="1" customWidth="1"/>
    <col min="8" max="8" width="1.625" style="195" customWidth="1"/>
    <col min="9" max="9" width="10.625" style="195" customWidth="1"/>
    <col min="10" max="10" width="1.625" style="195" customWidth="1"/>
    <col min="11" max="35" width="10.625" style="195" hidden="1" customWidth="1" outlineLevel="1"/>
    <col min="36" max="36" width="10.625" style="195" customWidth="1" collapsed="1"/>
    <col min="37" max="43" width="10.625" style="195" customWidth="1"/>
    <col min="44" max="44" width="1.625" style="195" customWidth="1"/>
    <col min="45" max="48" width="9" style="195" customWidth="1"/>
    <col min="49" max="16384" width="9" style="195"/>
  </cols>
  <sheetData>
    <row r="1" spans="1:48" s="7" customFormat="1" ht="15">
      <c r="A1" s="349" t="s">
        <v>438</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c r="AJ1" s="355" t="s">
        <v>639</v>
      </c>
      <c r="AK1" s="10"/>
      <c r="AL1" s="10"/>
      <c r="AM1" s="10"/>
      <c r="AN1" s="10"/>
      <c r="AO1" s="10"/>
      <c r="AP1" s="10"/>
      <c r="AQ1" s="10"/>
      <c r="AR1" s="351"/>
    </row>
    <row r="2" spans="1:48" s="7" customFormat="1">
      <c r="A2" s="10"/>
      <c r="B2" s="10" t="str">
        <f>UserInterface!G24</f>
        <v>SPN</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8" s="7" customForma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8" s="7" customForma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8" s="7" customForma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8" s="7" customForma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8" s="7" customFormat="1">
      <c r="A7" s="10"/>
      <c r="B7" s="10"/>
      <c r="C7" s="10"/>
      <c r="D7" s="10"/>
      <c r="E7" s="10" t="s">
        <v>236</v>
      </c>
      <c r="F7" s="10"/>
      <c r="I7" s="352">
        <f>UserInterface!$G$17</f>
        <v>42460</v>
      </c>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c r="AS7" s="43"/>
      <c r="AT7" s="43"/>
      <c r="AU7" s="43"/>
      <c r="AV7" s="43"/>
    </row>
    <row r="8" spans="1:48" s="149" customFormat="1"/>
    <row r="9" spans="1:48">
      <c r="B9" s="334" t="s">
        <v>594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c r="AR9" s="113"/>
      <c r="AS9" s="113"/>
      <c r="AT9" s="113"/>
      <c r="AU9" s="113"/>
      <c r="AV9" s="113"/>
    </row>
    <row r="10" spans="1:48" s="149" customFormat="1">
      <c r="C10" s="197" t="s">
        <v>618</v>
      </c>
      <c r="D10" s="197"/>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97"/>
    </row>
    <row r="11" spans="1:48">
      <c r="C11" s="464" t="s">
        <v>619</v>
      </c>
      <c r="D11" s="465"/>
      <c r="E11" s="465"/>
      <c r="F11" s="465"/>
      <c r="G11" s="465"/>
      <c r="H11" s="465"/>
      <c r="I11" s="465"/>
      <c r="J11" s="465"/>
      <c r="K11" s="465"/>
      <c r="L11" s="465"/>
      <c r="M11" s="465"/>
      <c r="N11" s="465"/>
      <c r="O11" s="465"/>
      <c r="P11" s="465"/>
      <c r="Q11" s="465"/>
      <c r="R11" s="465"/>
      <c r="S11" s="465"/>
      <c r="T11" s="465"/>
      <c r="U11" s="465"/>
      <c r="V11" s="465"/>
      <c r="W11" s="465"/>
      <c r="X11" s="465"/>
      <c r="Y11" s="465"/>
      <c r="Z11" s="465"/>
      <c r="AA11" s="465"/>
      <c r="AB11" s="465"/>
      <c r="AC11" s="465"/>
      <c r="AD11" s="465"/>
      <c r="AE11" s="465"/>
      <c r="AF11" s="465"/>
      <c r="AG11" s="465"/>
      <c r="AH11" s="465"/>
      <c r="AI11" s="465"/>
      <c r="AJ11" s="465"/>
      <c r="AK11" s="465"/>
      <c r="AL11" s="465"/>
      <c r="AM11" s="465"/>
      <c r="AN11" s="465"/>
      <c r="AO11" s="465"/>
      <c r="AP11" s="465"/>
      <c r="AQ11" s="465"/>
      <c r="AR11" s="465"/>
    </row>
    <row r="12" spans="1:48">
      <c r="C12" s="537"/>
      <c r="D12" s="538"/>
      <c r="E12" s="538"/>
      <c r="F12" s="538"/>
      <c r="G12" s="538"/>
      <c r="H12" s="538"/>
      <c r="I12" s="538"/>
      <c r="J12" s="538"/>
      <c r="K12" s="538"/>
      <c r="L12" s="538"/>
      <c r="M12" s="538"/>
      <c r="N12" s="538"/>
      <c r="O12" s="538"/>
      <c r="P12" s="538"/>
      <c r="Q12" s="538"/>
      <c r="R12" s="538"/>
      <c r="S12" s="538"/>
      <c r="T12" s="538"/>
      <c r="U12" s="538"/>
      <c r="V12" s="538"/>
      <c r="W12" s="538"/>
      <c r="X12" s="538"/>
      <c r="Y12" s="538"/>
      <c r="Z12" s="538"/>
      <c r="AA12" s="538"/>
      <c r="AB12" s="538"/>
      <c r="AC12" s="538"/>
      <c r="AD12" s="538"/>
      <c r="AE12" s="538"/>
      <c r="AF12" s="538"/>
      <c r="AG12" s="538"/>
      <c r="AH12" s="538"/>
      <c r="AI12" s="538"/>
      <c r="AJ12" s="538"/>
      <c r="AK12" s="538"/>
      <c r="AL12" s="538"/>
      <c r="AM12" s="538"/>
      <c r="AN12" s="538"/>
      <c r="AO12" s="538"/>
      <c r="AP12" s="538"/>
      <c r="AQ12" s="538"/>
      <c r="AR12" s="538"/>
    </row>
    <row r="13" spans="1:48" s="149" customFormat="1">
      <c r="C13" s="332" t="s">
        <v>595</v>
      </c>
      <c r="D13" s="332"/>
      <c r="E13" s="332"/>
      <c r="F13" s="332"/>
      <c r="G13" s="332"/>
      <c r="H13" s="332"/>
      <c r="I13" s="332"/>
      <c r="J13" s="332"/>
      <c r="K13" s="332"/>
      <c r="L13" s="332"/>
      <c r="M13" s="332"/>
      <c r="N13" s="332"/>
      <c r="O13" s="332"/>
      <c r="P13" s="332"/>
      <c r="Q13" s="332"/>
      <c r="R13" s="332"/>
      <c r="S13" s="332"/>
      <c r="T13" s="332"/>
      <c r="U13" s="332"/>
      <c r="V13" s="332"/>
      <c r="W13" s="332"/>
      <c r="X13" s="332"/>
      <c r="Y13" s="332"/>
      <c r="Z13" s="332"/>
      <c r="AA13" s="332"/>
      <c r="AB13" s="332"/>
      <c r="AC13" s="332"/>
      <c r="AD13" s="332"/>
      <c r="AE13" s="332"/>
      <c r="AF13" s="332"/>
      <c r="AG13" s="332"/>
      <c r="AH13" s="332"/>
      <c r="AI13" s="332"/>
      <c r="AJ13" s="354"/>
      <c r="AK13" s="354"/>
      <c r="AL13" s="354"/>
      <c r="AM13" s="354"/>
      <c r="AN13" s="354"/>
      <c r="AO13" s="354"/>
      <c r="AP13" s="354"/>
      <c r="AQ13" s="354"/>
    </row>
    <row r="14" spans="1:48" s="149" customFormat="1">
      <c r="C14" s="464" t="s">
        <v>620</v>
      </c>
      <c r="D14" s="465"/>
      <c r="E14" s="465"/>
      <c r="F14" s="465"/>
      <c r="G14" s="465"/>
      <c r="H14" s="465"/>
      <c r="I14" s="465"/>
      <c r="J14" s="465"/>
      <c r="K14" s="465"/>
      <c r="L14" s="465"/>
      <c r="M14" s="465"/>
      <c r="N14" s="465"/>
      <c r="O14" s="465"/>
      <c r="P14" s="465"/>
      <c r="Q14" s="465"/>
      <c r="R14" s="465"/>
      <c r="S14" s="465"/>
      <c r="T14" s="465"/>
      <c r="U14" s="465"/>
      <c r="V14" s="465"/>
      <c r="W14" s="465"/>
      <c r="X14" s="465"/>
      <c r="Y14" s="465"/>
      <c r="Z14" s="465"/>
      <c r="AA14" s="465"/>
      <c r="AB14" s="465"/>
      <c r="AC14" s="465"/>
      <c r="AD14" s="465"/>
      <c r="AE14" s="465"/>
      <c r="AF14" s="465"/>
      <c r="AG14" s="465"/>
      <c r="AH14" s="465"/>
      <c r="AI14" s="465"/>
      <c r="AJ14" s="465"/>
      <c r="AK14" s="465"/>
      <c r="AL14" s="465"/>
      <c r="AM14" s="465"/>
      <c r="AN14" s="465"/>
      <c r="AO14" s="465"/>
      <c r="AP14" s="465"/>
      <c r="AQ14" s="465"/>
      <c r="AR14" s="465"/>
    </row>
    <row r="15" spans="1:48" s="152" customFormat="1">
      <c r="C15" s="537"/>
      <c r="D15" s="538"/>
      <c r="E15" s="538"/>
      <c r="F15" s="538"/>
      <c r="G15" s="538"/>
      <c r="H15" s="538"/>
      <c r="I15" s="538"/>
      <c r="J15" s="538"/>
      <c r="K15" s="538"/>
      <c r="L15" s="538"/>
      <c r="M15" s="538"/>
      <c r="N15" s="538"/>
      <c r="O15" s="538"/>
      <c r="P15" s="538"/>
      <c r="Q15" s="538"/>
      <c r="R15" s="538"/>
      <c r="S15" s="538"/>
      <c r="T15" s="538"/>
      <c r="U15" s="538"/>
      <c r="V15" s="538"/>
      <c r="W15" s="538"/>
      <c r="X15" s="538"/>
      <c r="Y15" s="538"/>
      <c r="Z15" s="538"/>
      <c r="AA15" s="538"/>
      <c r="AB15" s="538"/>
      <c r="AC15" s="538"/>
      <c r="AD15" s="538"/>
      <c r="AE15" s="538"/>
      <c r="AF15" s="538"/>
      <c r="AG15" s="538"/>
      <c r="AH15" s="538"/>
      <c r="AI15" s="538"/>
      <c r="AJ15" s="538"/>
      <c r="AK15" s="538"/>
      <c r="AL15" s="538"/>
      <c r="AM15" s="538"/>
      <c r="AN15" s="538"/>
      <c r="AO15" s="538"/>
      <c r="AP15" s="538"/>
      <c r="AQ15" s="538"/>
      <c r="AR15" s="538"/>
    </row>
    <row r="16" spans="1:48" s="149" customFormat="1">
      <c r="E16" s="149" t="s">
        <v>29</v>
      </c>
      <c r="G16" s="149" t="s">
        <v>27</v>
      </c>
      <c r="I16" s="143"/>
      <c r="AJ16" s="147">
        <f>'Return&amp;RAV'!AJ47 * Input!AJ$57 / Input!$AG$57</f>
        <v>1671.0751656670916</v>
      </c>
      <c r="AK16" s="147">
        <f>'Return&amp;RAV'!AK47 * Input!AK$57 / Input!$AG$57</f>
        <v>1771.7992750792998</v>
      </c>
      <c r="AL16" s="147">
        <f>'Return&amp;RAV'!AL47 * Input!AL$57 / Input!$AG$57</f>
        <v>1868.2389852769618</v>
      </c>
      <c r="AM16" s="147">
        <f>'Return&amp;RAV'!AM47 * Input!AM$57 / Input!$AG$57</f>
        <v>1958.1810241861015</v>
      </c>
      <c r="AN16" s="147">
        <f>'Return&amp;RAV'!AN47 * Input!AN$57 / Input!$AG$57</f>
        <v>2053.0340818708091</v>
      </c>
      <c r="AO16" s="147">
        <f>'Return&amp;RAV'!AO47 * Input!AO$57 / Input!$AG$57</f>
        <v>2143.8733340576091</v>
      </c>
      <c r="AP16" s="147">
        <f>'Return&amp;RAV'!AP47 * Input!AP$57 / Input!$AG$57</f>
        <v>2238.7335732237284</v>
      </c>
      <c r="AQ16" s="147">
        <f>'Return&amp;RAV'!AQ47 * Input!AQ$57 / Input!$AG$57</f>
        <v>2334.1717984190764</v>
      </c>
    </row>
    <row r="17" spans="3:43" s="149" customFormat="1">
      <c r="E17" s="149" t="s">
        <v>103</v>
      </c>
      <c r="G17" s="149" t="s">
        <v>27</v>
      </c>
      <c r="I17" s="143"/>
      <c r="AJ17" s="147">
        <f>'Finance&amp;Tax'!AJ36</f>
        <v>-1102.4204078091404</v>
      </c>
      <c r="AK17" s="147">
        <f>'Finance&amp;Tax'!AK36</f>
        <v>-1196.1619753696239</v>
      </c>
      <c r="AL17" s="147">
        <f>'Finance&amp;Tax'!AL36</f>
        <v>-1282.2878380001716</v>
      </c>
      <c r="AM17" s="147">
        <f>'Finance&amp;Tax'!AM36</f>
        <v>-1355.6683211513048</v>
      </c>
      <c r="AN17" s="147">
        <f>'Finance&amp;Tax'!AN36</f>
        <v>-1415.1717189817018</v>
      </c>
      <c r="AO17" s="147">
        <f>'Finance&amp;Tax'!AO36</f>
        <v>-1459.8593520856016</v>
      </c>
      <c r="AP17" s="147">
        <f>'Finance&amp;Tax'!AP36</f>
        <v>-1495.0050655433495</v>
      </c>
      <c r="AQ17" s="147">
        <f>'Finance&amp;Tax'!AQ36</f>
        <v>-1511.9224992187253</v>
      </c>
    </row>
    <row r="18" spans="3:43" s="149" customFormat="1" ht="13.5" thickBot="1">
      <c r="G18" s="149" t="s">
        <v>27</v>
      </c>
      <c r="I18" s="143"/>
      <c r="AJ18" s="277">
        <f t="shared" ref="AJ18:AQ18" si="0">SUM(AJ16:AJ17)</f>
        <v>568.65475785795115</v>
      </c>
      <c r="AK18" s="277">
        <f t="shared" si="0"/>
        <v>575.63729970967597</v>
      </c>
      <c r="AL18" s="277">
        <f t="shared" si="0"/>
        <v>585.95114727679015</v>
      </c>
      <c r="AM18" s="277">
        <f t="shared" si="0"/>
        <v>602.51270303479669</v>
      </c>
      <c r="AN18" s="277">
        <f t="shared" si="0"/>
        <v>637.86236288910732</v>
      </c>
      <c r="AO18" s="277">
        <f t="shared" si="0"/>
        <v>684.01398197200751</v>
      </c>
      <c r="AP18" s="277">
        <f t="shared" si="0"/>
        <v>743.72850768037893</v>
      </c>
      <c r="AQ18" s="277">
        <f t="shared" si="0"/>
        <v>822.24929920035106</v>
      </c>
    </row>
    <row r="19" spans="3:43" s="149" customFormat="1" ht="13.5" thickTop="1">
      <c r="I19" s="143"/>
      <c r="AJ19" s="147"/>
      <c r="AK19" s="147"/>
      <c r="AL19" s="147"/>
      <c r="AM19" s="147"/>
      <c r="AN19" s="147"/>
      <c r="AO19" s="147"/>
      <c r="AP19" s="147"/>
      <c r="AQ19" s="147"/>
    </row>
    <row r="20" spans="3:43" s="149" customFormat="1" ht="13.5" thickBot="1">
      <c r="E20" s="149" t="s">
        <v>537</v>
      </c>
      <c r="G20" s="149" t="s">
        <v>27</v>
      </c>
      <c r="I20" s="143"/>
      <c r="AJ20" s="277">
        <f ca="1">AJ46</f>
        <v>568.65475785795104</v>
      </c>
      <c r="AK20" s="277">
        <f t="shared" ref="AK20:AQ20" ca="1" si="1">AK46</f>
        <v>575.63729970967597</v>
      </c>
      <c r="AL20" s="277">
        <f t="shared" ca="1" si="1"/>
        <v>585.95114727679015</v>
      </c>
      <c r="AM20" s="277">
        <f t="shared" ca="1" si="1"/>
        <v>602.51270303479612</v>
      </c>
      <c r="AN20" s="277">
        <f t="shared" ca="1" si="1"/>
        <v>637.8623628891072</v>
      </c>
      <c r="AO20" s="277">
        <f t="shared" ca="1" si="1"/>
        <v>684.0139819720074</v>
      </c>
      <c r="AP20" s="277">
        <f t="shared" ca="1" si="1"/>
        <v>743.72850768037927</v>
      </c>
      <c r="AQ20" s="277">
        <f t="shared" ca="1" si="1"/>
        <v>822.24929920035129</v>
      </c>
    </row>
    <row r="21" spans="3:43" s="149" customFormat="1" ht="13.5" thickTop="1">
      <c r="E21" s="195" t="s">
        <v>453</v>
      </c>
      <c r="F21" s="195"/>
      <c r="H21" s="195"/>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47">
        <f ca="1">AJ18-AJ20</f>
        <v>0</v>
      </c>
      <c r="AK21" s="147">
        <f t="shared" ref="AK21:AQ21" ca="1" si="2">AK18-AK20</f>
        <v>0</v>
      </c>
      <c r="AL21" s="147">
        <f t="shared" ca="1" si="2"/>
        <v>0</v>
      </c>
      <c r="AM21" s="147">
        <f t="shared" ca="1" si="2"/>
        <v>0</v>
      </c>
      <c r="AN21" s="147">
        <f t="shared" ca="1" si="2"/>
        <v>0</v>
      </c>
      <c r="AO21" s="147">
        <f t="shared" ca="1" si="2"/>
        <v>0</v>
      </c>
      <c r="AP21" s="147">
        <f t="shared" ca="1" si="2"/>
        <v>0</v>
      </c>
      <c r="AQ21" s="147">
        <f t="shared" ca="1" si="2"/>
        <v>0</v>
      </c>
    </row>
    <row r="22" spans="3:43" s="149" customFormat="1">
      <c r="C22" s="332" t="s">
        <v>596</v>
      </c>
      <c r="D22" s="332"/>
      <c r="E22" s="332"/>
      <c r="F22" s="332"/>
      <c r="G22" s="332"/>
      <c r="H22" s="332"/>
      <c r="I22" s="332"/>
      <c r="J22" s="332"/>
      <c r="K22" s="332"/>
      <c r="L22" s="332"/>
      <c r="M22" s="332"/>
      <c r="N22" s="332"/>
      <c r="O22" s="332"/>
      <c r="P22" s="332"/>
      <c r="Q22" s="332"/>
      <c r="R22" s="332"/>
      <c r="S22" s="332"/>
      <c r="T22" s="332"/>
      <c r="U22" s="332"/>
      <c r="V22" s="332"/>
      <c r="W22" s="332"/>
      <c r="X22" s="332"/>
      <c r="Y22" s="332"/>
      <c r="Z22" s="332"/>
      <c r="AA22" s="332"/>
      <c r="AB22" s="332"/>
      <c r="AC22" s="332"/>
      <c r="AD22" s="332"/>
      <c r="AE22" s="332"/>
      <c r="AF22" s="332"/>
      <c r="AG22" s="332"/>
      <c r="AH22" s="332"/>
      <c r="AI22" s="332"/>
      <c r="AJ22" s="354"/>
      <c r="AK22" s="354"/>
      <c r="AL22" s="354"/>
      <c r="AM22" s="354"/>
      <c r="AN22" s="354"/>
      <c r="AO22" s="354"/>
      <c r="AP22" s="354"/>
      <c r="AQ22" s="354"/>
    </row>
    <row r="23" spans="3:43" s="149" customFormat="1">
      <c r="E23" s="291"/>
      <c r="F23" s="291"/>
      <c r="G23" s="291"/>
      <c r="H23" s="291"/>
      <c r="I23" s="291"/>
      <c r="J23" s="291"/>
      <c r="K23" s="291"/>
      <c r="L23" s="291"/>
      <c r="M23" s="291"/>
      <c r="N23" s="291"/>
      <c r="O23" s="291"/>
      <c r="P23" s="291"/>
      <c r="Q23" s="291"/>
      <c r="R23" s="291"/>
      <c r="S23" s="291"/>
      <c r="T23" s="291"/>
      <c r="U23" s="291"/>
      <c r="V23" s="291"/>
      <c r="W23" s="291"/>
      <c r="X23" s="291"/>
      <c r="Y23" s="291"/>
      <c r="Z23" s="291"/>
      <c r="AA23" s="291"/>
      <c r="AB23" s="291"/>
      <c r="AC23" s="291"/>
      <c r="AD23" s="291"/>
      <c r="AE23" s="291"/>
      <c r="AF23" s="291"/>
      <c r="AG23" s="291"/>
      <c r="AH23" s="291"/>
      <c r="AI23" s="291"/>
      <c r="AJ23" s="291"/>
      <c r="AK23" s="291"/>
      <c r="AL23" s="157"/>
      <c r="AM23" s="157"/>
      <c r="AN23" s="157"/>
      <c r="AO23" s="157"/>
      <c r="AP23" s="157"/>
      <c r="AQ23" s="157"/>
    </row>
    <row r="24" spans="3:43" s="149" customFormat="1">
      <c r="C24" s="332" t="s">
        <v>597</v>
      </c>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332"/>
      <c r="AG24" s="332"/>
      <c r="AH24" s="332"/>
      <c r="AI24" s="332"/>
      <c r="AJ24" s="354"/>
      <c r="AK24" s="354"/>
      <c r="AL24" s="354"/>
      <c r="AM24" s="354"/>
      <c r="AN24" s="354"/>
      <c r="AO24" s="354"/>
      <c r="AP24" s="354"/>
      <c r="AQ24" s="354"/>
    </row>
    <row r="25" spans="3:43" s="149" customFormat="1">
      <c r="E25" s="291"/>
      <c r="F25" s="291"/>
      <c r="G25" s="291"/>
      <c r="H25" s="291"/>
      <c r="I25" s="291"/>
      <c r="J25" s="291"/>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1"/>
      <c r="AI25" s="291"/>
      <c r="AJ25" s="291"/>
      <c r="AK25" s="291"/>
      <c r="AL25" s="157"/>
      <c r="AM25" s="157"/>
      <c r="AN25" s="157"/>
      <c r="AO25" s="157"/>
      <c r="AP25" s="157"/>
      <c r="AQ25" s="157"/>
    </row>
    <row r="26" spans="3:43" s="149" customFormat="1">
      <c r="E26" s="25" t="s">
        <v>598</v>
      </c>
      <c r="F26" s="395"/>
      <c r="G26" s="395" t="s">
        <v>599</v>
      </c>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147"/>
      <c r="AK26" s="147">
        <f>AJ33</f>
        <v>1671.0751656670914</v>
      </c>
      <c r="AL26" s="147">
        <f t="shared" ref="AL26:AQ26" si="3">AK33</f>
        <v>1771.7992750792998</v>
      </c>
      <c r="AM26" s="147">
        <f t="shared" si="3"/>
        <v>1868.238985276962</v>
      </c>
      <c r="AN26" s="147">
        <f t="shared" si="3"/>
        <v>1958.1810241861012</v>
      </c>
      <c r="AO26" s="147">
        <f t="shared" si="3"/>
        <v>2053.0340818708091</v>
      </c>
      <c r="AP26" s="147">
        <f t="shared" si="3"/>
        <v>2143.8733340576086</v>
      </c>
      <c r="AQ26" s="147">
        <f t="shared" si="3"/>
        <v>2238.7335732237284</v>
      </c>
    </row>
    <row r="27" spans="3:43" s="149" customFormat="1">
      <c r="E27" s="25" t="s">
        <v>600</v>
      </c>
      <c r="F27" s="395"/>
      <c r="G27" s="395"/>
      <c r="H27" s="291"/>
      <c r="I27" s="291"/>
      <c r="J27" s="29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108"/>
      <c r="AK27" s="108">
        <f>AK28-AK26</f>
        <v>51.800824850359049</v>
      </c>
      <c r="AL27" s="108">
        <f t="shared" ref="AL27:AQ27" si="4">AL28-AL26</f>
        <v>54.92530325996222</v>
      </c>
      <c r="AM27" s="108">
        <f t="shared" si="4"/>
        <v>57.917086539755019</v>
      </c>
      <c r="AN27" s="108">
        <f t="shared" si="4"/>
        <v>60.705877391735839</v>
      </c>
      <c r="AO27" s="108">
        <f t="shared" si="4"/>
        <v>63.643582192727081</v>
      </c>
      <c r="AP27" s="108">
        <f t="shared" si="4"/>
        <v>66.458549675312497</v>
      </c>
      <c r="AQ27" s="108">
        <f t="shared" si="4"/>
        <v>69.397994881127033</v>
      </c>
    </row>
    <row r="28" spans="3:43" s="149" customFormat="1">
      <c r="E28" s="25" t="s">
        <v>242</v>
      </c>
      <c r="F28" s="395"/>
      <c r="G28" s="395" t="s">
        <v>27</v>
      </c>
      <c r="H28" s="291"/>
      <c r="I28" s="291"/>
      <c r="J28" s="29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147">
        <f>'Return&amp;RAV'!AJ42*Input!AJ$57/Input!$AG$57</f>
        <v>1634.9266889899952</v>
      </c>
      <c r="AK28" s="147">
        <f>'Return&amp;RAV'!AK42*Input!AK$57/Input!$AG$57</f>
        <v>1722.8759905174504</v>
      </c>
      <c r="AL28" s="147">
        <f>'Return&amp;RAV'!AL42*Input!AL$57/Input!$AG$57</f>
        <v>1826.7245783392621</v>
      </c>
      <c r="AM28" s="147">
        <f>'Return&amp;RAV'!AM42*Input!AM$57/Input!$AG$57</f>
        <v>1926.156071816717</v>
      </c>
      <c r="AN28" s="147">
        <f>'Return&amp;RAV'!AN42*Input!AN$57/Input!$AG$57</f>
        <v>2018.8869015778371</v>
      </c>
      <c r="AO28" s="147">
        <f>'Return&amp;RAV'!AO42*Input!AO$57/Input!$AG$57</f>
        <v>2116.6776640635362</v>
      </c>
      <c r="AP28" s="147">
        <f>'Return&amp;RAV'!AP42*Input!AP$57/Input!$AG$57</f>
        <v>2210.3318837329211</v>
      </c>
      <c r="AQ28" s="147">
        <f>'Return&amp;RAV'!AQ42*Input!AQ$57/Input!$AG$57</f>
        <v>2308.1315681048554</v>
      </c>
    </row>
    <row r="29" spans="3:43" s="149" customFormat="1">
      <c r="E29" s="25" t="s">
        <v>122</v>
      </c>
      <c r="F29" s="395"/>
      <c r="G29" s="395" t="s">
        <v>27</v>
      </c>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108">
        <f>'Return&amp;RAV'!AJ43*Input!AJ$57/Input!$AG$57</f>
        <v>0</v>
      </c>
      <c r="AK29" s="108">
        <f>'Return&amp;RAV'!AK43*Input!AK$57/Input!$AG$57</f>
        <v>0</v>
      </c>
      <c r="AL29" s="108">
        <f>'Return&amp;RAV'!AL43*Input!AL$57/Input!$AG$57</f>
        <v>0</v>
      </c>
      <c r="AM29" s="108">
        <f>'Return&amp;RAV'!AM43*Input!AM$57/Input!$AG$57</f>
        <v>0</v>
      </c>
      <c r="AN29" s="108">
        <f>'Return&amp;RAV'!AN43*Input!AN$57/Input!$AG$57</f>
        <v>0</v>
      </c>
      <c r="AO29" s="108">
        <f>'Return&amp;RAV'!AO43*Input!AO$57/Input!$AG$57</f>
        <v>0</v>
      </c>
      <c r="AP29" s="108">
        <f>'Return&amp;RAV'!AP43*Input!AP$57/Input!$AG$57</f>
        <v>0</v>
      </c>
      <c r="AQ29" s="108">
        <f>'Return&amp;RAV'!AQ43*Input!AQ$57/Input!$AG$57</f>
        <v>0</v>
      </c>
    </row>
    <row r="30" spans="3:43" s="149" customFormat="1">
      <c r="E30" s="25" t="s">
        <v>243</v>
      </c>
      <c r="F30" s="395"/>
      <c r="G30" s="395" t="s">
        <v>27</v>
      </c>
      <c r="H30" s="291"/>
      <c r="I30" s="291"/>
      <c r="J30" s="291"/>
      <c r="K30" s="291"/>
      <c r="L30" s="291"/>
      <c r="M30" s="291"/>
      <c r="N30" s="291"/>
      <c r="O30" s="291"/>
      <c r="P30" s="291"/>
      <c r="Q30" s="291"/>
      <c r="R30" s="291"/>
      <c r="S30" s="291"/>
      <c r="T30" s="291"/>
      <c r="U30" s="291"/>
      <c r="V30" s="291"/>
      <c r="W30" s="291"/>
      <c r="X30" s="291"/>
      <c r="Y30" s="291"/>
      <c r="Z30" s="291"/>
      <c r="AA30" s="291"/>
      <c r="AB30" s="291"/>
      <c r="AC30" s="291"/>
      <c r="AD30" s="291"/>
      <c r="AE30" s="291"/>
      <c r="AF30" s="291"/>
      <c r="AG30" s="291"/>
      <c r="AH30" s="291"/>
      <c r="AI30" s="291"/>
      <c r="AJ30" s="147">
        <f>AJ29+AJ28</f>
        <v>1634.9266889899952</v>
      </c>
      <c r="AK30" s="147">
        <f t="shared" ref="AK30:AQ30" si="5">AK29+AK28</f>
        <v>1722.8759905174504</v>
      </c>
      <c r="AL30" s="147">
        <f t="shared" si="5"/>
        <v>1826.7245783392621</v>
      </c>
      <c r="AM30" s="147">
        <f t="shared" si="5"/>
        <v>1926.156071816717</v>
      </c>
      <c r="AN30" s="147">
        <f t="shared" si="5"/>
        <v>2018.8869015778371</v>
      </c>
      <c r="AO30" s="147">
        <f t="shared" si="5"/>
        <v>2116.6776640635362</v>
      </c>
      <c r="AP30" s="147">
        <f t="shared" si="5"/>
        <v>2210.3318837329211</v>
      </c>
      <c r="AQ30" s="147">
        <f t="shared" si="5"/>
        <v>2308.1315681048554</v>
      </c>
    </row>
    <row r="31" spans="3:43" s="149" customFormat="1">
      <c r="E31" s="25" t="s">
        <v>126</v>
      </c>
      <c r="F31" s="395"/>
      <c r="G31" s="395" t="s">
        <v>27</v>
      </c>
      <c r="H31" s="291"/>
      <c r="I31" s="291"/>
      <c r="J31" s="291"/>
      <c r="K31" s="291"/>
      <c r="L31" s="291"/>
      <c r="M31" s="291"/>
      <c r="N31" s="291"/>
      <c r="O31" s="291"/>
      <c r="P31" s="291"/>
      <c r="Q31" s="291"/>
      <c r="R31" s="291"/>
      <c r="S31" s="291"/>
      <c r="T31" s="291"/>
      <c r="U31" s="291"/>
      <c r="V31" s="291"/>
      <c r="W31" s="291"/>
      <c r="X31" s="291"/>
      <c r="Y31" s="291"/>
      <c r="Z31" s="291"/>
      <c r="AA31" s="291"/>
      <c r="AB31" s="291"/>
      <c r="AC31" s="291"/>
      <c r="AD31" s="291"/>
      <c r="AE31" s="291"/>
      <c r="AF31" s="291"/>
      <c r="AG31" s="291"/>
      <c r="AH31" s="291"/>
      <c r="AI31" s="291"/>
      <c r="AJ31" s="147">
        <f>'Return&amp;RAV'!AJ45*Input!AJ$57/Input!$AG$57</f>
        <v>172.31083095034052</v>
      </c>
      <c r="AK31" s="147">
        <f>'Return&amp;RAV'!AK45*Input!AK$57/Input!$AG$57</f>
        <v>194.21214478881109</v>
      </c>
      <c r="AL31" s="147">
        <f>'Return&amp;RAV'!AL45*Input!AL$57/Input!$AG$57</f>
        <v>195.27376890719361</v>
      </c>
      <c r="AM31" s="147">
        <f>'Return&amp;RAV'!AM45*Input!AM$57/Input!$AG$57</f>
        <v>194.74010683361809</v>
      </c>
      <c r="AN31" s="147">
        <f>'Return&amp;RAV'!AN45*Input!AN$57/Input!$AG$57</f>
        <v>194.67366398809415</v>
      </c>
      <c r="AO31" s="147">
        <f>'Return&amp;RAV'!AO45*Input!AO$57/Input!$AG$57</f>
        <v>194.51116017398189</v>
      </c>
      <c r="AP31" s="147">
        <f>'Return&amp;RAV'!AP45*Input!AP$57/Input!$AG$57</f>
        <v>201.11635659513288</v>
      </c>
      <c r="AQ31" s="147">
        <f>'Return&amp;RAV'!AQ45*Input!AQ$57/Input!$AG$57</f>
        <v>202.01843886098041</v>
      </c>
    </row>
    <row r="32" spans="3:43" s="149" customFormat="1">
      <c r="E32" s="30" t="s">
        <v>0</v>
      </c>
      <c r="F32" s="395"/>
      <c r="G32" s="395" t="s">
        <v>27</v>
      </c>
      <c r="H32" s="291"/>
      <c r="I32" s="291"/>
      <c r="J32" s="291"/>
      <c r="K32" s="291"/>
      <c r="L32" s="291"/>
      <c r="M32" s="291"/>
      <c r="N32" s="291"/>
      <c r="O32" s="291"/>
      <c r="P32" s="291"/>
      <c r="Q32" s="291"/>
      <c r="R32" s="291"/>
      <c r="S32" s="291"/>
      <c r="T32" s="291"/>
      <c r="U32" s="291"/>
      <c r="V32" s="291"/>
      <c r="W32" s="291"/>
      <c r="X32" s="291"/>
      <c r="Y32" s="291"/>
      <c r="Z32" s="291"/>
      <c r="AA32" s="291"/>
      <c r="AB32" s="291"/>
      <c r="AC32" s="291"/>
      <c r="AD32" s="291"/>
      <c r="AE32" s="291"/>
      <c r="AF32" s="291"/>
      <c r="AG32" s="291"/>
      <c r="AH32" s="291"/>
      <c r="AI32" s="291"/>
      <c r="AJ32" s="147">
        <f>'Return&amp;RAV'!AJ46*Input!AJ$57/Input!$AG$57</f>
        <v>-136.16235427324438</v>
      </c>
      <c r="AK32" s="147">
        <f>'Return&amp;RAV'!AK46*Input!AK$57/Input!$AG$57</f>
        <v>-145.2888602269615</v>
      </c>
      <c r="AL32" s="147">
        <f>'Return&amp;RAV'!AL46*Input!AL$57/Input!$AG$57</f>
        <v>-153.75936196949382</v>
      </c>
      <c r="AM32" s="147">
        <f>'Return&amp;RAV'!AM46*Input!AM$57/Input!$AG$57</f>
        <v>-162.71515446423376</v>
      </c>
      <c r="AN32" s="147">
        <f>'Return&amp;RAV'!AN46*Input!AN$57/Input!$AG$57</f>
        <v>-160.52648369512201</v>
      </c>
      <c r="AO32" s="147">
        <f>'Return&amp;RAV'!AO46*Input!AO$57/Input!$AG$57</f>
        <v>-167.31549017990923</v>
      </c>
      <c r="AP32" s="147">
        <f>'Return&amp;RAV'!AP46*Input!AP$57/Input!$AG$57</f>
        <v>-172.7146671043258</v>
      </c>
      <c r="AQ32" s="147">
        <f>'Return&amp;RAV'!AQ46*Input!AQ$57/Input!$AG$57</f>
        <v>-175.97820854675942</v>
      </c>
    </row>
    <row r="33" spans="3:43" s="149" customFormat="1" ht="13.5" thickBot="1">
      <c r="E33" s="25" t="s">
        <v>104</v>
      </c>
      <c r="F33" s="395"/>
      <c r="G33" s="395" t="s">
        <v>27</v>
      </c>
      <c r="H33" s="291"/>
      <c r="I33" s="291"/>
      <c r="J33" s="291"/>
      <c r="K33" s="291"/>
      <c r="L33" s="291"/>
      <c r="M33" s="291"/>
      <c r="N33" s="291"/>
      <c r="O33" s="291"/>
      <c r="P33" s="291"/>
      <c r="Q33" s="291"/>
      <c r="R33" s="291"/>
      <c r="S33" s="291"/>
      <c r="T33" s="291"/>
      <c r="U33" s="291"/>
      <c r="V33" s="291"/>
      <c r="W33" s="291"/>
      <c r="X33" s="291"/>
      <c r="Y33" s="291"/>
      <c r="Z33" s="291"/>
      <c r="AA33" s="291"/>
      <c r="AB33" s="291"/>
      <c r="AC33" s="291"/>
      <c r="AD33" s="291"/>
      <c r="AE33" s="291"/>
      <c r="AF33" s="291"/>
      <c r="AG33" s="291"/>
      <c r="AH33" s="291"/>
      <c r="AI33" s="291"/>
      <c r="AJ33" s="277">
        <f>SUM(AJ30:AJ32)</f>
        <v>1671.0751656670914</v>
      </c>
      <c r="AK33" s="277">
        <f t="shared" ref="AK33:AQ33" si="6">SUM(AK30:AK32)</f>
        <v>1771.7992750792998</v>
      </c>
      <c r="AL33" s="277">
        <f t="shared" si="6"/>
        <v>1868.238985276962</v>
      </c>
      <c r="AM33" s="277">
        <f t="shared" si="6"/>
        <v>1958.1810241861012</v>
      </c>
      <c r="AN33" s="277">
        <f t="shared" si="6"/>
        <v>2053.0340818708091</v>
      </c>
      <c r="AO33" s="277">
        <f t="shared" si="6"/>
        <v>2143.8733340576086</v>
      </c>
      <c r="AP33" s="277">
        <f t="shared" si="6"/>
        <v>2238.7335732237284</v>
      </c>
      <c r="AQ33" s="277">
        <f t="shared" si="6"/>
        <v>2334.1717984190764</v>
      </c>
    </row>
    <row r="34" spans="3:43" s="149" customFormat="1" ht="13.5" thickTop="1">
      <c r="E34" s="291" t="s">
        <v>614</v>
      </c>
      <c r="F34" s="291"/>
      <c r="G34" s="291"/>
      <c r="H34" s="291"/>
      <c r="I34" s="291"/>
      <c r="J34" s="291"/>
      <c r="K34" s="291"/>
      <c r="L34" s="291"/>
      <c r="M34" s="291"/>
      <c r="N34" s="291"/>
      <c r="O34" s="291"/>
      <c r="P34" s="291"/>
      <c r="Q34" s="291"/>
      <c r="R34" s="291"/>
      <c r="S34" s="291"/>
      <c r="T34" s="291"/>
      <c r="U34" s="291"/>
      <c r="V34" s="291"/>
      <c r="W34" s="291"/>
      <c r="X34" s="291"/>
      <c r="Y34" s="291"/>
      <c r="Z34" s="291"/>
      <c r="AA34" s="291"/>
      <c r="AB34" s="291"/>
      <c r="AC34" s="291"/>
      <c r="AD34" s="291"/>
      <c r="AE34" s="291"/>
      <c r="AF34" s="291"/>
      <c r="AG34" s="291"/>
      <c r="AH34" s="291"/>
      <c r="AI34" s="291"/>
      <c r="AJ34" s="157">
        <f t="shared" ref="AJ34:AQ34" si="7">AJ33-AJ16</f>
        <v>0</v>
      </c>
      <c r="AK34" s="157">
        <f t="shared" si="7"/>
        <v>0</v>
      </c>
      <c r="AL34" s="157">
        <f t="shared" si="7"/>
        <v>0</v>
      </c>
      <c r="AM34" s="157">
        <f t="shared" si="7"/>
        <v>0</v>
      </c>
      <c r="AN34" s="157">
        <f t="shared" si="7"/>
        <v>0</v>
      </c>
      <c r="AO34" s="157">
        <f t="shared" si="7"/>
        <v>0</v>
      </c>
      <c r="AP34" s="157">
        <f t="shared" si="7"/>
        <v>0</v>
      </c>
      <c r="AQ34" s="157">
        <f t="shared" si="7"/>
        <v>0</v>
      </c>
    </row>
    <row r="35" spans="3:43" s="149" customFormat="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157"/>
      <c r="AM35" s="157"/>
      <c r="AN35" s="157"/>
      <c r="AO35" s="157"/>
      <c r="AP35" s="157"/>
      <c r="AQ35" s="157"/>
    </row>
    <row r="36" spans="3:43" s="149" customFormat="1">
      <c r="C36" s="332" t="s">
        <v>537</v>
      </c>
      <c r="D36" s="332"/>
      <c r="E36" s="332"/>
      <c r="F36" s="332"/>
      <c r="G36" s="332"/>
      <c r="H36" s="332"/>
      <c r="I36" s="332"/>
      <c r="J36" s="332"/>
      <c r="K36" s="332"/>
      <c r="L36" s="332"/>
      <c r="M36" s="332"/>
      <c r="N36" s="332"/>
      <c r="O36" s="332"/>
      <c r="P36" s="332"/>
      <c r="Q36" s="332"/>
      <c r="R36" s="332"/>
      <c r="S36" s="332"/>
      <c r="T36" s="332"/>
      <c r="U36" s="332"/>
      <c r="V36" s="332"/>
      <c r="W36" s="332"/>
      <c r="X36" s="332"/>
      <c r="Y36" s="332"/>
      <c r="Z36" s="332"/>
      <c r="AA36" s="332"/>
      <c r="AB36" s="332"/>
      <c r="AC36" s="332"/>
      <c r="AD36" s="332"/>
      <c r="AE36" s="332"/>
      <c r="AF36" s="332"/>
      <c r="AG36" s="332"/>
      <c r="AH36" s="332"/>
      <c r="AI36" s="332"/>
      <c r="AJ36" s="354"/>
      <c r="AK36" s="354"/>
      <c r="AL36" s="354"/>
      <c r="AM36" s="354"/>
      <c r="AN36" s="354"/>
      <c r="AO36" s="354"/>
      <c r="AP36" s="354"/>
      <c r="AQ36" s="354"/>
    </row>
    <row r="37" spans="3:43" s="149" customFormat="1"/>
    <row r="38" spans="3:43" s="149" customFormat="1">
      <c r="C38" s="157"/>
      <c r="D38" s="157"/>
      <c r="E38" s="157" t="s">
        <v>601</v>
      </c>
      <c r="F38" s="157"/>
      <c r="G38" s="157" t="s">
        <v>27</v>
      </c>
      <c r="H38" s="157"/>
      <c r="I38" s="150"/>
      <c r="J38" s="157"/>
      <c r="K38" s="157"/>
      <c r="L38" s="157"/>
      <c r="M38" s="157"/>
      <c r="N38" s="157"/>
      <c r="O38" s="157"/>
      <c r="P38" s="157"/>
      <c r="Q38" s="157"/>
      <c r="R38" s="157"/>
      <c r="S38" s="157"/>
      <c r="T38" s="157"/>
      <c r="U38" s="157"/>
      <c r="V38" s="157"/>
      <c r="W38" s="157"/>
      <c r="X38" s="157"/>
      <c r="Y38" s="157"/>
      <c r="Z38" s="157"/>
      <c r="AA38" s="157"/>
      <c r="AB38" s="157"/>
      <c r="AC38" s="157"/>
      <c r="AD38" s="157"/>
      <c r="AE38" s="157"/>
      <c r="AF38" s="157"/>
      <c r="AG38" s="157"/>
      <c r="AH38" s="157"/>
      <c r="AI38" s="157"/>
      <c r="AJ38" s="157"/>
      <c r="AK38" s="157">
        <f ca="1">AJ46</f>
        <v>568.65475785795104</v>
      </c>
      <c r="AL38" s="157">
        <f t="shared" ref="AL38:AQ38" ca="1" si="8">AK46</f>
        <v>575.63729970967597</v>
      </c>
      <c r="AM38" s="157">
        <f t="shared" ca="1" si="8"/>
        <v>585.95114727679015</v>
      </c>
      <c r="AN38" s="157">
        <f t="shared" ca="1" si="8"/>
        <v>602.51270303479612</v>
      </c>
      <c r="AO38" s="157">
        <f t="shared" ca="1" si="8"/>
        <v>637.8623628891072</v>
      </c>
      <c r="AP38" s="157">
        <f t="shared" ca="1" si="8"/>
        <v>684.0139819720074</v>
      </c>
      <c r="AQ38" s="157">
        <f t="shared" ca="1" si="8"/>
        <v>743.72850768037927</v>
      </c>
    </row>
    <row r="39" spans="3:43" s="149" customFormat="1">
      <c r="C39" s="152"/>
      <c r="D39" s="152"/>
      <c r="E39" s="195" t="s">
        <v>602</v>
      </c>
      <c r="F39" s="152"/>
      <c r="G39" s="152" t="s">
        <v>27</v>
      </c>
      <c r="H39" s="152"/>
      <c r="I39" s="396"/>
      <c r="J39" s="152"/>
      <c r="K39" s="152"/>
      <c r="L39" s="152"/>
      <c r="M39" s="152"/>
      <c r="N39" s="152"/>
      <c r="O39" s="152"/>
      <c r="P39" s="152"/>
      <c r="Q39" s="152"/>
      <c r="R39" s="152"/>
      <c r="S39" s="152"/>
      <c r="T39" s="152"/>
      <c r="U39" s="152"/>
      <c r="V39" s="152"/>
      <c r="W39" s="152"/>
      <c r="X39" s="152"/>
      <c r="Y39" s="152"/>
      <c r="Z39" s="152"/>
      <c r="AA39" s="152"/>
      <c r="AB39" s="152"/>
      <c r="AC39" s="152"/>
      <c r="AD39" s="152"/>
      <c r="AE39" s="152"/>
      <c r="AF39" s="152"/>
      <c r="AG39" s="152"/>
      <c r="AH39" s="152"/>
      <c r="AI39" s="152"/>
      <c r="AJ39" s="281"/>
      <c r="AK39" s="281">
        <f>AK27</f>
        <v>51.800824850359049</v>
      </c>
      <c r="AL39" s="281">
        <f t="shared" ref="AL39:AQ39" si="9">AL27</f>
        <v>54.92530325996222</v>
      </c>
      <c r="AM39" s="281">
        <f t="shared" si="9"/>
        <v>57.917086539755019</v>
      </c>
      <c r="AN39" s="281">
        <f t="shared" si="9"/>
        <v>60.705877391735839</v>
      </c>
      <c r="AO39" s="281">
        <f t="shared" si="9"/>
        <v>63.643582192727081</v>
      </c>
      <c r="AP39" s="281">
        <f t="shared" si="9"/>
        <v>66.458549675312497</v>
      </c>
      <c r="AQ39" s="281">
        <f t="shared" si="9"/>
        <v>69.397994881127033</v>
      </c>
    </row>
    <row r="40" spans="3:43" s="149" customFormat="1">
      <c r="C40" s="152"/>
      <c r="D40" s="152"/>
      <c r="E40" s="195" t="s">
        <v>603</v>
      </c>
      <c r="F40" s="152"/>
      <c r="G40" s="152"/>
      <c r="H40" s="152"/>
      <c r="I40" s="396"/>
      <c r="J40" s="152"/>
      <c r="K40" s="152"/>
      <c r="L40" s="152"/>
      <c r="M40" s="152"/>
      <c r="N40" s="152"/>
      <c r="O40" s="152"/>
      <c r="P40" s="152"/>
      <c r="Q40" s="152"/>
      <c r="R40" s="152"/>
      <c r="S40" s="152"/>
      <c r="T40" s="152"/>
      <c r="U40" s="152"/>
      <c r="V40" s="152"/>
      <c r="W40" s="152"/>
      <c r="X40" s="152"/>
      <c r="Y40" s="152"/>
      <c r="Z40" s="152"/>
      <c r="AA40" s="152"/>
      <c r="AB40" s="152"/>
      <c r="AC40" s="152"/>
      <c r="AD40" s="152"/>
      <c r="AE40" s="152"/>
      <c r="AF40" s="152"/>
      <c r="AG40" s="152"/>
      <c r="AH40" s="152"/>
      <c r="AI40" s="152"/>
      <c r="AJ40" s="157">
        <f>AJ28+AJ57</f>
        <v>604.17571888036423</v>
      </c>
      <c r="AK40" s="157">
        <f ca="1">SUM(AK38:AK39)</f>
        <v>620.45558270831009</v>
      </c>
      <c r="AL40" s="157">
        <f t="shared" ref="AL40:AQ40" ca="1" si="10">SUM(AL38:AL39)</f>
        <v>630.56260296963819</v>
      </c>
      <c r="AM40" s="157">
        <f t="shared" ca="1" si="10"/>
        <v>643.86823381654517</v>
      </c>
      <c r="AN40" s="157">
        <f t="shared" ca="1" si="10"/>
        <v>663.21858042653196</v>
      </c>
      <c r="AO40" s="157">
        <f t="shared" ca="1" si="10"/>
        <v>701.50594508183428</v>
      </c>
      <c r="AP40" s="157">
        <f t="shared" ca="1" si="10"/>
        <v>750.4725316473199</v>
      </c>
      <c r="AQ40" s="157">
        <f t="shared" ca="1" si="10"/>
        <v>813.1265025615063</v>
      </c>
    </row>
    <row r="41" spans="3:43" s="149" customFormat="1">
      <c r="C41" s="152"/>
      <c r="D41" s="152"/>
      <c r="E41" s="157" t="s">
        <v>604</v>
      </c>
      <c r="F41" s="152"/>
      <c r="G41" s="152"/>
      <c r="H41" s="152"/>
      <c r="I41" s="396"/>
      <c r="J41" s="152"/>
      <c r="K41" s="152"/>
      <c r="L41" s="152"/>
      <c r="M41" s="152"/>
      <c r="N41" s="152"/>
      <c r="O41" s="152"/>
      <c r="P41" s="152"/>
      <c r="Q41" s="152"/>
      <c r="R41" s="152"/>
      <c r="S41" s="152"/>
      <c r="T41" s="152"/>
      <c r="U41" s="152"/>
      <c r="V41" s="152"/>
      <c r="W41" s="152"/>
      <c r="X41" s="152"/>
      <c r="Y41" s="152"/>
      <c r="Z41" s="152"/>
      <c r="AA41" s="152"/>
      <c r="AB41" s="152"/>
      <c r="AC41" s="152"/>
      <c r="AD41" s="152"/>
      <c r="AE41" s="152"/>
      <c r="AF41" s="152"/>
      <c r="AG41" s="152"/>
      <c r="AH41" s="152"/>
      <c r="AI41" s="152"/>
      <c r="AJ41" s="157">
        <f>(Input!AJ332)*Input!AJ57/Input!$AG$57+'Finance&amp;Tax'!AJ28</f>
        <v>0</v>
      </c>
      <c r="AK41" s="157">
        <f>(Input!AK332)*Input!AK57/Input!$AG$57+'Finance&amp;Tax'!AK28</f>
        <v>0</v>
      </c>
      <c r="AL41" s="157">
        <f>(Input!AL332)*Input!AL57/Input!$AG$57+'Finance&amp;Tax'!AL28</f>
        <v>0</v>
      </c>
      <c r="AM41" s="157">
        <f>(Input!AM332)*Input!AM57/Input!$AG$57+'Finance&amp;Tax'!AM28</f>
        <v>0</v>
      </c>
      <c r="AN41" s="157">
        <f>(Input!AN332)*Input!AN57/Input!$AG$57+'Finance&amp;Tax'!AN28</f>
        <v>0</v>
      </c>
      <c r="AO41" s="157">
        <f>(Input!AO332)*Input!AO57/Input!$AG$57+'Finance&amp;Tax'!AO28</f>
        <v>0</v>
      </c>
      <c r="AP41" s="157">
        <f>(Input!AP332)*Input!AP57/Input!$AG$57+'Finance&amp;Tax'!AP28</f>
        <v>0</v>
      </c>
      <c r="AQ41" s="157">
        <f>(Input!AQ332)*Input!AQ57/Input!$AG$57+'Finance&amp;Tax'!AQ28</f>
        <v>0</v>
      </c>
    </row>
    <row r="42" spans="3:43" s="149" customFormat="1">
      <c r="C42" s="152"/>
      <c r="D42" s="152"/>
      <c r="E42" s="152" t="s">
        <v>605</v>
      </c>
      <c r="F42" s="152"/>
      <c r="G42" s="152" t="s">
        <v>27</v>
      </c>
      <c r="H42" s="152"/>
      <c r="I42" s="396"/>
      <c r="J42" s="152"/>
      <c r="K42" s="152"/>
      <c r="L42" s="152"/>
      <c r="M42" s="152"/>
      <c r="N42" s="152"/>
      <c r="O42" s="152"/>
      <c r="P42" s="152"/>
      <c r="Q42" s="152"/>
      <c r="R42" s="152"/>
      <c r="S42" s="152"/>
      <c r="T42" s="152"/>
      <c r="U42" s="152"/>
      <c r="V42" s="152"/>
      <c r="W42" s="152"/>
      <c r="X42" s="152"/>
      <c r="Y42" s="152"/>
      <c r="Z42" s="152"/>
      <c r="AA42" s="152"/>
      <c r="AB42" s="152"/>
      <c r="AC42" s="152"/>
      <c r="AD42" s="152"/>
      <c r="AE42" s="152"/>
      <c r="AF42" s="152"/>
      <c r="AG42" s="152"/>
      <c r="AH42" s="152"/>
      <c r="AI42" s="152"/>
      <c r="AJ42" s="157">
        <f ca="1">AJ53</f>
        <v>-6.2771456232391358</v>
      </c>
      <c r="AK42" s="157">
        <f t="shared" ref="AK42:AQ42" ca="1" si="11">AK53</f>
        <v>-13.811795684746329</v>
      </c>
      <c r="AL42" s="157">
        <f t="shared" ca="1" si="11"/>
        <v>-11.917273450501114</v>
      </c>
      <c r="AM42" s="157">
        <f t="shared" ca="1" si="11"/>
        <v>-7.087362858492213</v>
      </c>
      <c r="AN42" s="157">
        <f t="shared" ca="1" si="11"/>
        <v>10.571878895314427</v>
      </c>
      <c r="AO42" s="157">
        <f t="shared" ca="1" si="11"/>
        <v>20.025820236181261</v>
      </c>
      <c r="AP42" s="157">
        <f t="shared" ca="1" si="11"/>
        <v>32.433813564474605</v>
      </c>
      <c r="AQ42" s="157">
        <f t="shared" ca="1" si="11"/>
        <v>49.97080311117881</v>
      </c>
    </row>
    <row r="43" spans="3:43" s="149" customFormat="1">
      <c r="C43" s="152"/>
      <c r="D43" s="152"/>
      <c r="E43" s="152" t="s">
        <v>606</v>
      </c>
      <c r="F43" s="152"/>
      <c r="G43" s="152" t="s">
        <v>27</v>
      </c>
      <c r="H43" s="152"/>
      <c r="I43" s="396"/>
      <c r="J43" s="152"/>
      <c r="K43" s="152"/>
      <c r="L43" s="152"/>
      <c r="M43" s="152"/>
      <c r="N43" s="152"/>
      <c r="O43" s="152"/>
      <c r="P43" s="152"/>
      <c r="Q43" s="152"/>
      <c r="R43" s="152"/>
      <c r="S43" s="152"/>
      <c r="T43" s="152"/>
      <c r="U43" s="152"/>
      <c r="V43" s="152"/>
      <c r="W43" s="152"/>
      <c r="X43" s="152"/>
      <c r="Y43" s="152"/>
      <c r="Z43" s="152"/>
      <c r="AA43" s="152"/>
      <c r="AB43" s="152"/>
      <c r="AC43" s="152"/>
      <c r="AD43" s="152"/>
      <c r="AE43" s="152"/>
      <c r="AF43" s="152"/>
      <c r="AG43" s="152"/>
      <c r="AH43" s="152"/>
      <c r="AI43" s="152"/>
      <c r="AJ43" s="281">
        <f>AJ95</f>
        <v>-29.2438153991741</v>
      </c>
      <c r="AK43" s="281">
        <f t="shared" ref="AK43:AP43" si="12">AK95</f>
        <v>-31.006487313887746</v>
      </c>
      <c r="AL43" s="281">
        <f t="shared" si="12"/>
        <v>-32.694182242346834</v>
      </c>
      <c r="AM43" s="281">
        <f t="shared" si="12"/>
        <v>-34.268167923256776</v>
      </c>
      <c r="AN43" s="281">
        <f t="shared" si="12"/>
        <v>-35.92809643273916</v>
      </c>
      <c r="AO43" s="281">
        <f t="shared" si="12"/>
        <v>-37.517783346008159</v>
      </c>
      <c r="AP43" s="281">
        <f t="shared" si="12"/>
        <v>-39.17783753141525</v>
      </c>
      <c r="AQ43" s="281">
        <f>AQ95</f>
        <v>-40.848006472333836</v>
      </c>
    </row>
    <row r="44" spans="3:43" s="149" customFormat="1">
      <c r="E44" s="149" t="s">
        <v>542</v>
      </c>
      <c r="G44" s="149" t="s">
        <v>27</v>
      </c>
      <c r="I44" s="143"/>
      <c r="AJ44" s="147">
        <f ca="1">SUM(AJ40:AJ43)</f>
        <v>568.65475785795104</v>
      </c>
      <c r="AK44" s="147">
        <f t="shared" ref="AK44:AQ44" ca="1" si="13">SUM(AK40:AK43)</f>
        <v>575.63729970967597</v>
      </c>
      <c r="AL44" s="147">
        <f t="shared" ca="1" si="13"/>
        <v>585.95114727679015</v>
      </c>
      <c r="AM44" s="147">
        <f t="shared" ca="1" si="13"/>
        <v>602.51270303479612</v>
      </c>
      <c r="AN44" s="147">
        <f t="shared" ca="1" si="13"/>
        <v>637.8623628891072</v>
      </c>
      <c r="AO44" s="147">
        <f t="shared" ca="1" si="13"/>
        <v>684.0139819720074</v>
      </c>
      <c r="AP44" s="147">
        <f t="shared" ca="1" si="13"/>
        <v>743.72850768037927</v>
      </c>
      <c r="AQ44" s="147">
        <f t="shared" ca="1" si="13"/>
        <v>822.24929920035129</v>
      </c>
    </row>
    <row r="45" spans="3:43" s="149" customFormat="1">
      <c r="E45" s="149" t="s">
        <v>607</v>
      </c>
      <c r="G45" s="149" t="s">
        <v>27</v>
      </c>
      <c r="I45" s="143"/>
      <c r="AJ45" s="147">
        <f>'Finance&amp;Tax'!AJ20+'Finance&amp;Tax'!AJ30</f>
        <v>0</v>
      </c>
      <c r="AK45" s="147">
        <f>'Finance&amp;Tax'!AK20+'Finance&amp;Tax'!AK30</f>
        <v>0</v>
      </c>
      <c r="AL45" s="147">
        <f>'Finance&amp;Tax'!AL20+'Finance&amp;Tax'!AL30</f>
        <v>0</v>
      </c>
      <c r="AM45" s="147">
        <f>'Finance&amp;Tax'!AM20+'Finance&amp;Tax'!AM30</f>
        <v>0</v>
      </c>
      <c r="AN45" s="147">
        <f>'Finance&amp;Tax'!AN20+'Finance&amp;Tax'!AN30</f>
        <v>0</v>
      </c>
      <c r="AO45" s="147">
        <f>'Finance&amp;Tax'!AO20+'Finance&amp;Tax'!AO30</f>
        <v>0</v>
      </c>
      <c r="AP45" s="147">
        <f>'Finance&amp;Tax'!AP20+'Finance&amp;Tax'!AP30</f>
        <v>0</v>
      </c>
      <c r="AQ45" s="147">
        <f>'Finance&amp;Tax'!AQ20+'Finance&amp;Tax'!AQ30</f>
        <v>0</v>
      </c>
    </row>
    <row r="46" spans="3:43" s="149" customFormat="1" ht="13.5" thickBot="1">
      <c r="E46" s="149" t="s">
        <v>537</v>
      </c>
      <c r="G46" s="149" t="s">
        <v>27</v>
      </c>
      <c r="I46" s="143"/>
      <c r="AJ46" s="277">
        <f ca="1">SUM(AJ44:AJ45)</f>
        <v>568.65475785795104</v>
      </c>
      <c r="AK46" s="277">
        <f t="shared" ref="AK46:AQ46" ca="1" si="14">SUM(AK44:AK45)</f>
        <v>575.63729970967597</v>
      </c>
      <c r="AL46" s="277">
        <f t="shared" ca="1" si="14"/>
        <v>585.95114727679015</v>
      </c>
      <c r="AM46" s="277">
        <f t="shared" ca="1" si="14"/>
        <v>602.51270303479612</v>
      </c>
      <c r="AN46" s="277">
        <f t="shared" ca="1" si="14"/>
        <v>637.8623628891072</v>
      </c>
      <c r="AO46" s="277">
        <f t="shared" ca="1" si="14"/>
        <v>684.0139819720074</v>
      </c>
      <c r="AP46" s="277">
        <f t="shared" ca="1" si="14"/>
        <v>743.72850768037927</v>
      </c>
      <c r="AQ46" s="277">
        <f t="shared" ca="1" si="14"/>
        <v>822.24929920035129</v>
      </c>
    </row>
    <row r="47" spans="3:43" s="149" customFormat="1" ht="13.5" thickTop="1">
      <c r="E47" s="195"/>
      <c r="F47" s="195"/>
      <c r="G47" s="195"/>
      <c r="H47" s="195"/>
      <c r="I47" s="195"/>
      <c r="J47" s="195"/>
      <c r="K47" s="195"/>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195"/>
      <c r="AM47" s="195"/>
      <c r="AN47" s="195"/>
      <c r="AO47" s="195"/>
      <c r="AP47" s="195"/>
      <c r="AQ47" s="195"/>
    </row>
    <row r="48" spans="3:43" s="149" customFormat="1">
      <c r="C48" s="332" t="s">
        <v>608</v>
      </c>
      <c r="D48" s="332"/>
      <c r="E48" s="332"/>
      <c r="F48" s="332"/>
      <c r="G48" s="397"/>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54"/>
      <c r="AK48" s="354"/>
      <c r="AL48" s="398"/>
      <c r="AM48" s="354"/>
      <c r="AN48" s="354"/>
      <c r="AO48" s="354"/>
      <c r="AP48" s="354"/>
      <c r="AQ48" s="354"/>
    </row>
    <row r="49" spans="3:43" s="149" customFormat="1">
      <c r="E49" s="195"/>
      <c r="F49" s="195"/>
      <c r="G49" s="195"/>
      <c r="H49" s="195"/>
      <c r="I49" s="195"/>
      <c r="J49" s="195"/>
      <c r="K49" s="195"/>
      <c r="L49" s="195"/>
      <c r="M49" s="195"/>
      <c r="N49" s="195"/>
      <c r="O49" s="195"/>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row>
    <row r="50" spans="3:43" s="149" customFormat="1">
      <c r="E50" s="195" t="s">
        <v>609</v>
      </c>
      <c r="F50" s="195"/>
      <c r="G50" s="149" t="s">
        <v>27</v>
      </c>
      <c r="H50" s="195"/>
      <c r="I50" s="195"/>
      <c r="J50" s="195"/>
      <c r="K50" s="195"/>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47">
        <f ca="1">AJ91</f>
        <v>73.686032778614816</v>
      </c>
      <c r="AK50" s="147">
        <f t="shared" ref="AK50:AQ50" ca="1" si="15">AK91</f>
        <v>71.425058488590665</v>
      </c>
      <c r="AL50" s="147">
        <f t="shared" ca="1" si="15"/>
        <v>79.900591337535857</v>
      </c>
      <c r="AM50" s="147">
        <f t="shared" ca="1" si="15"/>
        <v>89.867945316494257</v>
      </c>
      <c r="AN50" s="147">
        <f t="shared" ca="1" si="15"/>
        <v>102.29510546701192</v>
      </c>
      <c r="AO50" s="147">
        <f t="shared" ca="1" si="15"/>
        <v>117.34999181141484</v>
      </c>
      <c r="AP50" s="147">
        <f t="shared" ca="1" si="15"/>
        <v>130.89538732916841</v>
      </c>
      <c r="AQ50" s="147">
        <f t="shared" ca="1" si="15"/>
        <v>147.92483633117854</v>
      </c>
    </row>
    <row r="51" spans="3:43" s="149" customFormat="1">
      <c r="E51" s="195" t="s">
        <v>610</v>
      </c>
      <c r="F51" s="195"/>
      <c r="G51" s="149" t="s">
        <v>27</v>
      </c>
      <c r="H51" s="195"/>
      <c r="I51" s="195"/>
      <c r="J51" s="195"/>
      <c r="K51" s="195"/>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47">
        <f>-AJ79</f>
        <v>56.199175871390423</v>
      </c>
      <c r="AK51" s="147">
        <f t="shared" ref="AK51:AQ51" si="16">-AK79</f>
        <v>60.052006053624517</v>
      </c>
      <c r="AL51" s="147">
        <f t="shared" si="16"/>
        <v>61.941497181456846</v>
      </c>
      <c r="AM51" s="147">
        <f t="shared" si="16"/>
        <v>65.759846289247307</v>
      </c>
      <c r="AN51" s="147">
        <f t="shared" si="16"/>
        <v>68.803257123424515</v>
      </c>
      <c r="AO51" s="147">
        <f t="shared" si="16"/>
        <v>69.991318604675669</v>
      </c>
      <c r="AP51" s="147">
        <f t="shared" si="16"/>
        <v>74.253093339631974</v>
      </c>
      <c r="AQ51" s="147">
        <f t="shared" si="16"/>
        <v>78.024175326759675</v>
      </c>
    </row>
    <row r="52" spans="3:43" s="149" customFormat="1">
      <c r="E52" s="195" t="s">
        <v>611</v>
      </c>
      <c r="F52" s="195"/>
      <c r="G52" s="149" t="s">
        <v>27</v>
      </c>
      <c r="H52" s="195"/>
      <c r="I52" s="195"/>
      <c r="J52" s="195"/>
      <c r="K52" s="195"/>
      <c r="L52" s="195"/>
      <c r="M52" s="195"/>
      <c r="N52" s="195"/>
      <c r="O52" s="195"/>
      <c r="P52" s="195"/>
      <c r="Q52" s="195"/>
      <c r="R52" s="195"/>
      <c r="S52" s="195"/>
      <c r="T52" s="195"/>
      <c r="U52" s="195"/>
      <c r="V52" s="195"/>
      <c r="W52" s="195"/>
      <c r="X52" s="195"/>
      <c r="Y52" s="195"/>
      <c r="Z52" s="195"/>
      <c r="AA52" s="195"/>
      <c r="AB52" s="195"/>
      <c r="AC52" s="195"/>
      <c r="AD52" s="195"/>
      <c r="AE52" s="195"/>
      <c r="AF52" s="195"/>
      <c r="AG52" s="195"/>
      <c r="AH52" s="195"/>
      <c r="AI52" s="195"/>
      <c r="AJ52" s="147">
        <f>'Return&amp;RAV'!AJ46*Input!AJ57/Input!$AG$57</f>
        <v>-136.16235427324438</v>
      </c>
      <c r="AK52" s="147">
        <f>'Return&amp;RAV'!AK46*Input!AK57/Input!$AG$57</f>
        <v>-145.2888602269615</v>
      </c>
      <c r="AL52" s="147">
        <f>'Return&amp;RAV'!AL46*Input!AL57/Input!$AG$57</f>
        <v>-153.75936196949382</v>
      </c>
      <c r="AM52" s="147">
        <f>'Return&amp;RAV'!AM46*Input!AM57/Input!$AG$57</f>
        <v>-162.71515446423376</v>
      </c>
      <c r="AN52" s="147">
        <f>'Return&amp;RAV'!AN46*Input!AN57/Input!$AG$57</f>
        <v>-160.52648369512201</v>
      </c>
      <c r="AO52" s="147">
        <f>'Return&amp;RAV'!AO46*Input!AO57/Input!$AG$57</f>
        <v>-167.31549017990923</v>
      </c>
      <c r="AP52" s="147">
        <f>'Return&amp;RAV'!AP46*Input!AP57/Input!$AG$57</f>
        <v>-172.7146671043258</v>
      </c>
      <c r="AQ52" s="147">
        <f>'Return&amp;RAV'!AQ46*Input!AQ57/Input!$AG$57</f>
        <v>-175.97820854675942</v>
      </c>
    </row>
    <row r="53" spans="3:43" s="149" customFormat="1" ht="13.5" thickBot="1">
      <c r="E53" s="195" t="s">
        <v>612</v>
      </c>
      <c r="F53" s="195"/>
      <c r="G53" s="149" t="s">
        <v>27</v>
      </c>
      <c r="H53" s="195"/>
      <c r="I53" s="195"/>
      <c r="J53" s="195"/>
      <c r="K53" s="195"/>
      <c r="L53" s="195"/>
      <c r="M53" s="195"/>
      <c r="N53" s="195"/>
      <c r="O53" s="195"/>
      <c r="P53" s="195"/>
      <c r="Q53" s="195"/>
      <c r="R53" s="195"/>
      <c r="S53" s="195"/>
      <c r="T53" s="195"/>
      <c r="U53" s="195"/>
      <c r="V53" s="195"/>
      <c r="W53" s="195"/>
      <c r="X53" s="195"/>
      <c r="Y53" s="195"/>
      <c r="Z53" s="195"/>
      <c r="AA53" s="195"/>
      <c r="AB53" s="195"/>
      <c r="AC53" s="195"/>
      <c r="AD53" s="195"/>
      <c r="AE53" s="195"/>
      <c r="AF53" s="195"/>
      <c r="AG53" s="195"/>
      <c r="AH53" s="195"/>
      <c r="AI53" s="195"/>
      <c r="AJ53" s="277">
        <f ca="1">SUM(AJ50:AJ52)</f>
        <v>-6.2771456232391358</v>
      </c>
      <c r="AK53" s="277">
        <f t="shared" ref="AK53:AQ53" ca="1" si="17">SUM(AK50:AK52)</f>
        <v>-13.811795684746329</v>
      </c>
      <c r="AL53" s="277">
        <f t="shared" ca="1" si="17"/>
        <v>-11.917273450501114</v>
      </c>
      <c r="AM53" s="277">
        <f t="shared" ca="1" si="17"/>
        <v>-7.087362858492213</v>
      </c>
      <c r="AN53" s="277">
        <f t="shared" ca="1" si="17"/>
        <v>10.571878895314427</v>
      </c>
      <c r="AO53" s="277">
        <f t="shared" ca="1" si="17"/>
        <v>20.025820236181261</v>
      </c>
      <c r="AP53" s="277">
        <f t="shared" ca="1" si="17"/>
        <v>32.433813564474605</v>
      </c>
      <c r="AQ53" s="277">
        <f t="shared" ca="1" si="17"/>
        <v>49.97080311117881</v>
      </c>
    </row>
    <row r="54" spans="3:43" s="149" customFormat="1" ht="13.5" thickTop="1">
      <c r="E54" s="195"/>
      <c r="F54" s="195"/>
      <c r="G54" s="195"/>
      <c r="H54" s="195"/>
      <c r="I54" s="195"/>
      <c r="J54" s="195"/>
      <c r="K54" s="195"/>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row>
    <row r="55" spans="3:43" s="149" customFormat="1">
      <c r="C55" s="332" t="s">
        <v>589</v>
      </c>
      <c r="D55" s="332"/>
      <c r="E55" s="332"/>
      <c r="F55" s="332"/>
      <c r="G55" s="397"/>
      <c r="H55" s="332"/>
      <c r="I55" s="332"/>
      <c r="J55" s="332"/>
      <c r="K55" s="332"/>
      <c r="L55" s="332"/>
      <c r="M55" s="332"/>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54"/>
      <c r="AK55" s="354"/>
      <c r="AL55" s="398"/>
      <c r="AM55" s="354"/>
      <c r="AN55" s="354"/>
      <c r="AO55" s="354"/>
      <c r="AP55" s="354"/>
      <c r="AQ55" s="354"/>
    </row>
    <row r="56" spans="3:43" s="149" customFormat="1"/>
    <row r="57" spans="3:43" s="149" customFormat="1">
      <c r="E57" s="149" t="s">
        <v>174</v>
      </c>
      <c r="AJ57" s="149">
        <f>'Finance&amp;Tax'!AJ22</f>
        <v>-1030.750970109631</v>
      </c>
      <c r="AK57" s="149">
        <f>'Finance&amp;Tax'!AK22</f>
        <v>-1102.4204078091404</v>
      </c>
      <c r="AL57" s="149">
        <f>'Finance&amp;Tax'!AL22</f>
        <v>-1196.1619753696239</v>
      </c>
      <c r="AM57" s="149">
        <f>'Finance&amp;Tax'!AM22</f>
        <v>-1282.2878380001716</v>
      </c>
      <c r="AN57" s="149">
        <f>'Finance&amp;Tax'!AN22</f>
        <v>-1355.6683211513048</v>
      </c>
      <c r="AO57" s="149">
        <f>'Finance&amp;Tax'!AO22</f>
        <v>-1415.1717189817018</v>
      </c>
      <c r="AP57" s="149">
        <f>'Finance&amp;Tax'!AP22</f>
        <v>-1459.8593520856016</v>
      </c>
      <c r="AQ57" s="149">
        <f>'Finance&amp;Tax'!AQ22</f>
        <v>-1495.0050655433495</v>
      </c>
    </row>
    <row r="58" spans="3:43" s="149" customFormat="1">
      <c r="E58" s="149" t="s">
        <v>185</v>
      </c>
      <c r="AJ58" s="108">
        <f>'Finance&amp;Tax'!AJ36</f>
        <v>-1102.4204078091404</v>
      </c>
      <c r="AK58" s="108">
        <f>'Finance&amp;Tax'!AK36</f>
        <v>-1196.1619753696239</v>
      </c>
      <c r="AL58" s="108">
        <f>'Finance&amp;Tax'!AL36</f>
        <v>-1282.2878380001716</v>
      </c>
      <c r="AM58" s="108">
        <f>'Finance&amp;Tax'!AM36</f>
        <v>-1355.6683211513048</v>
      </c>
      <c r="AN58" s="108">
        <f>'Finance&amp;Tax'!AN36</f>
        <v>-1415.1717189817018</v>
      </c>
      <c r="AO58" s="108">
        <f>'Finance&amp;Tax'!AO36</f>
        <v>-1459.8593520856016</v>
      </c>
      <c r="AP58" s="108">
        <f>'Finance&amp;Tax'!AP36</f>
        <v>-1495.0050655433495</v>
      </c>
      <c r="AQ58" s="108">
        <f>'Finance&amp;Tax'!AQ36</f>
        <v>-1511.9224992187253</v>
      </c>
    </row>
    <row r="59" spans="3:43" s="149" customFormat="1">
      <c r="E59" s="195" t="s">
        <v>538</v>
      </c>
      <c r="F59" s="195"/>
      <c r="G59" s="149" t="s">
        <v>27</v>
      </c>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47">
        <f>AJ58-AJ57</f>
        <v>-71.669437699509444</v>
      </c>
      <c r="AK59" s="147">
        <f t="shared" ref="AK59:AQ59" si="18">AK58-AK57</f>
        <v>-93.741567560483418</v>
      </c>
      <c r="AL59" s="147">
        <f t="shared" si="18"/>
        <v>-86.125862630547772</v>
      </c>
      <c r="AM59" s="147">
        <f t="shared" si="18"/>
        <v>-73.380483151133149</v>
      </c>
      <c r="AN59" s="147">
        <f t="shared" si="18"/>
        <v>-59.503397830397034</v>
      </c>
      <c r="AO59" s="147">
        <f t="shared" si="18"/>
        <v>-44.687633103899771</v>
      </c>
      <c r="AP59" s="147">
        <f t="shared" si="18"/>
        <v>-35.145713457747888</v>
      </c>
      <c r="AQ59" s="147">
        <f t="shared" si="18"/>
        <v>-16.917433675375833</v>
      </c>
    </row>
    <row r="60" spans="3:43" s="149" customFormat="1">
      <c r="E60" s="195" t="s">
        <v>615</v>
      </c>
      <c r="F60" s="195"/>
      <c r="H60" s="195"/>
      <c r="I60" s="195"/>
      <c r="J60" s="195"/>
      <c r="K60" s="195"/>
      <c r="L60" s="195"/>
      <c r="M60" s="195"/>
      <c r="N60" s="195"/>
      <c r="O60" s="195"/>
      <c r="P60" s="195"/>
      <c r="Q60" s="195"/>
      <c r="R60" s="195"/>
      <c r="S60" s="195"/>
      <c r="T60" s="195"/>
      <c r="U60" s="195"/>
      <c r="V60" s="195"/>
      <c r="W60" s="195"/>
      <c r="X60" s="195"/>
      <c r="Y60" s="195"/>
      <c r="Z60" s="195"/>
      <c r="AA60" s="195"/>
      <c r="AB60" s="195"/>
      <c r="AC60" s="195"/>
      <c r="AD60" s="195"/>
      <c r="AE60" s="195"/>
      <c r="AF60" s="195"/>
      <c r="AG60" s="195"/>
      <c r="AH60" s="195"/>
      <c r="AI60" s="195"/>
      <c r="AJ60" s="147">
        <f>-'Finance&amp;Tax'!AJ30</f>
        <v>0</v>
      </c>
      <c r="AK60" s="147">
        <f>-'Finance&amp;Tax'!AK30</f>
        <v>0</v>
      </c>
      <c r="AL60" s="147">
        <f>-'Finance&amp;Tax'!AL30</f>
        <v>0</v>
      </c>
      <c r="AM60" s="147">
        <f>-'Finance&amp;Tax'!AM30</f>
        <v>0</v>
      </c>
      <c r="AN60" s="147">
        <f>-'Finance&amp;Tax'!AN30</f>
        <v>0</v>
      </c>
      <c r="AO60" s="147">
        <f>-'Finance&amp;Tax'!AO30</f>
        <v>0</v>
      </c>
      <c r="AP60" s="147">
        <f>-'Finance&amp;Tax'!AP30</f>
        <v>0</v>
      </c>
      <c r="AQ60" s="147">
        <f>-'Finance&amp;Tax'!AQ30</f>
        <v>0</v>
      </c>
    </row>
    <row r="61" spans="3:43" s="149" customFormat="1">
      <c r="E61" s="195" t="s">
        <v>613</v>
      </c>
      <c r="F61" s="195"/>
      <c r="G61" s="149" t="s">
        <v>27</v>
      </c>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47">
        <f>-'Finance&amp;Tax'!AJ33</f>
        <v>8.2398990475106899</v>
      </c>
      <c r="AK61" s="147">
        <f>-'Finance&amp;Tax'!AK33</f>
        <v>8.8798615678963131</v>
      </c>
      <c r="AL61" s="147">
        <f>-'Finance&amp;Tax'!AL33</f>
        <v>9.5762071045765431</v>
      </c>
      <c r="AM61" s="147">
        <f>-'Finance&amp;Tax'!AM33</f>
        <v>10.19379257880124</v>
      </c>
      <c r="AN61" s="147">
        <f>-'Finance&amp;Tax'!AN33</f>
        <v>10.708090687633302</v>
      </c>
      <c r="AO61" s="147">
        <f>-'Finance&amp;Tax'!AO33</f>
        <v>11.110701789166335</v>
      </c>
      <c r="AP61" s="147">
        <f>-'Finance&amp;Tax'!AP33</f>
        <v>11.419037940265053</v>
      </c>
      <c r="AQ61" s="147">
        <f>-'Finance&amp;Tax'!AQ33</f>
        <v>11.619842413731464</v>
      </c>
    </row>
    <row r="62" spans="3:43" s="149" customFormat="1" ht="13.5" thickBot="1">
      <c r="E62" s="195" t="s">
        <v>590</v>
      </c>
      <c r="F62" s="195"/>
      <c r="G62" s="149" t="s">
        <v>27</v>
      </c>
      <c r="H62" s="195"/>
      <c r="I62" s="195"/>
      <c r="J62" s="195"/>
      <c r="K62" s="195"/>
      <c r="L62" s="195"/>
      <c r="M62" s="195"/>
      <c r="N62" s="195"/>
      <c r="O62" s="195"/>
      <c r="P62" s="195"/>
      <c r="Q62" s="195"/>
      <c r="R62" s="195"/>
      <c r="S62" s="195"/>
      <c r="T62" s="195"/>
      <c r="U62" s="195"/>
      <c r="V62" s="195"/>
      <c r="W62" s="195"/>
      <c r="X62" s="195"/>
      <c r="Y62" s="195"/>
      <c r="Z62" s="195"/>
      <c r="AA62" s="195"/>
      <c r="AB62" s="195"/>
      <c r="AC62" s="195"/>
      <c r="AD62" s="195"/>
      <c r="AE62" s="195"/>
      <c r="AF62" s="195"/>
      <c r="AG62" s="195"/>
      <c r="AH62" s="195"/>
      <c r="AI62" s="195"/>
      <c r="AJ62" s="278">
        <f>SUM(AJ59:AJ61)</f>
        <v>-63.429538651998755</v>
      </c>
      <c r="AK62" s="278">
        <f>SUM(AK59:AK61)</f>
        <v>-84.861705992587105</v>
      </c>
      <c r="AL62" s="278">
        <f t="shared" ref="AL62:AQ62" si="19">SUM(AL59:AL61)</f>
        <v>-76.549655525971232</v>
      </c>
      <c r="AM62" s="278">
        <f t="shared" si="19"/>
        <v>-63.186690572331912</v>
      </c>
      <c r="AN62" s="278">
        <f t="shared" si="19"/>
        <v>-48.795307142763733</v>
      </c>
      <c r="AO62" s="278">
        <f t="shared" si="19"/>
        <v>-33.576931314733436</v>
      </c>
      <c r="AP62" s="278">
        <f t="shared" si="19"/>
        <v>-23.726675517482835</v>
      </c>
      <c r="AQ62" s="278">
        <f t="shared" si="19"/>
        <v>-5.297591261644369</v>
      </c>
    </row>
    <row r="63" spans="3:43" s="149" customFormat="1" ht="13.5" thickTop="1">
      <c r="E63" s="195" t="s">
        <v>453</v>
      </c>
      <c r="F63" s="195"/>
      <c r="H63" s="195"/>
      <c r="I63" s="195"/>
      <c r="J63" s="195"/>
      <c r="K63" s="195"/>
      <c r="L63" s="195"/>
      <c r="M63" s="195"/>
      <c r="N63" s="195"/>
      <c r="O63" s="195"/>
      <c r="P63" s="195"/>
      <c r="Q63" s="195"/>
      <c r="R63" s="195"/>
      <c r="S63" s="195"/>
      <c r="T63" s="195"/>
      <c r="U63" s="195"/>
      <c r="V63" s="195"/>
      <c r="W63" s="195"/>
      <c r="X63" s="195"/>
      <c r="Y63" s="195"/>
      <c r="Z63" s="195"/>
      <c r="AA63" s="195"/>
      <c r="AB63" s="195"/>
      <c r="AC63" s="195"/>
      <c r="AD63" s="195"/>
      <c r="AE63" s="195"/>
      <c r="AF63" s="195"/>
      <c r="AG63" s="195"/>
      <c r="AH63" s="195"/>
      <c r="AI63" s="195"/>
      <c r="AJ63" s="157">
        <f t="shared" ref="AJ63:AQ63" ca="1" si="20">AJ62-AJ120</f>
        <v>-5.6843418860808015E-14</v>
      </c>
      <c r="AK63" s="147">
        <f t="shared" ca="1" si="20"/>
        <v>2.1316282072803006E-13</v>
      </c>
      <c r="AL63" s="147">
        <f t="shared" ca="1" si="20"/>
        <v>0</v>
      </c>
      <c r="AM63" s="147">
        <f t="shared" ca="1" si="20"/>
        <v>1.7053025658242404E-13</v>
      </c>
      <c r="AN63" s="147">
        <f t="shared" ca="1" si="20"/>
        <v>-2.2737367544323206E-13</v>
      </c>
      <c r="AO63" s="147">
        <f t="shared" ca="1" si="20"/>
        <v>-2.0605739337042905E-13</v>
      </c>
      <c r="AP63" s="147">
        <f t="shared" ca="1" si="20"/>
        <v>-1.5987211554602254E-13</v>
      </c>
      <c r="AQ63" s="147">
        <f t="shared" ca="1" si="20"/>
        <v>2.4336088699783431E-13</v>
      </c>
    </row>
    <row r="64" spans="3:43" s="149" customFormat="1"/>
    <row r="65" spans="2:48">
      <c r="B65" s="334" t="s">
        <v>540</v>
      </c>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34"/>
      <c r="AF65" s="334"/>
      <c r="AG65" s="334"/>
      <c r="AH65" s="334"/>
      <c r="AI65" s="334"/>
      <c r="AJ65" s="334"/>
      <c r="AK65" s="334"/>
      <c r="AL65" s="334"/>
      <c r="AM65" s="334"/>
      <c r="AN65" s="334"/>
      <c r="AO65" s="334"/>
      <c r="AP65" s="334"/>
      <c r="AQ65" s="334"/>
      <c r="AR65" s="113"/>
      <c r="AS65" s="149"/>
      <c r="AT65" s="149"/>
      <c r="AU65" s="113"/>
      <c r="AV65" s="113"/>
    </row>
    <row r="66" spans="2:48">
      <c r="B66" s="464" t="s">
        <v>623</v>
      </c>
      <c r="C66" s="465"/>
      <c r="D66" s="465"/>
      <c r="E66" s="465"/>
      <c r="F66" s="465"/>
      <c r="G66" s="465"/>
      <c r="H66" s="465"/>
      <c r="I66" s="465"/>
      <c r="J66" s="465"/>
      <c r="K66" s="465"/>
      <c r="L66" s="465"/>
      <c r="M66" s="465"/>
      <c r="N66" s="465"/>
      <c r="O66" s="465"/>
      <c r="P66" s="465"/>
      <c r="Q66" s="465"/>
      <c r="R66" s="465"/>
      <c r="S66" s="465"/>
      <c r="T66" s="465"/>
      <c r="U66" s="465"/>
      <c r="V66" s="465"/>
      <c r="W66" s="465"/>
      <c r="X66" s="465"/>
      <c r="Y66" s="465"/>
      <c r="Z66" s="465"/>
      <c r="AA66" s="465"/>
      <c r="AB66" s="465"/>
      <c r="AC66" s="465"/>
      <c r="AD66" s="465"/>
      <c r="AE66" s="465"/>
      <c r="AF66" s="465"/>
      <c r="AG66" s="465"/>
      <c r="AH66" s="465"/>
      <c r="AI66" s="465"/>
      <c r="AJ66" s="465"/>
      <c r="AK66" s="465"/>
      <c r="AL66" s="465"/>
      <c r="AM66" s="465"/>
      <c r="AN66" s="465"/>
      <c r="AO66" s="465"/>
      <c r="AP66" s="465"/>
      <c r="AQ66" s="465"/>
      <c r="AR66" s="113"/>
      <c r="AS66" s="149"/>
      <c r="AT66" s="149"/>
      <c r="AU66" s="113"/>
      <c r="AV66" s="113"/>
    </row>
    <row r="67" spans="2:48">
      <c r="B67" s="537"/>
      <c r="C67" s="538"/>
      <c r="D67" s="538"/>
      <c r="E67" s="538"/>
      <c r="F67" s="538"/>
      <c r="G67" s="538"/>
      <c r="H67" s="538"/>
      <c r="I67" s="538"/>
      <c r="J67" s="538"/>
      <c r="K67" s="538"/>
      <c r="L67" s="538"/>
      <c r="M67" s="538"/>
      <c r="N67" s="538"/>
      <c r="O67" s="538"/>
      <c r="P67" s="538"/>
      <c r="Q67" s="538"/>
      <c r="R67" s="538"/>
      <c r="S67" s="538"/>
      <c r="T67" s="538"/>
      <c r="U67" s="538"/>
      <c r="V67" s="538"/>
      <c r="W67" s="538"/>
      <c r="X67" s="538"/>
      <c r="Y67" s="538"/>
      <c r="Z67" s="538"/>
      <c r="AA67" s="538"/>
      <c r="AB67" s="538"/>
      <c r="AC67" s="538"/>
      <c r="AD67" s="538"/>
      <c r="AE67" s="538"/>
      <c r="AF67" s="538"/>
      <c r="AG67" s="538"/>
      <c r="AH67" s="538"/>
      <c r="AI67" s="538"/>
      <c r="AJ67" s="538"/>
      <c r="AK67" s="538"/>
      <c r="AL67" s="538"/>
      <c r="AM67" s="538"/>
      <c r="AN67" s="538"/>
      <c r="AO67" s="538"/>
      <c r="AP67" s="538"/>
      <c r="AQ67" s="538"/>
      <c r="AR67" s="113"/>
      <c r="AS67" s="152"/>
      <c r="AT67" s="152"/>
      <c r="AU67" s="113"/>
      <c r="AV67" s="113"/>
    </row>
    <row r="68" spans="2:48" s="149" customFormat="1">
      <c r="C68" s="332" t="s">
        <v>440</v>
      </c>
      <c r="D68" s="332"/>
      <c r="E68" s="332"/>
      <c r="F68" s="332"/>
      <c r="G68" s="332"/>
      <c r="H68" s="332"/>
      <c r="I68" s="332"/>
      <c r="J68" s="332"/>
      <c r="K68" s="332"/>
      <c r="L68" s="332"/>
      <c r="M68" s="332"/>
      <c r="N68" s="332"/>
      <c r="O68" s="332"/>
      <c r="P68" s="332"/>
      <c r="Q68" s="332"/>
      <c r="R68" s="332"/>
      <c r="S68" s="332"/>
      <c r="T68" s="332"/>
      <c r="U68" s="332"/>
      <c r="V68" s="332"/>
      <c r="W68" s="332"/>
      <c r="X68" s="332"/>
      <c r="Y68" s="332"/>
      <c r="Z68" s="332"/>
      <c r="AA68" s="332"/>
      <c r="AB68" s="332"/>
      <c r="AC68" s="332"/>
      <c r="AD68" s="332"/>
      <c r="AE68" s="332"/>
      <c r="AF68" s="332"/>
      <c r="AG68" s="332"/>
      <c r="AH68" s="332"/>
      <c r="AI68" s="332"/>
      <c r="AJ68" s="354"/>
      <c r="AK68" s="354"/>
      <c r="AL68" s="354"/>
      <c r="AM68" s="354"/>
      <c r="AN68" s="354"/>
      <c r="AO68" s="354"/>
      <c r="AP68" s="354"/>
      <c r="AQ68" s="354"/>
    </row>
    <row r="69" spans="2:48" s="149" customFormat="1"/>
    <row r="70" spans="2:48" s="149" customFormat="1">
      <c r="E70" s="157" t="s">
        <v>439</v>
      </c>
      <c r="G70" s="149" t="s">
        <v>27</v>
      </c>
      <c r="AJ70" s="152">
        <f ca="1">(Revenue!AJ71) * Input!AJ$57 / Input!$AG$57</f>
        <v>361.660044380388</v>
      </c>
      <c r="AK70" s="152">
        <f ca="1">(Revenue!AK71) * Input!AK$57 / Input!$AG$57</f>
        <v>381.79598672979813</v>
      </c>
      <c r="AL70" s="152">
        <f ca="1">(Revenue!AL71) * Input!AL$57 / Input!$AG$57</f>
        <v>402.86475889219861</v>
      </c>
      <c r="AM70" s="152">
        <f ca="1">(Revenue!AM71) * Input!AM$57 / Input!$AG$57</f>
        <v>425.29876792924387</v>
      </c>
      <c r="AN70" s="152">
        <f ca="1">(Revenue!AN71) * Input!AN$57 / Input!$AG$57</f>
        <v>449.15082274864534</v>
      </c>
      <c r="AO70" s="152">
        <f ca="1">(Revenue!AO71) * Input!AO$57 / Input!$AG$57</f>
        <v>474.72432612245461</v>
      </c>
      <c r="AP70" s="152">
        <f ca="1">(Revenue!AP71) * Input!AP$57 / Input!$AG$57</f>
        <v>502.33752352703715</v>
      </c>
      <c r="AQ70" s="152">
        <f ca="1">(Revenue!AQ71) * Input!AQ$57 / Input!$AG$57</f>
        <v>531.74692186721836</v>
      </c>
    </row>
    <row r="71" spans="2:48" s="149" customFormat="1">
      <c r="E71" s="149" t="s">
        <v>717</v>
      </c>
      <c r="G71" s="149" t="s">
        <v>27</v>
      </c>
      <c r="AJ71" s="149">
        <f>-TIM!AJ70* Input!AJ$57 / Input!$AG$57</f>
        <v>-81.08744985898376</v>
      </c>
      <c r="AK71" s="149">
        <f>-TIM!AK70* Input!AK$57 / Input!$AG$57</f>
        <v>-91.393950488852241</v>
      </c>
      <c r="AL71" s="149">
        <f>-TIM!AL70* Input!AL$57 / Input!$AG$57</f>
        <v>-91.893538309267555</v>
      </c>
      <c r="AM71" s="149">
        <f>-TIM!AM70* Input!AM$57 / Input!$AG$57</f>
        <v>-91.642403215820252</v>
      </c>
      <c r="AN71" s="149">
        <f>-TIM!AN70* Input!AN$57 / Input!$AG$57</f>
        <v>-91.611135994397188</v>
      </c>
      <c r="AO71" s="149">
        <f>-TIM!AO70* Input!AO$57 / Input!$AG$57</f>
        <v>-91.534663611285595</v>
      </c>
      <c r="AP71" s="149">
        <f>-TIM!AP70* Input!AP$57 / Input!$AG$57</f>
        <v>-94.642991338886048</v>
      </c>
      <c r="AQ71" s="149">
        <f>-TIM!AQ70* Input!AQ$57 / Input!$AG$57</f>
        <v>-95.067500640461333</v>
      </c>
    </row>
    <row r="72" spans="2:48" s="149" customFormat="1">
      <c r="E72" s="149" t="s">
        <v>718</v>
      </c>
      <c r="G72" s="149" t="s">
        <v>27</v>
      </c>
      <c r="AJ72" s="306">
        <f>0</f>
        <v>0</v>
      </c>
      <c r="AK72" s="306">
        <f>0</f>
        <v>0</v>
      </c>
      <c r="AL72" s="306">
        <f>0</f>
        <v>0</v>
      </c>
      <c r="AM72" s="306">
        <f>0</f>
        <v>0</v>
      </c>
      <c r="AN72" s="306">
        <f>0</f>
        <v>0</v>
      </c>
      <c r="AO72" s="306">
        <f>0</f>
        <v>0</v>
      </c>
      <c r="AP72" s="306">
        <f>0</f>
        <v>0</v>
      </c>
      <c r="AQ72" s="306">
        <f>0</f>
        <v>0</v>
      </c>
    </row>
    <row r="73" spans="2:48" s="149" customFormat="1">
      <c r="E73" s="149" t="s">
        <v>741</v>
      </c>
      <c r="G73" s="149" t="s">
        <v>27</v>
      </c>
      <c r="AJ73" s="147">
        <f xml:space="preserve"> -(Input!AJ235) * Input!AJ$57 / Input!$AG$57</f>
        <v>-36.826928094929116</v>
      </c>
      <c r="AK73" s="147">
        <f xml:space="preserve"> -(Input!AK235) * Input!AK$57 / Input!$AG$57</f>
        <v>-38.567345378244219</v>
      </c>
      <c r="AL73" s="147">
        <f xml:space="preserve"> -(Input!AL235) * Input!AL$57 / Input!$AG$57</f>
        <v>-41.735501243090475</v>
      </c>
      <c r="AM73" s="147">
        <f xml:space="preserve"> -(Input!AM235) * Input!AM$57 / Input!$AG$57</f>
        <v>-43.429679855055177</v>
      </c>
      <c r="AN73" s="147">
        <f xml:space="preserve"> -(Input!AN235) * Input!AN$57 / Input!$AG$57</f>
        <v>-44.619204567764186</v>
      </c>
      <c r="AO73" s="147">
        <f xml:space="preserve"> -(Input!AO235) * Input!AO$57 / Input!$AG$57</f>
        <v>-47.236475360298918</v>
      </c>
      <c r="AP73" s="147">
        <f xml:space="preserve"> -(Input!AP235) * Input!AP$57 / Input!$AG$57</f>
        <v>-46.775878450061718</v>
      </c>
      <c r="AQ73" s="147">
        <f xml:space="preserve"> -(Input!AQ235) * Input!AQ$57 / Input!$AG$57</f>
        <v>-48.510846764266333</v>
      </c>
    </row>
    <row r="74" spans="2:48" s="149" customFormat="1">
      <c r="E74" s="157" t="s">
        <v>475</v>
      </c>
      <c r="G74" s="149" t="s">
        <v>27</v>
      </c>
      <c r="I74" s="143"/>
      <c r="AJ74" s="281">
        <f>-DARTs!AJ19 * Input!AJ$57 / Input!$AG$57</f>
        <v>-34.187479022617453</v>
      </c>
      <c r="AK74" s="281">
        <f>-DARTs!AK19 * Input!AK$57 / Input!$AG$57</f>
        <v>-35.247239618257069</v>
      </c>
      <c r="AL74" s="281">
        <f>-DARTs!AL19 * Input!AL$57 / Input!$AG$57</f>
        <v>-36.339894611595788</v>
      </c>
      <c r="AM74" s="281">
        <f>-DARTs!AM19 * Input!AM$57 / Input!$AG$57</f>
        <v>-37.466463983957624</v>
      </c>
      <c r="AN74" s="281">
        <f>-DARTs!AN19 * Input!AN$57 / Input!$AG$57</f>
        <v>-38.627967716666589</v>
      </c>
      <c r="AO74" s="281">
        <f>-DARTs!AO19 * Input!AO$57 / Input!$AG$57</f>
        <v>-39.825425791046669</v>
      </c>
      <c r="AP74" s="281">
        <f>-DARTs!AP19 * Input!AP$57 / Input!$AG$57</f>
        <v>-41.059985686087373</v>
      </c>
      <c r="AQ74" s="281">
        <f>-DARTs!AQ19 * Input!AQ$57 / Input!$AG$57</f>
        <v>-42.332794880778209</v>
      </c>
    </row>
    <row r="75" spans="2:48" s="149" customFormat="1">
      <c r="E75" s="149" t="s">
        <v>441</v>
      </c>
      <c r="G75" s="149" t="s">
        <v>27</v>
      </c>
      <c r="I75" s="143"/>
      <c r="AJ75" s="147">
        <f t="shared" ref="AJ75:AQ75" ca="1" si="21">SUM(AJ70:AJ74)</f>
        <v>209.55818740385769</v>
      </c>
      <c r="AK75" s="147">
        <f t="shared" ca="1" si="21"/>
        <v>216.58745124444459</v>
      </c>
      <c r="AL75" s="147">
        <f t="shared" ca="1" si="21"/>
        <v>232.89582472824478</v>
      </c>
      <c r="AM75" s="147">
        <f t="shared" ca="1" si="21"/>
        <v>252.76022087441083</v>
      </c>
      <c r="AN75" s="147">
        <f t="shared" ca="1" si="21"/>
        <v>274.29251446981732</v>
      </c>
      <c r="AO75" s="147">
        <f t="shared" ca="1" si="21"/>
        <v>296.12776135982341</v>
      </c>
      <c r="AP75" s="147">
        <f t="shared" ca="1" si="21"/>
        <v>319.85866805200203</v>
      </c>
      <c r="AQ75" s="147">
        <f t="shared" ca="1" si="21"/>
        <v>345.83577958171247</v>
      </c>
    </row>
    <row r="76" spans="2:48" s="149" customFormat="1">
      <c r="AJ76" s="147"/>
      <c r="AK76" s="147"/>
      <c r="AL76" s="147"/>
      <c r="AM76" s="147"/>
      <c r="AN76" s="147"/>
      <c r="AO76" s="147"/>
      <c r="AP76" s="147"/>
      <c r="AQ76" s="147"/>
    </row>
    <row r="77" spans="2:48" s="149" customFormat="1">
      <c r="C77" s="332" t="s">
        <v>442</v>
      </c>
      <c r="D77" s="332"/>
      <c r="E77" s="332"/>
      <c r="F77" s="332"/>
      <c r="G77" s="332"/>
      <c r="H77" s="332"/>
      <c r="I77" s="332"/>
      <c r="J77" s="332"/>
      <c r="K77" s="332"/>
      <c r="L77" s="332"/>
      <c r="M77" s="332"/>
      <c r="N77" s="332"/>
      <c r="O77" s="332"/>
      <c r="P77" s="332"/>
      <c r="Q77" s="332"/>
      <c r="R77" s="332"/>
      <c r="S77" s="332"/>
      <c r="T77" s="332"/>
      <c r="U77" s="332"/>
      <c r="V77" s="332"/>
      <c r="W77" s="332"/>
      <c r="X77" s="332"/>
      <c r="Y77" s="332"/>
      <c r="Z77" s="332"/>
      <c r="AA77" s="332"/>
      <c r="AB77" s="332"/>
      <c r="AC77" s="332"/>
      <c r="AD77" s="332"/>
      <c r="AE77" s="332"/>
      <c r="AF77" s="332"/>
      <c r="AG77" s="332"/>
      <c r="AH77" s="332"/>
      <c r="AI77" s="332"/>
      <c r="AJ77" s="354"/>
      <c r="AK77" s="354"/>
      <c r="AL77" s="354"/>
      <c r="AM77" s="354"/>
      <c r="AN77" s="354"/>
      <c r="AO77" s="354"/>
      <c r="AP77" s="354"/>
      <c r="AQ77" s="354"/>
    </row>
    <row r="78" spans="2:48" s="149" customFormat="1">
      <c r="AJ78" s="147"/>
      <c r="AK78" s="147"/>
      <c r="AL78" s="147"/>
      <c r="AM78" s="147"/>
      <c r="AN78" s="147"/>
      <c r="AO78" s="147"/>
      <c r="AP78" s="147"/>
      <c r="AQ78" s="147"/>
    </row>
    <row r="79" spans="2:48" s="149" customFormat="1">
      <c r="E79" s="149" t="s">
        <v>584</v>
      </c>
      <c r="G79" s="149" t="s">
        <v>27</v>
      </c>
      <c r="I79" s="81"/>
      <c r="AJ79" s="157">
        <f>-AJ151</f>
        <v>-56.199175871390423</v>
      </c>
      <c r="AK79" s="157">
        <f t="shared" ref="AK79:AQ79" si="22">-AK151</f>
        <v>-60.052006053624517</v>
      </c>
      <c r="AL79" s="157">
        <f t="shared" si="22"/>
        <v>-61.941497181456846</v>
      </c>
      <c r="AM79" s="157">
        <f t="shared" si="22"/>
        <v>-65.759846289247307</v>
      </c>
      <c r="AN79" s="157">
        <f t="shared" si="22"/>
        <v>-68.803257123424515</v>
      </c>
      <c r="AO79" s="157">
        <f t="shared" si="22"/>
        <v>-69.991318604675669</v>
      </c>
      <c r="AP79" s="157">
        <f t="shared" si="22"/>
        <v>-74.253093339631974</v>
      </c>
      <c r="AQ79" s="157">
        <f t="shared" si="22"/>
        <v>-78.024175326759675</v>
      </c>
    </row>
    <row r="80" spans="2:48" s="149" customFormat="1">
      <c r="E80" s="149" t="s">
        <v>443</v>
      </c>
      <c r="G80" s="149" t="s">
        <v>27</v>
      </c>
      <c r="I80" s="143"/>
      <c r="AJ80" s="168">
        <f t="shared" ref="AJ80:AQ80" ca="1" si="23">AJ75 + AJ79</f>
        <v>153.35901153246726</v>
      </c>
      <c r="AK80" s="168">
        <f t="shared" ca="1" si="23"/>
        <v>156.53544519082007</v>
      </c>
      <c r="AL80" s="168">
        <f t="shared" ca="1" si="23"/>
        <v>170.95432754678794</v>
      </c>
      <c r="AM80" s="168">
        <f t="shared" ca="1" si="23"/>
        <v>187.00037458516351</v>
      </c>
      <c r="AN80" s="168">
        <f t="shared" ca="1" si="23"/>
        <v>205.4892573463928</v>
      </c>
      <c r="AO80" s="168">
        <f t="shared" ca="1" si="23"/>
        <v>226.13644275514775</v>
      </c>
      <c r="AP80" s="168">
        <f t="shared" ca="1" si="23"/>
        <v>245.60557471237007</v>
      </c>
      <c r="AQ80" s="168">
        <f t="shared" ca="1" si="23"/>
        <v>267.81160425495278</v>
      </c>
    </row>
    <row r="81" spans="3:43" s="149" customFormat="1">
      <c r="AJ81" s="147"/>
      <c r="AK81" s="147"/>
      <c r="AL81" s="147"/>
      <c r="AM81" s="147"/>
      <c r="AN81" s="147"/>
      <c r="AO81" s="147"/>
      <c r="AP81" s="147"/>
      <c r="AQ81" s="147"/>
    </row>
    <row r="82" spans="3:43" s="149" customFormat="1">
      <c r="C82" s="332" t="s">
        <v>565</v>
      </c>
      <c r="D82" s="332"/>
      <c r="E82" s="332"/>
      <c r="F82" s="332"/>
      <c r="G82" s="332"/>
      <c r="H82" s="332"/>
      <c r="I82" s="332"/>
      <c r="J82" s="332"/>
      <c r="K82" s="332"/>
      <c r="L82" s="332"/>
      <c r="M82" s="332"/>
      <c r="N82" s="332"/>
      <c r="O82" s="332"/>
      <c r="P82" s="332"/>
      <c r="Q82" s="332"/>
      <c r="R82" s="332"/>
      <c r="S82" s="332"/>
      <c r="T82" s="332"/>
      <c r="U82" s="332"/>
      <c r="V82" s="332"/>
      <c r="W82" s="332"/>
      <c r="X82" s="332"/>
      <c r="Y82" s="332"/>
      <c r="Z82" s="332"/>
      <c r="AA82" s="332"/>
      <c r="AB82" s="332"/>
      <c r="AC82" s="332"/>
      <c r="AD82" s="332"/>
      <c r="AE82" s="332"/>
      <c r="AF82" s="332"/>
      <c r="AG82" s="332"/>
      <c r="AH82" s="332"/>
      <c r="AI82" s="332"/>
      <c r="AJ82" s="354"/>
      <c r="AK82" s="354"/>
      <c r="AL82" s="354"/>
      <c r="AM82" s="354"/>
      <c r="AN82" s="354"/>
      <c r="AO82" s="354"/>
      <c r="AP82" s="354"/>
      <c r="AQ82" s="354"/>
    </row>
    <row r="83" spans="3:43" s="149" customFormat="1">
      <c r="AJ83" s="147"/>
      <c r="AK83" s="147"/>
      <c r="AL83" s="147"/>
      <c r="AM83" s="147"/>
      <c r="AN83" s="147"/>
      <c r="AO83" s="147"/>
      <c r="AP83" s="147"/>
      <c r="AQ83" s="147"/>
    </row>
    <row r="84" spans="3:43" s="149" customFormat="1">
      <c r="E84" s="35" t="s">
        <v>355</v>
      </c>
      <c r="G84" s="149" t="s">
        <v>27</v>
      </c>
      <c r="AJ84" s="147">
        <f>'Finance&amp;Tax'!AJ165</f>
        <v>-52.874982816179497</v>
      </c>
      <c r="AK84" s="147">
        <f>'Finance&amp;Tax'!AK165</f>
        <v>-56.981248363900704</v>
      </c>
      <c r="AL84" s="147">
        <f>'Finance&amp;Tax'!AL165</f>
        <v>-61.448333197978826</v>
      </c>
      <c r="AM84" s="147">
        <f>'Finance&amp;Tax'!AM165</f>
        <v>-65.409928250982404</v>
      </c>
      <c r="AN84" s="147">
        <f>'Finance&amp;Tax'!AN165</f>
        <v>-68.709690162181062</v>
      </c>
      <c r="AO84" s="147">
        <f>'Finance&amp;Tax'!AO165</f>
        <v>-71.294790159277653</v>
      </c>
      <c r="AP84" s="147">
        <f>'Finance&amp;Tax'!AP165</f>
        <v>-73.273915270778446</v>
      </c>
      <c r="AQ84" s="147">
        <f>'Finance&amp;Tax'!AQ165</f>
        <v>-74.563102167299434</v>
      </c>
    </row>
    <row r="85" spans="3:43" s="149" customFormat="1">
      <c r="E85" s="35" t="s">
        <v>354</v>
      </c>
      <c r="G85" s="149" t="s">
        <v>27</v>
      </c>
      <c r="AJ85" s="108">
        <f>'Finance&amp;Tax'!AJ166</f>
        <v>-8.2398990475106899</v>
      </c>
      <c r="AK85" s="108">
        <f>'Finance&amp;Tax'!AK166</f>
        <v>-8.8798615678963131</v>
      </c>
      <c r="AL85" s="108">
        <f>'Finance&amp;Tax'!AL166</f>
        <v>-9.5762071045765431</v>
      </c>
      <c r="AM85" s="108">
        <f>'Finance&amp;Tax'!AM166</f>
        <v>-10.19379257880124</v>
      </c>
      <c r="AN85" s="108">
        <f>'Finance&amp;Tax'!AN166</f>
        <v>-10.708090687633302</v>
      </c>
      <c r="AO85" s="108">
        <f>'Finance&amp;Tax'!AO166</f>
        <v>-11.110701789166335</v>
      </c>
      <c r="AP85" s="108">
        <f>'Finance&amp;Tax'!AP166</f>
        <v>-11.419037940265053</v>
      </c>
      <c r="AQ85" s="108">
        <f>'Finance&amp;Tax'!AQ166</f>
        <v>-11.619842413731464</v>
      </c>
    </row>
    <row r="86" spans="3:43" s="149" customFormat="1">
      <c r="E86" s="149" t="s">
        <v>564</v>
      </c>
      <c r="G86" s="149" t="s">
        <v>27</v>
      </c>
      <c r="I86" s="143"/>
      <c r="AJ86" s="147">
        <f ca="1">AJ80 + SUM(AJ84:AJ85)</f>
        <v>92.244129668777077</v>
      </c>
      <c r="AK86" s="147">
        <f t="shared" ref="AK86:AQ86" ca="1" si="24">AK80 + SUM(AK84:AK85)</f>
        <v>90.674335259023053</v>
      </c>
      <c r="AL86" s="147">
        <f t="shared" ca="1" si="24"/>
        <v>99.929787244232571</v>
      </c>
      <c r="AM86" s="147">
        <f t="shared" ca="1" si="24"/>
        <v>111.39665375537987</v>
      </c>
      <c r="AN86" s="147">
        <f t="shared" ca="1" si="24"/>
        <v>126.07147649657844</v>
      </c>
      <c r="AO86" s="147">
        <f t="shared" ca="1" si="24"/>
        <v>143.73095080670376</v>
      </c>
      <c r="AP86" s="147">
        <f t="shared" ca="1" si="24"/>
        <v>160.91262150132656</v>
      </c>
      <c r="AQ86" s="147">
        <f t="shared" ca="1" si="24"/>
        <v>181.6286596739219</v>
      </c>
    </row>
    <row r="87" spans="3:43" s="149" customFormat="1">
      <c r="AJ87" s="147"/>
      <c r="AK87" s="147"/>
      <c r="AL87" s="147"/>
      <c r="AM87" s="147"/>
      <c r="AN87" s="147"/>
      <c r="AO87" s="147"/>
      <c r="AP87" s="147"/>
      <c r="AQ87" s="147"/>
    </row>
    <row r="88" spans="3:43" s="149" customFormat="1">
      <c r="C88" s="332" t="s">
        <v>566</v>
      </c>
      <c r="D88" s="332"/>
      <c r="E88" s="332"/>
      <c r="F88" s="332"/>
      <c r="G88" s="332"/>
      <c r="H88" s="332"/>
      <c r="I88" s="332"/>
      <c r="J88" s="332"/>
      <c r="K88" s="332"/>
      <c r="L88" s="332"/>
      <c r="M88" s="332"/>
      <c r="N88" s="332"/>
      <c r="O88" s="332"/>
      <c r="P88" s="332"/>
      <c r="Q88" s="332"/>
      <c r="R88" s="332"/>
      <c r="S88" s="332"/>
      <c r="T88" s="332"/>
      <c r="U88" s="332"/>
      <c r="V88" s="332"/>
      <c r="W88" s="332"/>
      <c r="X88" s="332"/>
      <c r="Y88" s="332"/>
      <c r="Z88" s="332"/>
      <c r="AA88" s="332"/>
      <c r="AB88" s="332"/>
      <c r="AC88" s="332"/>
      <c r="AD88" s="332"/>
      <c r="AE88" s="332"/>
      <c r="AF88" s="332"/>
      <c r="AG88" s="332"/>
      <c r="AH88" s="332"/>
      <c r="AI88" s="332"/>
      <c r="AJ88" s="354"/>
      <c r="AK88" s="354"/>
      <c r="AL88" s="354"/>
      <c r="AM88" s="354"/>
      <c r="AN88" s="354"/>
      <c r="AO88" s="354"/>
      <c r="AP88" s="354"/>
      <c r="AQ88" s="354"/>
    </row>
    <row r="89" spans="3:43" s="149" customFormat="1">
      <c r="AJ89" s="147"/>
      <c r="AK89" s="147"/>
      <c r="AL89" s="147"/>
      <c r="AM89" s="147"/>
      <c r="AN89" s="147"/>
      <c r="AO89" s="147"/>
      <c r="AP89" s="147"/>
      <c r="AQ89" s="147"/>
    </row>
    <row r="90" spans="3:43" s="149" customFormat="1">
      <c r="E90" s="149" t="s">
        <v>178</v>
      </c>
      <c r="G90" s="149" t="s">
        <v>27</v>
      </c>
      <c r="AJ90" s="281">
        <f>'Finance&amp;Tax'!AJ35</f>
        <v>-18.558096890162258</v>
      </c>
      <c r="AK90" s="281">
        <f>'Finance&amp;Tax'!AK35</f>
        <v>-19.249276770432385</v>
      </c>
      <c r="AL90" s="281">
        <f>'Finance&amp;Tax'!AL35</f>
        <v>-20.029195906696717</v>
      </c>
      <c r="AM90" s="281">
        <f>'Finance&amp;Tax'!AM35</f>
        <v>-21.528708438885619</v>
      </c>
      <c r="AN90" s="281">
        <f>'Finance&amp;Tax'!AN35</f>
        <v>-23.776371029566519</v>
      </c>
      <c r="AO90" s="281">
        <f>'Finance&amp;Tax'!AO35</f>
        <v>-26.380958995288921</v>
      </c>
      <c r="AP90" s="281">
        <f>'Finance&amp;Tax'!AP35</f>
        <v>-30.017234172158147</v>
      </c>
      <c r="AQ90" s="281">
        <f>'Finance&amp;Tax'!AQ35</f>
        <v>-33.703823342743355</v>
      </c>
    </row>
    <row r="91" spans="3:43" s="149" customFormat="1">
      <c r="E91" s="149" t="s">
        <v>567</v>
      </c>
      <c r="G91" s="149" t="s">
        <v>27</v>
      </c>
      <c r="I91" s="143"/>
      <c r="AJ91" s="147">
        <f t="shared" ref="AJ91:AQ91" ca="1" si="25">AJ86 + AJ90</f>
        <v>73.686032778614816</v>
      </c>
      <c r="AK91" s="147">
        <f t="shared" ca="1" si="25"/>
        <v>71.425058488590665</v>
      </c>
      <c r="AL91" s="147">
        <f t="shared" ca="1" si="25"/>
        <v>79.900591337535857</v>
      </c>
      <c r="AM91" s="147">
        <f t="shared" ca="1" si="25"/>
        <v>89.867945316494257</v>
      </c>
      <c r="AN91" s="147">
        <f t="shared" ca="1" si="25"/>
        <v>102.29510546701192</v>
      </c>
      <c r="AO91" s="147">
        <f t="shared" ca="1" si="25"/>
        <v>117.34999181141484</v>
      </c>
      <c r="AP91" s="147">
        <f t="shared" ca="1" si="25"/>
        <v>130.89538732916841</v>
      </c>
      <c r="AQ91" s="147">
        <f t="shared" ca="1" si="25"/>
        <v>147.92483633117854</v>
      </c>
    </row>
    <row r="92" spans="3:43" s="149" customFormat="1">
      <c r="G92" s="195"/>
      <c r="AJ92" s="147"/>
      <c r="AK92" s="147"/>
      <c r="AL92" s="147"/>
      <c r="AM92" s="147"/>
      <c r="AN92" s="147"/>
      <c r="AO92" s="147"/>
      <c r="AP92" s="147"/>
      <c r="AQ92" s="147"/>
    </row>
    <row r="93" spans="3:43" s="149" customFormat="1">
      <c r="C93" s="332" t="s">
        <v>444</v>
      </c>
      <c r="D93" s="332"/>
      <c r="E93" s="332"/>
      <c r="F93" s="332"/>
      <c r="G93" s="332"/>
      <c r="H93" s="332"/>
      <c r="I93" s="332"/>
      <c r="J93" s="332"/>
      <c r="K93" s="332"/>
      <c r="L93" s="332"/>
      <c r="M93" s="332"/>
      <c r="N93" s="332"/>
      <c r="O93" s="332"/>
      <c r="P93" s="332"/>
      <c r="Q93" s="332"/>
      <c r="R93" s="332"/>
      <c r="S93" s="332"/>
      <c r="T93" s="332"/>
      <c r="U93" s="332"/>
      <c r="V93" s="332"/>
      <c r="W93" s="332"/>
      <c r="X93" s="332"/>
      <c r="Y93" s="332"/>
      <c r="Z93" s="332"/>
      <c r="AA93" s="332"/>
      <c r="AB93" s="332"/>
      <c r="AC93" s="332"/>
      <c r="AD93" s="332"/>
      <c r="AE93" s="332"/>
      <c r="AF93" s="332"/>
      <c r="AG93" s="332"/>
      <c r="AH93" s="332"/>
      <c r="AI93" s="332"/>
      <c r="AJ93" s="354"/>
      <c r="AK93" s="354"/>
      <c r="AL93" s="354"/>
      <c r="AM93" s="354"/>
      <c r="AN93" s="354"/>
      <c r="AO93" s="354"/>
      <c r="AP93" s="354"/>
      <c r="AQ93" s="354"/>
    </row>
    <row r="94" spans="3:43" s="149" customFormat="1">
      <c r="AJ94" s="147"/>
      <c r="AK94" s="147"/>
      <c r="AL94" s="147"/>
      <c r="AM94" s="147"/>
      <c r="AN94" s="147"/>
      <c r="AO94" s="147"/>
      <c r="AP94" s="147"/>
      <c r="AQ94" s="147"/>
    </row>
    <row r="95" spans="3:43" s="149" customFormat="1">
      <c r="E95" s="149" t="s">
        <v>474</v>
      </c>
      <c r="G95" s="149" t="s">
        <v>27</v>
      </c>
      <c r="AJ95" s="108">
        <f xml:space="preserve"> -'Finance&amp;Tax'!AJ155</f>
        <v>-29.2438153991741</v>
      </c>
      <c r="AK95" s="108">
        <f xml:space="preserve"> -'Finance&amp;Tax'!AK155</f>
        <v>-31.006487313887746</v>
      </c>
      <c r="AL95" s="108">
        <f xml:space="preserve"> -'Finance&amp;Tax'!AL155</f>
        <v>-32.694182242346834</v>
      </c>
      <c r="AM95" s="108">
        <f xml:space="preserve"> -'Finance&amp;Tax'!AM155</f>
        <v>-34.268167923256776</v>
      </c>
      <c r="AN95" s="108">
        <f xml:space="preserve"> -'Finance&amp;Tax'!AN155</f>
        <v>-35.92809643273916</v>
      </c>
      <c r="AO95" s="108">
        <f xml:space="preserve"> -'Finance&amp;Tax'!AO155</f>
        <v>-37.517783346008159</v>
      </c>
      <c r="AP95" s="108">
        <f xml:space="preserve"> -'Finance&amp;Tax'!AP155</f>
        <v>-39.17783753141525</v>
      </c>
      <c r="AQ95" s="108">
        <f xml:space="preserve"> -'Finance&amp;Tax'!AQ155</f>
        <v>-40.848006472333836</v>
      </c>
    </row>
    <row r="96" spans="3:43" s="149" customFormat="1">
      <c r="E96" s="149" t="s">
        <v>445</v>
      </c>
      <c r="G96" s="149" t="s">
        <v>27</v>
      </c>
      <c r="I96" s="143"/>
      <c r="AJ96" s="147">
        <f t="shared" ref="AJ96:AQ96" ca="1" si="26">AJ91 + AJ95</f>
        <v>44.44221737944072</v>
      </c>
      <c r="AK96" s="147">
        <f t="shared" ca="1" si="26"/>
        <v>40.418571174702919</v>
      </c>
      <c r="AL96" s="147">
        <f t="shared" ca="1" si="26"/>
        <v>47.206409095189024</v>
      </c>
      <c r="AM96" s="147">
        <f t="shared" ca="1" si="26"/>
        <v>55.599777393237481</v>
      </c>
      <c r="AN96" s="147">
        <f t="shared" ca="1" si="26"/>
        <v>66.367009034272769</v>
      </c>
      <c r="AO96" s="147">
        <f t="shared" ca="1" si="26"/>
        <v>79.83220846540668</v>
      </c>
      <c r="AP96" s="147">
        <f t="shared" ca="1" si="26"/>
        <v>91.717549797753165</v>
      </c>
      <c r="AQ96" s="147">
        <f t="shared" ca="1" si="26"/>
        <v>107.0768298588447</v>
      </c>
    </row>
    <row r="97" spans="2:48" s="149" customFormat="1">
      <c r="AJ97" s="147"/>
      <c r="AK97" s="147"/>
      <c r="AL97" s="147"/>
      <c r="AM97" s="147"/>
      <c r="AN97" s="147"/>
      <c r="AO97" s="147"/>
      <c r="AP97" s="147"/>
      <c r="AQ97" s="147"/>
    </row>
    <row r="98" spans="2:48">
      <c r="B98" s="334" t="s">
        <v>541</v>
      </c>
      <c r="C98" s="334"/>
      <c r="D98" s="334"/>
      <c r="E98" s="334"/>
      <c r="F98" s="334"/>
      <c r="G98" s="334"/>
      <c r="H98" s="334"/>
      <c r="I98" s="334"/>
      <c r="J98" s="334"/>
      <c r="K98" s="334"/>
      <c r="L98" s="334"/>
      <c r="M98" s="334"/>
      <c r="N98" s="334"/>
      <c r="O98" s="334"/>
      <c r="P98" s="334"/>
      <c r="Q98" s="334"/>
      <c r="R98" s="334"/>
      <c r="S98" s="334"/>
      <c r="T98" s="334"/>
      <c r="U98" s="334"/>
      <c r="V98" s="334"/>
      <c r="W98" s="334"/>
      <c r="X98" s="334"/>
      <c r="Y98" s="334"/>
      <c r="Z98" s="334"/>
      <c r="AA98" s="334"/>
      <c r="AB98" s="334"/>
      <c r="AC98" s="334"/>
      <c r="AD98" s="334"/>
      <c r="AE98" s="334"/>
      <c r="AF98" s="334"/>
      <c r="AG98" s="334"/>
      <c r="AH98" s="334"/>
      <c r="AI98" s="334"/>
      <c r="AJ98" s="376"/>
      <c r="AK98" s="376"/>
      <c r="AL98" s="376"/>
      <c r="AM98" s="376"/>
      <c r="AN98" s="376"/>
      <c r="AO98" s="376"/>
      <c r="AP98" s="376"/>
      <c r="AQ98" s="376"/>
      <c r="AR98" s="113"/>
      <c r="AS98" s="149"/>
      <c r="AT98" s="149"/>
      <c r="AU98" s="113"/>
      <c r="AV98" s="113"/>
    </row>
    <row r="99" spans="2:48">
      <c r="B99" s="464" t="s">
        <v>622</v>
      </c>
      <c r="C99" s="465"/>
      <c r="D99" s="465"/>
      <c r="E99" s="465"/>
      <c r="F99" s="465"/>
      <c r="G99" s="465"/>
      <c r="H99" s="465"/>
      <c r="I99" s="465"/>
      <c r="J99" s="465"/>
      <c r="K99" s="465"/>
      <c r="L99" s="465"/>
      <c r="M99" s="465"/>
      <c r="N99" s="465"/>
      <c r="O99" s="465"/>
      <c r="P99" s="465"/>
      <c r="Q99" s="465"/>
      <c r="R99" s="465"/>
      <c r="S99" s="465"/>
      <c r="T99" s="465"/>
      <c r="U99" s="465"/>
      <c r="V99" s="465"/>
      <c r="W99" s="465"/>
      <c r="X99" s="465"/>
      <c r="Y99" s="465"/>
      <c r="Z99" s="465"/>
      <c r="AA99" s="465"/>
      <c r="AB99" s="465"/>
      <c r="AC99" s="465"/>
      <c r="AD99" s="465"/>
      <c r="AE99" s="465"/>
      <c r="AF99" s="465"/>
      <c r="AG99" s="465"/>
      <c r="AH99" s="465"/>
      <c r="AI99" s="465"/>
      <c r="AJ99" s="465"/>
      <c r="AK99" s="465"/>
      <c r="AL99" s="465"/>
      <c r="AM99" s="465"/>
      <c r="AN99" s="465"/>
      <c r="AO99" s="465"/>
      <c r="AP99" s="465"/>
      <c r="AQ99" s="465"/>
      <c r="AR99" s="113"/>
      <c r="AS99" s="149"/>
      <c r="AT99" s="149"/>
      <c r="AU99" s="113"/>
      <c r="AV99" s="113"/>
    </row>
    <row r="100" spans="2:48">
      <c r="B100" s="537"/>
      <c r="C100" s="538"/>
      <c r="D100" s="538"/>
      <c r="E100" s="538"/>
      <c r="F100" s="538"/>
      <c r="G100" s="538"/>
      <c r="H100" s="538"/>
      <c r="I100" s="538"/>
      <c r="J100" s="538"/>
      <c r="K100" s="538"/>
      <c r="L100" s="538"/>
      <c r="M100" s="538"/>
      <c r="N100" s="538"/>
      <c r="O100" s="538"/>
      <c r="P100" s="538"/>
      <c r="Q100" s="538"/>
      <c r="R100" s="538"/>
      <c r="S100" s="538"/>
      <c r="T100" s="538"/>
      <c r="U100" s="538"/>
      <c r="V100" s="538"/>
      <c r="W100" s="538"/>
      <c r="X100" s="538"/>
      <c r="Y100" s="538"/>
      <c r="Z100" s="538"/>
      <c r="AA100" s="538"/>
      <c r="AB100" s="538"/>
      <c r="AC100" s="538"/>
      <c r="AD100" s="538"/>
      <c r="AE100" s="538"/>
      <c r="AF100" s="538"/>
      <c r="AG100" s="538"/>
      <c r="AH100" s="538"/>
      <c r="AI100" s="538"/>
      <c r="AJ100" s="538"/>
      <c r="AK100" s="538"/>
      <c r="AL100" s="538"/>
      <c r="AM100" s="538"/>
      <c r="AN100" s="538"/>
      <c r="AO100" s="538"/>
      <c r="AP100" s="538"/>
      <c r="AQ100" s="538"/>
      <c r="AR100" s="113"/>
      <c r="AS100" s="152"/>
      <c r="AT100" s="152"/>
      <c r="AU100" s="113"/>
      <c r="AV100" s="113"/>
    </row>
    <row r="101" spans="2:48" s="149" customFormat="1">
      <c r="C101" s="332" t="s">
        <v>472</v>
      </c>
      <c r="D101" s="332"/>
      <c r="E101" s="332"/>
      <c r="F101" s="332"/>
      <c r="G101" s="332"/>
      <c r="H101" s="332"/>
      <c r="I101" s="332"/>
      <c r="J101" s="332"/>
      <c r="K101" s="332"/>
      <c r="L101" s="332"/>
      <c r="M101" s="332"/>
      <c r="N101" s="332"/>
      <c r="O101" s="332"/>
      <c r="P101" s="332"/>
      <c r="Q101" s="332"/>
      <c r="R101" s="332"/>
      <c r="S101" s="332"/>
      <c r="T101" s="332"/>
      <c r="U101" s="332"/>
      <c r="V101" s="332"/>
      <c r="W101" s="332"/>
      <c r="X101" s="332"/>
      <c r="Y101" s="332"/>
      <c r="Z101" s="332"/>
      <c r="AA101" s="332"/>
      <c r="AB101" s="332"/>
      <c r="AC101" s="332"/>
      <c r="AD101" s="332"/>
      <c r="AE101" s="332"/>
      <c r="AF101" s="332"/>
      <c r="AG101" s="332"/>
      <c r="AH101" s="332"/>
      <c r="AI101" s="332"/>
      <c r="AJ101" s="354"/>
      <c r="AK101" s="354"/>
      <c r="AL101" s="354"/>
      <c r="AM101" s="354"/>
      <c r="AN101" s="354"/>
      <c r="AO101" s="354"/>
      <c r="AP101" s="354"/>
      <c r="AQ101" s="354"/>
    </row>
    <row r="102" spans="2:48" s="149" customFormat="1">
      <c r="AJ102" s="147"/>
      <c r="AK102" s="147"/>
      <c r="AL102" s="147"/>
      <c r="AM102" s="147"/>
      <c r="AN102" s="147"/>
      <c r="AO102" s="147"/>
      <c r="AP102" s="147"/>
      <c r="AQ102" s="147"/>
    </row>
    <row r="103" spans="2:48" s="149" customFormat="1">
      <c r="E103" s="149" t="s">
        <v>439</v>
      </c>
      <c r="G103" s="149" t="s">
        <v>27</v>
      </c>
      <c r="AJ103" s="147">
        <f ca="1">AJ70</f>
        <v>361.660044380388</v>
      </c>
      <c r="AK103" s="147">
        <f t="shared" ref="AK103:AQ103" ca="1" si="27">AK70</f>
        <v>381.79598672979813</v>
      </c>
      <c r="AL103" s="147">
        <f t="shared" ca="1" si="27"/>
        <v>402.86475889219861</v>
      </c>
      <c r="AM103" s="147">
        <f t="shared" ca="1" si="27"/>
        <v>425.29876792924387</v>
      </c>
      <c r="AN103" s="147">
        <f t="shared" ca="1" si="27"/>
        <v>449.15082274864534</v>
      </c>
      <c r="AO103" s="147">
        <f t="shared" ca="1" si="27"/>
        <v>474.72432612245461</v>
      </c>
      <c r="AP103" s="147">
        <f t="shared" ca="1" si="27"/>
        <v>502.33752352703715</v>
      </c>
      <c r="AQ103" s="147">
        <f t="shared" ca="1" si="27"/>
        <v>531.74692186721836</v>
      </c>
    </row>
    <row r="104" spans="2:48" s="149" customFormat="1">
      <c r="E104" s="149" t="s">
        <v>473</v>
      </c>
      <c r="G104" s="149" t="s">
        <v>27</v>
      </c>
      <c r="AJ104" s="108">
        <f t="shared" ref="AJ104:AQ104" si="28">SUM(AJ71:AJ74)</f>
        <v>-152.10185697653031</v>
      </c>
      <c r="AK104" s="108">
        <f t="shared" si="28"/>
        <v>-165.20853548535354</v>
      </c>
      <c r="AL104" s="108">
        <f>SUM(AL71:AL74)</f>
        <v>-169.9689341639538</v>
      </c>
      <c r="AM104" s="108">
        <f t="shared" si="28"/>
        <v>-172.53854705483306</v>
      </c>
      <c r="AN104" s="108">
        <f t="shared" si="28"/>
        <v>-174.85830827882796</v>
      </c>
      <c r="AO104" s="108">
        <f t="shared" si="28"/>
        <v>-178.5965647626312</v>
      </c>
      <c r="AP104" s="108">
        <f t="shared" si="28"/>
        <v>-182.47885547503515</v>
      </c>
      <c r="AQ104" s="108">
        <f t="shared" si="28"/>
        <v>-185.91114228550586</v>
      </c>
    </row>
    <row r="105" spans="2:48" s="149" customFormat="1">
      <c r="E105" s="149" t="s">
        <v>446</v>
      </c>
      <c r="G105" s="149" t="s">
        <v>27</v>
      </c>
      <c r="AJ105" s="147">
        <f ca="1">SUM(AJ103:AJ104)</f>
        <v>209.55818740385769</v>
      </c>
      <c r="AK105" s="147">
        <f t="shared" ref="AK105:AQ105" ca="1" si="29">SUM(AK103:AK104)</f>
        <v>216.58745124444459</v>
      </c>
      <c r="AL105" s="147">
        <f t="shared" ca="1" si="29"/>
        <v>232.8958247282448</v>
      </c>
      <c r="AM105" s="147">
        <f t="shared" ca="1" si="29"/>
        <v>252.76022087441081</v>
      </c>
      <c r="AN105" s="147">
        <f t="shared" ca="1" si="29"/>
        <v>274.29251446981738</v>
      </c>
      <c r="AO105" s="147">
        <f t="shared" ca="1" si="29"/>
        <v>296.12776135982341</v>
      </c>
      <c r="AP105" s="147">
        <f t="shared" ca="1" si="29"/>
        <v>319.85866805200203</v>
      </c>
      <c r="AQ105" s="147">
        <f t="shared" ca="1" si="29"/>
        <v>345.83577958171247</v>
      </c>
    </row>
    <row r="106" spans="2:48" s="149" customFormat="1">
      <c r="E106" s="35" t="s">
        <v>355</v>
      </c>
      <c r="G106" s="149" t="s">
        <v>27</v>
      </c>
      <c r="AJ106" s="147">
        <f>AJ84</f>
        <v>-52.874982816179497</v>
      </c>
      <c r="AK106" s="147">
        <f t="shared" ref="AK106:AQ106" si="30">AK84</f>
        <v>-56.981248363900704</v>
      </c>
      <c r="AL106" s="147">
        <f t="shared" si="30"/>
        <v>-61.448333197978826</v>
      </c>
      <c r="AM106" s="147">
        <f t="shared" si="30"/>
        <v>-65.409928250982404</v>
      </c>
      <c r="AN106" s="147">
        <f t="shared" si="30"/>
        <v>-68.709690162181062</v>
      </c>
      <c r="AO106" s="147">
        <f t="shared" si="30"/>
        <v>-71.294790159277653</v>
      </c>
      <c r="AP106" s="147">
        <f t="shared" si="30"/>
        <v>-73.273915270778446</v>
      </c>
      <c r="AQ106" s="147">
        <f t="shared" si="30"/>
        <v>-74.563102167299434</v>
      </c>
    </row>
    <row r="107" spans="2:48" s="149" customFormat="1">
      <c r="E107" s="149" t="s">
        <v>178</v>
      </c>
      <c r="G107" s="149" t="s">
        <v>27</v>
      </c>
      <c r="AJ107" s="108">
        <f>AJ90</f>
        <v>-18.558096890162258</v>
      </c>
      <c r="AK107" s="108">
        <f t="shared" ref="AK107:AQ107" si="31">AK90</f>
        <v>-19.249276770432385</v>
      </c>
      <c r="AL107" s="108">
        <f t="shared" si="31"/>
        <v>-20.029195906696717</v>
      </c>
      <c r="AM107" s="108">
        <f t="shared" si="31"/>
        <v>-21.528708438885619</v>
      </c>
      <c r="AN107" s="108">
        <f t="shared" si="31"/>
        <v>-23.776371029566519</v>
      </c>
      <c r="AO107" s="108">
        <f t="shared" si="31"/>
        <v>-26.380958995288921</v>
      </c>
      <c r="AP107" s="108">
        <f t="shared" si="31"/>
        <v>-30.017234172158147</v>
      </c>
      <c r="AQ107" s="108">
        <f t="shared" si="31"/>
        <v>-33.703823342743355</v>
      </c>
    </row>
    <row r="108" spans="2:48" s="149" customFormat="1">
      <c r="E108" s="149" t="s">
        <v>447</v>
      </c>
      <c r="G108" s="149" t="s">
        <v>27</v>
      </c>
      <c r="I108" s="143"/>
      <c r="AJ108" s="147">
        <f t="shared" ref="AJ108:AQ108" ca="1" si="32">SUM(AJ105:AJ107)</f>
        <v>138.12510769751592</v>
      </c>
      <c r="AK108" s="147">
        <f t="shared" ca="1" si="32"/>
        <v>140.35692611011152</v>
      </c>
      <c r="AL108" s="147">
        <f t="shared" ca="1" si="32"/>
        <v>151.41829562356926</v>
      </c>
      <c r="AM108" s="147">
        <f t="shared" ca="1" si="32"/>
        <v>165.82158418454279</v>
      </c>
      <c r="AN108" s="147">
        <f t="shared" ca="1" si="32"/>
        <v>181.8064532780698</v>
      </c>
      <c r="AO108" s="147">
        <f t="shared" ca="1" si="32"/>
        <v>198.45201220525684</v>
      </c>
      <c r="AP108" s="147">
        <f t="shared" ca="1" si="32"/>
        <v>216.56751860906544</v>
      </c>
      <c r="AQ108" s="147">
        <f t="shared" ca="1" si="32"/>
        <v>237.56885407166965</v>
      </c>
      <c r="AR108" s="147"/>
      <c r="AU108" s="147"/>
      <c r="AV108" s="147"/>
    </row>
    <row r="109" spans="2:48" s="157" customFormat="1">
      <c r="AS109" s="149"/>
      <c r="AT109" s="149"/>
    </row>
    <row r="110" spans="2:48" s="149" customFormat="1">
      <c r="C110" s="332" t="s">
        <v>448</v>
      </c>
      <c r="D110" s="332"/>
      <c r="E110" s="332"/>
      <c r="F110" s="332"/>
      <c r="G110" s="332"/>
      <c r="H110" s="332"/>
      <c r="I110" s="332"/>
      <c r="J110" s="332"/>
      <c r="K110" s="332"/>
      <c r="L110" s="332"/>
      <c r="M110" s="332"/>
      <c r="N110" s="332"/>
      <c r="O110" s="332"/>
      <c r="P110" s="332"/>
      <c r="Q110" s="332"/>
      <c r="R110" s="332"/>
      <c r="S110" s="332"/>
      <c r="T110" s="332"/>
      <c r="U110" s="332"/>
      <c r="V110" s="332"/>
      <c r="W110" s="332"/>
      <c r="X110" s="332"/>
      <c r="Y110" s="332"/>
      <c r="Z110" s="332"/>
      <c r="AA110" s="332"/>
      <c r="AB110" s="332"/>
      <c r="AC110" s="332"/>
      <c r="AD110" s="332"/>
      <c r="AE110" s="332"/>
      <c r="AF110" s="332"/>
      <c r="AG110" s="332"/>
      <c r="AH110" s="332"/>
      <c r="AI110" s="332"/>
      <c r="AJ110" s="399"/>
      <c r="AK110" s="399"/>
      <c r="AL110" s="399"/>
      <c r="AM110" s="399"/>
      <c r="AN110" s="399"/>
      <c r="AO110" s="399"/>
      <c r="AP110" s="399"/>
      <c r="AQ110" s="399"/>
    </row>
    <row r="111" spans="2:48" s="149" customFormat="1">
      <c r="AJ111" s="157"/>
      <c r="AK111" s="157"/>
      <c r="AL111" s="157"/>
      <c r="AM111" s="157"/>
      <c r="AN111" s="157"/>
      <c r="AO111" s="157"/>
      <c r="AP111" s="157"/>
      <c r="AQ111" s="157"/>
    </row>
    <row r="112" spans="2:48" s="149" customFormat="1">
      <c r="E112" s="149" t="s">
        <v>474</v>
      </c>
      <c r="G112" s="149" t="s">
        <v>27</v>
      </c>
      <c r="AJ112" s="108">
        <f>AJ95</f>
        <v>-29.2438153991741</v>
      </c>
      <c r="AK112" s="108">
        <f t="shared" ref="AK112:AQ112" si="33">AK95</f>
        <v>-31.006487313887746</v>
      </c>
      <c r="AL112" s="108">
        <f t="shared" si="33"/>
        <v>-32.694182242346834</v>
      </c>
      <c r="AM112" s="108">
        <f t="shared" si="33"/>
        <v>-34.268167923256776</v>
      </c>
      <c r="AN112" s="108">
        <f t="shared" si="33"/>
        <v>-35.92809643273916</v>
      </c>
      <c r="AO112" s="108">
        <f t="shared" si="33"/>
        <v>-37.517783346008159</v>
      </c>
      <c r="AP112" s="108">
        <f t="shared" si="33"/>
        <v>-39.17783753141525</v>
      </c>
      <c r="AQ112" s="108">
        <f t="shared" si="33"/>
        <v>-40.848006472333836</v>
      </c>
    </row>
    <row r="113" spans="3:46" s="149" customFormat="1">
      <c r="E113" s="149" t="s">
        <v>449</v>
      </c>
      <c r="G113" s="149" t="s">
        <v>27</v>
      </c>
      <c r="I113" s="143"/>
      <c r="AJ113" s="147">
        <f t="shared" ref="AJ113:AQ113" ca="1" si="34">AJ108 + AJ112</f>
        <v>108.88129229834182</v>
      </c>
      <c r="AK113" s="147">
        <f t="shared" ca="1" si="34"/>
        <v>109.35043879622377</v>
      </c>
      <c r="AL113" s="147">
        <f t="shared" ca="1" si="34"/>
        <v>118.72411338122242</v>
      </c>
      <c r="AM113" s="147">
        <f t="shared" ca="1" si="34"/>
        <v>131.553416261286</v>
      </c>
      <c r="AN113" s="147">
        <f t="shared" ca="1" si="34"/>
        <v>145.87835684533064</v>
      </c>
      <c r="AO113" s="147">
        <f t="shared" ca="1" si="34"/>
        <v>160.93422885924866</v>
      </c>
      <c r="AP113" s="147">
        <f t="shared" ca="1" si="34"/>
        <v>177.38968107765021</v>
      </c>
      <c r="AQ113" s="147">
        <f t="shared" ca="1" si="34"/>
        <v>196.7208475993358</v>
      </c>
    </row>
    <row r="114" spans="3:46" s="157" customFormat="1">
      <c r="AS114" s="149"/>
      <c r="AT114" s="149"/>
    </row>
    <row r="115" spans="3:46" s="149" customFormat="1">
      <c r="C115" s="332" t="s">
        <v>450</v>
      </c>
      <c r="D115" s="332"/>
      <c r="E115" s="332"/>
      <c r="F115" s="332"/>
      <c r="G115" s="332"/>
      <c r="H115" s="332"/>
      <c r="I115" s="332"/>
      <c r="J115" s="332"/>
      <c r="K115" s="332"/>
      <c r="L115" s="332"/>
      <c r="M115" s="332"/>
      <c r="N115" s="332"/>
      <c r="O115" s="332"/>
      <c r="P115" s="332"/>
      <c r="Q115" s="332"/>
      <c r="R115" s="332"/>
      <c r="S115" s="332"/>
      <c r="T115" s="332"/>
      <c r="U115" s="332"/>
      <c r="V115" s="332"/>
      <c r="W115" s="332"/>
      <c r="X115" s="332"/>
      <c r="Y115" s="332"/>
      <c r="Z115" s="332"/>
      <c r="AA115" s="332"/>
      <c r="AB115" s="332"/>
      <c r="AC115" s="332"/>
      <c r="AD115" s="332"/>
      <c r="AE115" s="332"/>
      <c r="AF115" s="332"/>
      <c r="AG115" s="332"/>
      <c r="AH115" s="332"/>
      <c r="AI115" s="332"/>
      <c r="AJ115" s="399"/>
      <c r="AK115" s="399"/>
      <c r="AL115" s="399"/>
      <c r="AM115" s="399"/>
      <c r="AN115" s="399"/>
      <c r="AO115" s="399"/>
      <c r="AP115" s="399"/>
      <c r="AQ115" s="399"/>
    </row>
    <row r="116" spans="3:46" s="149" customFormat="1">
      <c r="AJ116" s="157"/>
      <c r="AK116" s="157"/>
      <c r="AL116" s="157"/>
      <c r="AM116" s="157"/>
      <c r="AN116" s="157"/>
      <c r="AO116" s="157"/>
      <c r="AP116" s="157"/>
      <c r="AQ116" s="157"/>
    </row>
    <row r="117" spans="3:46" s="149" customFormat="1">
      <c r="D117" s="453"/>
      <c r="E117" s="149" t="s">
        <v>719</v>
      </c>
      <c r="G117" s="149" t="s">
        <v>27</v>
      </c>
      <c r="AJ117" s="147">
        <f>-TIM!AJ72* Input!AJ$57 / Input!$AG$57</f>
        <v>-172.31083095034052</v>
      </c>
      <c r="AK117" s="147">
        <f>-TIM!AK72* Input!AK$57 / Input!$AG$57</f>
        <v>-194.21214478881109</v>
      </c>
      <c r="AL117" s="147">
        <f>-TIM!AL72* Input!AL$57 / Input!$AG$57</f>
        <v>-195.27376890719361</v>
      </c>
      <c r="AM117" s="147">
        <f>-TIM!AM72* Input!AM$57 / Input!$AG$57</f>
        <v>-194.74010683361809</v>
      </c>
      <c r="AN117" s="147">
        <f>-TIM!AN72* Input!AN$57 / Input!$AG$57</f>
        <v>-194.67366398809415</v>
      </c>
      <c r="AO117" s="147">
        <f>-TIM!AO72* Input!AO$57 / Input!$AG$57</f>
        <v>-194.51116017398189</v>
      </c>
      <c r="AP117" s="147">
        <f>-TIM!AP72* Input!AP$57 / Input!$AG$57</f>
        <v>-201.11635659513288</v>
      </c>
      <c r="AQ117" s="147">
        <f>-TIM!AQ72* Input!AQ$57 / Input!$AG$57</f>
        <v>-202.01843886098041</v>
      </c>
    </row>
    <row r="118" spans="3:46" s="149" customFormat="1">
      <c r="E118" s="157" t="s">
        <v>539</v>
      </c>
      <c r="G118" s="149" t="s">
        <v>27</v>
      </c>
      <c r="AJ118" s="147">
        <f>'Finance&amp;Tax'!AJ28</f>
        <v>0</v>
      </c>
      <c r="AK118" s="147">
        <f>'Finance&amp;Tax'!AK28</f>
        <v>0</v>
      </c>
      <c r="AL118" s="147">
        <f>'Finance&amp;Tax'!AL28</f>
        <v>0</v>
      </c>
      <c r="AM118" s="147">
        <f>'Finance&amp;Tax'!AM28</f>
        <v>0</v>
      </c>
      <c r="AN118" s="147">
        <f>'Finance&amp;Tax'!AN28</f>
        <v>0</v>
      </c>
      <c r="AO118" s="147">
        <f>'Finance&amp;Tax'!AO28</f>
        <v>0</v>
      </c>
      <c r="AP118" s="147">
        <f>'Finance&amp;Tax'!AP28</f>
        <v>0</v>
      </c>
      <c r="AQ118" s="147">
        <f>'Finance&amp;Tax'!AQ28</f>
        <v>0</v>
      </c>
    </row>
    <row r="119" spans="3:46" s="149" customFormat="1">
      <c r="E119" s="157" t="s">
        <v>659</v>
      </c>
      <c r="G119" s="149" t="s">
        <v>27</v>
      </c>
      <c r="AJ119" s="108">
        <f>'Finance&amp;Tax'!AJ29</f>
        <v>0</v>
      </c>
      <c r="AK119" s="108">
        <f>'Finance&amp;Tax'!AK29</f>
        <v>0</v>
      </c>
      <c r="AL119" s="108">
        <f>'Finance&amp;Tax'!AL29</f>
        <v>0</v>
      </c>
      <c r="AM119" s="108">
        <f>'Finance&amp;Tax'!AM29</f>
        <v>0</v>
      </c>
      <c r="AN119" s="108">
        <f>'Finance&amp;Tax'!AN29</f>
        <v>0</v>
      </c>
      <c r="AO119" s="108">
        <f>'Finance&amp;Tax'!AO29</f>
        <v>0</v>
      </c>
      <c r="AP119" s="108">
        <f>'Finance&amp;Tax'!AP29</f>
        <v>0</v>
      </c>
      <c r="AQ119" s="108">
        <f>'Finance&amp;Tax'!AQ29</f>
        <v>0</v>
      </c>
    </row>
    <row r="120" spans="3:46" s="149" customFormat="1">
      <c r="E120" s="149" t="s">
        <v>450</v>
      </c>
      <c r="G120" s="149" t="s">
        <v>27</v>
      </c>
      <c r="I120" s="143"/>
      <c r="AJ120" s="147">
        <f t="shared" ref="AJ120:AQ120" ca="1" si="35">AJ113 + SUM(AJ117:AJ119)</f>
        <v>-63.429538651998698</v>
      </c>
      <c r="AK120" s="147">
        <f t="shared" ca="1" si="35"/>
        <v>-84.861705992587318</v>
      </c>
      <c r="AL120" s="147">
        <f t="shared" ca="1" si="35"/>
        <v>-76.54965552597119</v>
      </c>
      <c r="AM120" s="147">
        <f t="shared" ca="1" si="35"/>
        <v>-63.186690572332083</v>
      </c>
      <c r="AN120" s="147">
        <f t="shared" ca="1" si="35"/>
        <v>-48.795307142763505</v>
      </c>
      <c r="AO120" s="147">
        <f t="shared" ca="1" si="35"/>
        <v>-33.57693131473323</v>
      </c>
      <c r="AP120" s="147">
        <f t="shared" ca="1" si="35"/>
        <v>-23.726675517482676</v>
      </c>
      <c r="AQ120" s="147">
        <f t="shared" ca="1" si="35"/>
        <v>-5.2975912616446124</v>
      </c>
    </row>
    <row r="121" spans="3:46" s="157" customFormat="1">
      <c r="AS121" s="149"/>
      <c r="AT121" s="149"/>
    </row>
    <row r="122" spans="3:46" s="149" customFormat="1">
      <c r="C122" s="332" t="s">
        <v>452</v>
      </c>
      <c r="D122" s="332"/>
      <c r="E122" s="332"/>
      <c r="F122" s="332"/>
      <c r="G122" s="332"/>
      <c r="H122" s="332"/>
      <c r="I122" s="332"/>
      <c r="J122" s="332"/>
      <c r="K122" s="332"/>
      <c r="L122" s="332"/>
      <c r="M122" s="332"/>
      <c r="N122" s="332"/>
      <c r="O122" s="332"/>
      <c r="P122" s="332"/>
      <c r="Q122" s="332"/>
      <c r="R122" s="332"/>
      <c r="S122" s="332"/>
      <c r="T122" s="332"/>
      <c r="U122" s="332"/>
      <c r="V122" s="332"/>
      <c r="W122" s="332"/>
      <c r="X122" s="332"/>
      <c r="Y122" s="332"/>
      <c r="Z122" s="332"/>
      <c r="AA122" s="332"/>
      <c r="AB122" s="332"/>
      <c r="AC122" s="332"/>
      <c r="AD122" s="332"/>
      <c r="AE122" s="332"/>
      <c r="AF122" s="332"/>
      <c r="AG122" s="332"/>
      <c r="AH122" s="332"/>
      <c r="AI122" s="332"/>
      <c r="AJ122" s="399"/>
      <c r="AK122" s="399"/>
      <c r="AL122" s="399"/>
      <c r="AM122" s="399"/>
      <c r="AN122" s="399"/>
      <c r="AO122" s="399"/>
      <c r="AP122" s="399"/>
      <c r="AQ122" s="399"/>
    </row>
    <row r="123" spans="3:46" s="149" customFormat="1">
      <c r="AJ123" s="157"/>
      <c r="AK123" s="157"/>
      <c r="AL123" s="157"/>
      <c r="AM123" s="157"/>
      <c r="AN123" s="157"/>
      <c r="AO123" s="157"/>
      <c r="AP123" s="157"/>
      <c r="AQ123" s="157"/>
    </row>
    <row r="124" spans="3:46" s="149" customFormat="1">
      <c r="E124" s="149" t="s">
        <v>168</v>
      </c>
      <c r="G124" s="149" t="s">
        <v>27</v>
      </c>
      <c r="I124" s="143"/>
      <c r="AJ124" s="108">
        <f>'Finance&amp;Tax'!AJ141</f>
        <v>0</v>
      </c>
      <c r="AK124" s="108">
        <f>'Finance&amp;Tax'!AK141</f>
        <v>0</v>
      </c>
      <c r="AL124" s="108">
        <f>'Finance&amp;Tax'!AL141</f>
        <v>0</v>
      </c>
      <c r="AM124" s="108">
        <f>'Finance&amp;Tax'!AM141</f>
        <v>0</v>
      </c>
      <c r="AN124" s="108">
        <f>'Finance&amp;Tax'!AN141</f>
        <v>0</v>
      </c>
      <c r="AO124" s="108">
        <f>'Finance&amp;Tax'!AO141</f>
        <v>0</v>
      </c>
      <c r="AP124" s="108">
        <f>'Finance&amp;Tax'!AP141</f>
        <v>0</v>
      </c>
      <c r="AQ124" s="108">
        <f>'Finance&amp;Tax'!AQ141</f>
        <v>0</v>
      </c>
    </row>
    <row r="125" spans="3:46" s="149" customFormat="1">
      <c r="E125" s="149" t="s">
        <v>451</v>
      </c>
      <c r="G125" s="149" t="s">
        <v>27</v>
      </c>
      <c r="I125" s="143"/>
      <c r="AJ125" s="32">
        <f>AJ124</f>
        <v>0</v>
      </c>
      <c r="AK125" s="32">
        <f t="shared" ref="AK125:AQ125" si="36">AK124</f>
        <v>0</v>
      </c>
      <c r="AL125" s="32">
        <f t="shared" si="36"/>
        <v>0</v>
      </c>
      <c r="AM125" s="32">
        <f t="shared" si="36"/>
        <v>0</v>
      </c>
      <c r="AN125" s="32">
        <f t="shared" si="36"/>
        <v>0</v>
      </c>
      <c r="AO125" s="32">
        <f t="shared" si="36"/>
        <v>0</v>
      </c>
      <c r="AP125" s="32">
        <f t="shared" si="36"/>
        <v>0</v>
      </c>
      <c r="AQ125" s="32">
        <f t="shared" si="36"/>
        <v>0</v>
      </c>
    </row>
    <row r="126" spans="3:46" s="149" customFormat="1">
      <c r="E126" s="149" t="s">
        <v>452</v>
      </c>
      <c r="G126" s="149" t="s">
        <v>27</v>
      </c>
      <c r="I126" s="143"/>
      <c r="AJ126" s="147">
        <f ca="1">AJ120 + AJ125</f>
        <v>-63.429538651998698</v>
      </c>
      <c r="AK126" s="147">
        <f t="shared" ref="AK126:AQ126" ca="1" si="37">AK120 + AK125</f>
        <v>-84.861705992587318</v>
      </c>
      <c r="AL126" s="147">
        <f t="shared" ca="1" si="37"/>
        <v>-76.54965552597119</v>
      </c>
      <c r="AM126" s="147">
        <f t="shared" ca="1" si="37"/>
        <v>-63.186690572332083</v>
      </c>
      <c r="AN126" s="147">
        <f t="shared" ca="1" si="37"/>
        <v>-48.795307142763505</v>
      </c>
      <c r="AO126" s="147">
        <f t="shared" ca="1" si="37"/>
        <v>-33.57693131473323</v>
      </c>
      <c r="AP126" s="147">
        <f t="shared" ca="1" si="37"/>
        <v>-23.726675517482676</v>
      </c>
      <c r="AQ126" s="147">
        <f t="shared" ca="1" si="37"/>
        <v>-5.2975912616446124</v>
      </c>
    </row>
    <row r="127" spans="3:46" s="149" customFormat="1">
      <c r="I127" s="143"/>
      <c r="AJ127" s="147"/>
      <c r="AK127" s="147"/>
      <c r="AL127" s="147"/>
      <c r="AM127" s="147"/>
      <c r="AN127" s="147"/>
      <c r="AO127" s="147"/>
      <c r="AP127" s="147"/>
      <c r="AQ127" s="147"/>
    </row>
    <row r="128" spans="3:46" s="149" customFormat="1">
      <c r="E128" s="149" t="s">
        <v>453</v>
      </c>
      <c r="G128" s="149" t="s">
        <v>27</v>
      </c>
      <c r="I128" s="143"/>
      <c r="AJ128" s="32">
        <f ca="1">ROUND(AJ126,4) - ROUND('Finance&amp;Tax'!AJ36 - 'Finance&amp;Tax'!AJ22 + 'Finance&amp;Tax'!AJ141 + 'Finance&amp;Tax'!AJ145 - AJ85,4)</f>
        <v>0</v>
      </c>
      <c r="AK128" s="32">
        <f ca="1">ROUND(AK126,4) - ROUND('Finance&amp;Tax'!AK36 - 'Finance&amp;Tax'!AK22 + 'Finance&amp;Tax'!AK141 + 'Finance&amp;Tax'!AK145 - AK85,4)</f>
        <v>0</v>
      </c>
      <c r="AL128" s="32">
        <f ca="1">ROUND(AL126,4) - ROUND('Finance&amp;Tax'!AL36 - 'Finance&amp;Tax'!AL22 + 'Finance&amp;Tax'!AL141 + 'Finance&amp;Tax'!AL145 - AL85,4)</f>
        <v>0</v>
      </c>
      <c r="AM128" s="32">
        <f ca="1">ROUND(AM126,4) - ROUND('Finance&amp;Tax'!AM36 - 'Finance&amp;Tax'!AM22 + 'Finance&amp;Tax'!AM141 + 'Finance&amp;Tax'!AM145 - AM85,4)</f>
        <v>0</v>
      </c>
      <c r="AN128" s="32">
        <f ca="1">ROUND(AN126,4) - ROUND('Finance&amp;Tax'!AN36 - 'Finance&amp;Tax'!AN22 + 'Finance&amp;Tax'!AN141 + 'Finance&amp;Tax'!AN145 - AN85,4)</f>
        <v>0</v>
      </c>
      <c r="AO128" s="32">
        <f ca="1">ROUND(AO126,4) - ROUND('Finance&amp;Tax'!AO36 - 'Finance&amp;Tax'!AO22 + 'Finance&amp;Tax'!AO141 + 'Finance&amp;Tax'!AO145 - AO85,4)</f>
        <v>0</v>
      </c>
      <c r="AP128" s="32">
        <f ca="1">ROUND(AP126,4) - ROUND('Finance&amp;Tax'!AP36 - 'Finance&amp;Tax'!AP22 + 'Finance&amp;Tax'!AP141 + 'Finance&amp;Tax'!AP145 - AP85,4)</f>
        <v>0</v>
      </c>
      <c r="AQ128" s="32">
        <f ca="1">ROUND(AQ126,4) - ROUND('Finance&amp;Tax'!AQ36 - 'Finance&amp;Tax'!AQ22 + 'Finance&amp;Tax'!AQ141 + 'Finance&amp;Tax'!AQ145 - AQ85,4)</f>
        <v>0</v>
      </c>
    </row>
    <row r="129" spans="2:48" s="149" customFormat="1">
      <c r="AJ129" s="152"/>
      <c r="AK129" s="152"/>
      <c r="AL129" s="152"/>
      <c r="AM129" s="152"/>
      <c r="AN129" s="152"/>
      <c r="AO129" s="152"/>
      <c r="AP129" s="152"/>
      <c r="AQ129" s="152"/>
    </row>
    <row r="130" spans="2:48">
      <c r="B130" s="334" t="s">
        <v>580</v>
      </c>
      <c r="C130" s="334"/>
      <c r="D130" s="334"/>
      <c r="E130" s="334"/>
      <c r="F130" s="334"/>
      <c r="G130" s="334"/>
      <c r="H130" s="334"/>
      <c r="I130" s="334"/>
      <c r="J130" s="334"/>
      <c r="K130" s="334"/>
      <c r="L130" s="334"/>
      <c r="M130" s="334"/>
      <c r="N130" s="334"/>
      <c r="O130" s="334"/>
      <c r="P130" s="334"/>
      <c r="Q130" s="334"/>
      <c r="R130" s="334"/>
      <c r="S130" s="334"/>
      <c r="T130" s="334"/>
      <c r="U130" s="334"/>
      <c r="V130" s="334"/>
      <c r="W130" s="334"/>
      <c r="X130" s="334"/>
      <c r="Y130" s="334"/>
      <c r="Z130" s="334"/>
      <c r="AA130" s="334"/>
      <c r="AB130" s="334"/>
      <c r="AC130" s="334"/>
      <c r="AD130" s="334"/>
      <c r="AE130" s="334"/>
      <c r="AF130" s="334"/>
      <c r="AG130" s="334"/>
      <c r="AH130" s="334"/>
      <c r="AI130" s="334"/>
      <c r="AJ130" s="376"/>
      <c r="AK130" s="376"/>
      <c r="AL130" s="376"/>
      <c r="AM130" s="376"/>
      <c r="AN130" s="376"/>
      <c r="AO130" s="376"/>
      <c r="AP130" s="376"/>
      <c r="AQ130" s="376"/>
      <c r="AR130" s="113"/>
      <c r="AS130" s="149"/>
      <c r="AT130" s="149"/>
      <c r="AU130" s="113"/>
      <c r="AV130" s="113"/>
    </row>
    <row r="131" spans="2:48" ht="28.5" customHeight="1">
      <c r="B131" s="464" t="s">
        <v>621</v>
      </c>
      <c r="C131" s="465"/>
      <c r="D131" s="465"/>
      <c r="E131" s="465"/>
      <c r="F131" s="465"/>
      <c r="G131" s="465"/>
      <c r="H131" s="465"/>
      <c r="I131" s="465"/>
      <c r="J131" s="465"/>
      <c r="K131" s="465"/>
      <c r="L131" s="465"/>
      <c r="M131" s="465"/>
      <c r="N131" s="465"/>
      <c r="O131" s="465"/>
      <c r="P131" s="465"/>
      <c r="Q131" s="465"/>
      <c r="R131" s="465"/>
      <c r="S131" s="465"/>
      <c r="T131" s="465"/>
      <c r="U131" s="465"/>
      <c r="V131" s="465"/>
      <c r="W131" s="465"/>
      <c r="X131" s="465"/>
      <c r="Y131" s="465"/>
      <c r="Z131" s="465"/>
      <c r="AA131" s="465"/>
      <c r="AB131" s="465"/>
      <c r="AC131" s="465"/>
      <c r="AD131" s="465"/>
      <c r="AE131" s="465"/>
      <c r="AF131" s="465"/>
      <c r="AG131" s="465"/>
      <c r="AH131" s="465"/>
      <c r="AI131" s="465"/>
      <c r="AJ131" s="465"/>
      <c r="AK131" s="465"/>
      <c r="AL131" s="465"/>
      <c r="AM131" s="465"/>
      <c r="AN131" s="465"/>
      <c r="AO131" s="465"/>
      <c r="AP131" s="465"/>
      <c r="AQ131" s="465"/>
      <c r="AS131" s="149"/>
      <c r="AT131" s="149"/>
    </row>
    <row r="132" spans="2:48" ht="16.5" customHeight="1">
      <c r="C132" s="451"/>
      <c r="D132" s="451"/>
      <c r="E132" s="451"/>
      <c r="F132" s="451"/>
      <c r="G132" s="451"/>
      <c r="H132" s="451"/>
      <c r="I132" s="451"/>
      <c r="J132" s="451"/>
      <c r="K132" s="451"/>
      <c r="L132" s="451"/>
      <c r="M132" s="451"/>
      <c r="N132" s="451"/>
      <c r="O132" s="451"/>
      <c r="P132" s="451"/>
      <c r="Q132" s="451"/>
      <c r="R132" s="451"/>
      <c r="S132" s="451"/>
      <c r="T132" s="451"/>
      <c r="U132" s="451"/>
      <c r="V132" s="451"/>
      <c r="W132" s="451"/>
      <c r="X132" s="451"/>
      <c r="Y132" s="451"/>
      <c r="Z132" s="451"/>
      <c r="AA132" s="451"/>
      <c r="AB132" s="451"/>
      <c r="AC132" s="451"/>
      <c r="AD132" s="451"/>
      <c r="AE132" s="451"/>
      <c r="AF132" s="451"/>
      <c r="AG132" s="451"/>
      <c r="AH132" s="451"/>
      <c r="AI132" s="451"/>
      <c r="AJ132" s="451"/>
      <c r="AK132" s="451"/>
      <c r="AL132" s="451"/>
      <c r="AM132" s="451"/>
      <c r="AN132" s="451"/>
      <c r="AO132" s="451"/>
      <c r="AP132" s="451"/>
      <c r="AQ132" s="451"/>
      <c r="AS132" s="149"/>
      <c r="AT132" s="149"/>
    </row>
    <row r="133" spans="2:48">
      <c r="D133" s="459"/>
      <c r="E133" s="149" t="s">
        <v>578</v>
      </c>
      <c r="F133" s="149"/>
      <c r="G133" s="149" t="s">
        <v>27</v>
      </c>
      <c r="AJ133" s="293">
        <f>Input!AJ436 * Input!AJ$57 / Input!$AG$57</f>
        <v>56.466915896547739</v>
      </c>
      <c r="AK133" s="293">
        <f>Input!AK436 * Input!AK$57 / Input!$AG$57</f>
        <v>60.693110907957568</v>
      </c>
      <c r="AL133" s="293">
        <f>Input!AL436 * Input!AL$57 / Input!$AG$57</f>
        <v>62.968071462334429</v>
      </c>
      <c r="AM133" s="293">
        <f>Input!AM436 * Input!AM$57 / Input!$AG$57</f>
        <v>67.036859784289319</v>
      </c>
      <c r="AN133" s="293">
        <f>Input!AN436 * Input!AN$57 / Input!$AG$57</f>
        <v>70.28767222541677</v>
      </c>
      <c r="AO133" s="293">
        <f>Input!AO436 * Input!AO$57 / Input!$AG$57</f>
        <v>71.701974216918899</v>
      </c>
      <c r="AP133" s="293">
        <f>Input!AP436 * Input!AP$57 / Input!$AG$57</f>
        <v>76.205010571401857</v>
      </c>
      <c r="AQ133" s="293">
        <f>Input!AQ436 * Input!AQ$57 / Input!$AG$57</f>
        <v>80.160752640451832</v>
      </c>
      <c r="AS133" s="149"/>
      <c r="AT133" s="149"/>
    </row>
    <row r="134" spans="2:48">
      <c r="E134" s="149"/>
      <c r="F134" s="149"/>
      <c r="G134" s="149"/>
      <c r="AJ134" s="293"/>
      <c r="AK134" s="293"/>
      <c r="AL134" s="293"/>
      <c r="AM134" s="293"/>
      <c r="AN134" s="293"/>
      <c r="AO134" s="293"/>
      <c r="AP134" s="293"/>
      <c r="AQ134" s="293"/>
      <c r="AS134" s="149"/>
      <c r="AT134" s="149"/>
    </row>
    <row r="135" spans="2:48">
      <c r="E135" s="149" t="s">
        <v>579</v>
      </c>
      <c r="F135" s="149"/>
      <c r="G135" s="149" t="s">
        <v>27</v>
      </c>
      <c r="AJ135" s="293">
        <f>Input!AJ437 * Input!AJ$57 / Input!$AG$57</f>
        <v>176.86865562584762</v>
      </c>
      <c r="AK135" s="293">
        <f>Input!AK437 * Input!AK$57 / Input!$AG$57</f>
        <v>210.9744727134871</v>
      </c>
      <c r="AL135" s="293">
        <f>Input!AL437 * Input!AL$57 / Input!$AG$57</f>
        <v>211.48542691745766</v>
      </c>
      <c r="AM135" s="293">
        <f>Input!AM437 * Input!AM$57 / Input!$AG$57</f>
        <v>201.54868436149272</v>
      </c>
      <c r="AN135" s="293">
        <f>Input!AN437 * Input!AN$57 / Input!$AG$57</f>
        <v>197.73561543307619</v>
      </c>
      <c r="AO135" s="293">
        <f>Input!AO437 * Input!AO$57 / Input!$AG$57</f>
        <v>196.75947910850314</v>
      </c>
      <c r="AP135" s="293">
        <f>Input!AP437 * Input!AP$57 / Input!$AG$57</f>
        <v>205.15028498489463</v>
      </c>
      <c r="AQ135" s="293">
        <f>Input!AQ437 * Input!AQ$57 / Input!$AG$57</f>
        <v>201.6030243771317</v>
      </c>
      <c r="AS135" s="149"/>
      <c r="AT135" s="149"/>
    </row>
    <row r="136" spans="2:48">
      <c r="E136" s="149" t="s">
        <v>581</v>
      </c>
      <c r="F136" s="149"/>
      <c r="G136" s="149" t="s">
        <v>27</v>
      </c>
      <c r="AJ136" s="293">
        <f>(Totex!AJ90-Totex!AJ89) * Input!AJ$57 / Input!$AG$57</f>
        <v>164.82035449376838</v>
      </c>
      <c r="AK136" s="293">
        <f>(Totex!AK90-Totex!AK89) * Input!AK$57 / Input!$AG$57</f>
        <v>194.17305540057922</v>
      </c>
      <c r="AL136" s="293">
        <f>(Totex!AL90-Totex!AL89) * Input!AL$57 / Input!$AG$57</f>
        <v>194.13930272295354</v>
      </c>
      <c r="AM136" s="293">
        <f>(Totex!AM90-Totex!AM89) * Input!AM$57 / Input!$AG$57</f>
        <v>190.27891972409358</v>
      </c>
      <c r="AN136" s="293">
        <f>(Totex!AN90-Totex!AN89) * Input!AN$57 / Input!$AG$57</f>
        <v>188.40254312031507</v>
      </c>
      <c r="AO136" s="293">
        <f>(Totex!AO90-Totex!AO89) * Input!AO$57 / Input!$AG$57</f>
        <v>186.57865614720956</v>
      </c>
      <c r="AP136" s="293">
        <f>(Totex!AP90-Totex!AP89) * Input!AP$57 / Input!$AG$57</f>
        <v>194.29351210619515</v>
      </c>
      <c r="AQ136" s="293">
        <f>(Totex!AQ90-Totex!AQ89) * Input!AQ$57 / Input!$AG$57</f>
        <v>193.29332069062943</v>
      </c>
      <c r="AS136" s="149"/>
      <c r="AT136" s="149"/>
    </row>
    <row r="137" spans="2:48">
      <c r="E137" s="152" t="s">
        <v>837</v>
      </c>
      <c r="F137" s="149"/>
      <c r="G137" s="149" t="s">
        <v>27</v>
      </c>
      <c r="AJ137" s="168">
        <f t="shared" ref="AJ137" si="38">AJ136-AJ135</f>
        <v>-12.048301132079246</v>
      </c>
      <c r="AK137" s="168">
        <f>AK136-AK135</f>
        <v>-16.801417312907887</v>
      </c>
      <c r="AL137" s="168">
        <f t="shared" ref="AL137:AQ137" si="39">AL136-AL135</f>
        <v>-17.346124194504114</v>
      </c>
      <c r="AM137" s="168">
        <f t="shared" si="39"/>
        <v>-11.269764637399135</v>
      </c>
      <c r="AN137" s="168">
        <f t="shared" si="39"/>
        <v>-9.3330723127611179</v>
      </c>
      <c r="AO137" s="168">
        <f t="shared" si="39"/>
        <v>-10.180822961293586</v>
      </c>
      <c r="AP137" s="168">
        <f t="shared" si="39"/>
        <v>-10.856772878699473</v>
      </c>
      <c r="AQ137" s="168">
        <f t="shared" si="39"/>
        <v>-8.3097036865022744</v>
      </c>
      <c r="AS137" s="149"/>
      <c r="AT137" s="149"/>
    </row>
    <row r="138" spans="2:48">
      <c r="AS138" s="149"/>
      <c r="AT138" s="149"/>
    </row>
    <row r="139" spans="2:48">
      <c r="E139" s="195" t="s">
        <v>582</v>
      </c>
      <c r="G139" s="195" t="s">
        <v>46</v>
      </c>
      <c r="I139" s="288">
        <v>45</v>
      </c>
      <c r="AS139" s="149"/>
      <c r="AT139" s="149"/>
    </row>
    <row r="140" spans="2:48">
      <c r="AS140" s="149"/>
      <c r="AT140" s="149"/>
    </row>
    <row r="141" spans="2:48">
      <c r="E141" s="401">
        <v>42460</v>
      </c>
      <c r="G141" s="149" t="s">
        <v>27</v>
      </c>
      <c r="AJ141" s="147">
        <f t="shared" ref="AJ141:AQ148" si="40">IF($E141 &lt;= AJ$7, INDEX($AJ$137:$AQ$137,MATCH($E141,$AJ$7:$AQ$7,0)) / $I$139, 0)</f>
        <v>-0.2677400251573166</v>
      </c>
      <c r="AK141" s="147">
        <f t="shared" si="40"/>
        <v>-0.2677400251573166</v>
      </c>
      <c r="AL141" s="147">
        <f t="shared" si="40"/>
        <v>-0.2677400251573166</v>
      </c>
      <c r="AM141" s="147">
        <f t="shared" si="40"/>
        <v>-0.2677400251573166</v>
      </c>
      <c r="AN141" s="147">
        <f t="shared" si="40"/>
        <v>-0.2677400251573166</v>
      </c>
      <c r="AO141" s="147">
        <f t="shared" si="40"/>
        <v>-0.2677400251573166</v>
      </c>
      <c r="AP141" s="147">
        <f t="shared" si="40"/>
        <v>-0.2677400251573166</v>
      </c>
      <c r="AQ141" s="147">
        <f t="shared" si="40"/>
        <v>-0.2677400251573166</v>
      </c>
      <c r="AS141" s="149"/>
      <c r="AT141" s="149"/>
    </row>
    <row r="142" spans="2:48">
      <c r="E142" s="401">
        <v>42825</v>
      </c>
      <c r="G142" s="149" t="s">
        <v>27</v>
      </c>
      <c r="AJ142" s="147">
        <f t="shared" si="40"/>
        <v>0</v>
      </c>
      <c r="AK142" s="147">
        <f t="shared" si="40"/>
        <v>-0.37336482917573083</v>
      </c>
      <c r="AL142" s="147">
        <f t="shared" si="40"/>
        <v>-0.37336482917573083</v>
      </c>
      <c r="AM142" s="147">
        <f t="shared" si="40"/>
        <v>-0.37336482917573083</v>
      </c>
      <c r="AN142" s="147">
        <f t="shared" si="40"/>
        <v>-0.37336482917573083</v>
      </c>
      <c r="AO142" s="147">
        <f t="shared" si="40"/>
        <v>-0.37336482917573083</v>
      </c>
      <c r="AP142" s="147">
        <f t="shared" si="40"/>
        <v>-0.37336482917573083</v>
      </c>
      <c r="AQ142" s="147">
        <f t="shared" si="40"/>
        <v>-0.37336482917573083</v>
      </c>
      <c r="AS142" s="149"/>
      <c r="AT142" s="149"/>
    </row>
    <row r="143" spans="2:48">
      <c r="E143" s="401">
        <v>43190</v>
      </c>
      <c r="G143" s="149" t="s">
        <v>27</v>
      </c>
      <c r="AJ143" s="147">
        <f t="shared" si="40"/>
        <v>0</v>
      </c>
      <c r="AK143" s="147">
        <f t="shared" si="40"/>
        <v>0</v>
      </c>
      <c r="AL143" s="147">
        <f t="shared" si="40"/>
        <v>-0.38546942654453586</v>
      </c>
      <c r="AM143" s="147">
        <f t="shared" si="40"/>
        <v>-0.38546942654453586</v>
      </c>
      <c r="AN143" s="147">
        <f t="shared" si="40"/>
        <v>-0.38546942654453586</v>
      </c>
      <c r="AO143" s="147">
        <f t="shared" si="40"/>
        <v>-0.38546942654453586</v>
      </c>
      <c r="AP143" s="147">
        <f t="shared" si="40"/>
        <v>-0.38546942654453586</v>
      </c>
      <c r="AQ143" s="147">
        <f t="shared" si="40"/>
        <v>-0.38546942654453586</v>
      </c>
      <c r="AS143" s="149"/>
      <c r="AT143" s="149"/>
    </row>
    <row r="144" spans="2:48">
      <c r="E144" s="401">
        <v>43555</v>
      </c>
      <c r="G144" s="149" t="s">
        <v>27</v>
      </c>
      <c r="AJ144" s="147">
        <f t="shared" si="40"/>
        <v>0</v>
      </c>
      <c r="AK144" s="147">
        <f t="shared" si="40"/>
        <v>0</v>
      </c>
      <c r="AL144" s="147">
        <f t="shared" si="40"/>
        <v>0</v>
      </c>
      <c r="AM144" s="147">
        <f t="shared" si="40"/>
        <v>-0.25043921416442522</v>
      </c>
      <c r="AN144" s="147">
        <f t="shared" si="40"/>
        <v>-0.25043921416442522</v>
      </c>
      <c r="AO144" s="147">
        <f t="shared" si="40"/>
        <v>-0.25043921416442522</v>
      </c>
      <c r="AP144" s="147">
        <f t="shared" si="40"/>
        <v>-0.25043921416442522</v>
      </c>
      <c r="AQ144" s="147">
        <f t="shared" si="40"/>
        <v>-0.25043921416442522</v>
      </c>
      <c r="AS144" s="149"/>
      <c r="AT144" s="149"/>
    </row>
    <row r="145" spans="2:46">
      <c r="E145" s="401">
        <v>43921</v>
      </c>
      <c r="G145" s="149" t="s">
        <v>27</v>
      </c>
      <c r="AJ145" s="147">
        <f t="shared" si="40"/>
        <v>0</v>
      </c>
      <c r="AK145" s="147">
        <f t="shared" si="40"/>
        <v>0</v>
      </c>
      <c r="AL145" s="147">
        <f t="shared" si="40"/>
        <v>0</v>
      </c>
      <c r="AM145" s="147">
        <f t="shared" si="40"/>
        <v>0</v>
      </c>
      <c r="AN145" s="147">
        <f t="shared" si="40"/>
        <v>-0.20740160695024706</v>
      </c>
      <c r="AO145" s="147">
        <f t="shared" si="40"/>
        <v>-0.20740160695024706</v>
      </c>
      <c r="AP145" s="147">
        <f t="shared" si="40"/>
        <v>-0.20740160695024706</v>
      </c>
      <c r="AQ145" s="147">
        <f t="shared" si="40"/>
        <v>-0.20740160695024706</v>
      </c>
      <c r="AS145" s="149"/>
      <c r="AT145" s="149"/>
    </row>
    <row r="146" spans="2:46">
      <c r="E146" s="401">
        <v>44286</v>
      </c>
      <c r="G146" s="149" t="s">
        <v>27</v>
      </c>
      <c r="AJ146" s="147">
        <f t="shared" si="40"/>
        <v>0</v>
      </c>
      <c r="AK146" s="147">
        <f t="shared" si="40"/>
        <v>0</v>
      </c>
      <c r="AL146" s="147">
        <f t="shared" si="40"/>
        <v>0</v>
      </c>
      <c r="AM146" s="147">
        <f t="shared" si="40"/>
        <v>0</v>
      </c>
      <c r="AN146" s="147">
        <f t="shared" si="40"/>
        <v>0</v>
      </c>
      <c r="AO146" s="147">
        <f t="shared" si="40"/>
        <v>-0.22624051025096859</v>
      </c>
      <c r="AP146" s="147">
        <f t="shared" si="40"/>
        <v>-0.22624051025096859</v>
      </c>
      <c r="AQ146" s="147">
        <f t="shared" si="40"/>
        <v>-0.22624051025096859</v>
      </c>
      <c r="AS146" s="149"/>
      <c r="AT146" s="149"/>
    </row>
    <row r="147" spans="2:46">
      <c r="E147" s="401">
        <v>44651</v>
      </c>
      <c r="G147" s="149" t="s">
        <v>27</v>
      </c>
      <c r="AJ147" s="147">
        <f t="shared" si="40"/>
        <v>0</v>
      </c>
      <c r="AK147" s="147">
        <f t="shared" si="40"/>
        <v>0</v>
      </c>
      <c r="AL147" s="147">
        <f t="shared" si="40"/>
        <v>0</v>
      </c>
      <c r="AM147" s="147">
        <f t="shared" si="40"/>
        <v>0</v>
      </c>
      <c r="AN147" s="147">
        <f t="shared" si="40"/>
        <v>0</v>
      </c>
      <c r="AO147" s="147">
        <f t="shared" si="40"/>
        <v>0</v>
      </c>
      <c r="AP147" s="147">
        <f t="shared" si="40"/>
        <v>-0.24126161952665498</v>
      </c>
      <c r="AQ147" s="147">
        <f t="shared" si="40"/>
        <v>-0.24126161952665498</v>
      </c>
      <c r="AS147" s="149"/>
      <c r="AT147" s="149"/>
    </row>
    <row r="148" spans="2:46">
      <c r="E148" s="401">
        <v>45016</v>
      </c>
      <c r="G148" s="149" t="s">
        <v>27</v>
      </c>
      <c r="AJ148" s="147">
        <f t="shared" si="40"/>
        <v>0</v>
      </c>
      <c r="AK148" s="147">
        <f t="shared" si="40"/>
        <v>0</v>
      </c>
      <c r="AL148" s="147">
        <f t="shared" si="40"/>
        <v>0</v>
      </c>
      <c r="AM148" s="147">
        <f t="shared" si="40"/>
        <v>0</v>
      </c>
      <c r="AN148" s="147">
        <f t="shared" si="40"/>
        <v>0</v>
      </c>
      <c r="AO148" s="147">
        <f t="shared" si="40"/>
        <v>0</v>
      </c>
      <c r="AP148" s="147">
        <f t="shared" si="40"/>
        <v>0</v>
      </c>
      <c r="AQ148" s="147">
        <f t="shared" si="40"/>
        <v>-0.18466008192227276</v>
      </c>
      <c r="AS148" s="149"/>
      <c r="AT148" s="149"/>
    </row>
    <row r="149" spans="2:46">
      <c r="E149" s="195" t="s">
        <v>6</v>
      </c>
      <c r="G149" s="149" t="s">
        <v>27</v>
      </c>
      <c r="AJ149" s="167">
        <f>SUM(AJ141:AJ148)</f>
        <v>-0.2677400251573166</v>
      </c>
      <c r="AK149" s="167">
        <f t="shared" ref="AK149:AQ149" si="41">SUM(AK141:AK148)</f>
        <v>-0.64110485433304742</v>
      </c>
      <c r="AL149" s="167">
        <f t="shared" si="41"/>
        <v>-1.0265742808775833</v>
      </c>
      <c r="AM149" s="167">
        <f t="shared" si="41"/>
        <v>-1.2770134950420085</v>
      </c>
      <c r="AN149" s="167">
        <f t="shared" si="41"/>
        <v>-1.4844151019922556</v>
      </c>
      <c r="AO149" s="167">
        <f t="shared" si="41"/>
        <v>-1.7106556122432242</v>
      </c>
      <c r="AP149" s="167">
        <f t="shared" si="41"/>
        <v>-1.9519172317698792</v>
      </c>
      <c r="AQ149" s="167">
        <f t="shared" si="41"/>
        <v>-2.1365773136921518</v>
      </c>
      <c r="AS149" s="149"/>
      <c r="AT149" s="149"/>
    </row>
    <row r="150" spans="2:46">
      <c r="AS150" s="149"/>
      <c r="AT150" s="149"/>
    </row>
    <row r="151" spans="2:46">
      <c r="E151" s="195" t="s">
        <v>583</v>
      </c>
      <c r="AJ151" s="293">
        <f>IF(AJ133=0,Revenue!AJ15*(Input!AJ$57 / Input!$AG$57),AJ133 + AJ149)</f>
        <v>56.199175871390423</v>
      </c>
      <c r="AK151" s="293">
        <f>IF(AK133=0,Revenue!AK15*(Input!AK$57 / Input!$AG$57),AK133 + AK149)</f>
        <v>60.052006053624517</v>
      </c>
      <c r="AL151" s="293">
        <f>IF(AL133=0,Revenue!AL15*(Input!AL$57 / Input!$AG$57),AL133 + AL149)</f>
        <v>61.941497181456846</v>
      </c>
      <c r="AM151" s="293">
        <f>IF(AM133=0,Revenue!AM15*(Input!AM$57 / Input!$AG$57),AM133 + AM149)</f>
        <v>65.759846289247307</v>
      </c>
      <c r="AN151" s="293">
        <f>IF(AN133=0,Revenue!AN15*(Input!AN$57 / Input!$AG$57),AN133 + AN149)</f>
        <v>68.803257123424515</v>
      </c>
      <c r="AO151" s="293">
        <f>IF(AO133=0,Revenue!AO15*(Input!AO$57 / Input!$AG$57),AO133 + AO149)</f>
        <v>69.991318604675669</v>
      </c>
      <c r="AP151" s="293">
        <f>IF(AP133=0,Revenue!AP15*(Input!AP$57 / Input!$AG$57),AP133 + AP149)</f>
        <v>74.253093339631974</v>
      </c>
      <c r="AQ151" s="293">
        <f>IF(AQ133=0,Revenue!AQ15*(Input!AQ$57 / Input!$AG$57),AQ133 + AQ149)</f>
        <v>78.024175326759675</v>
      </c>
      <c r="AS151" s="149"/>
      <c r="AT151" s="149"/>
    </row>
    <row r="152" spans="2:46"/>
    <row r="153" spans="2:46">
      <c r="B153" s="334" t="s">
        <v>53</v>
      </c>
      <c r="C153" s="334"/>
      <c r="D153" s="334"/>
      <c r="E153" s="334"/>
      <c r="F153" s="334"/>
      <c r="G153" s="334"/>
      <c r="H153" s="334"/>
      <c r="I153" s="334"/>
      <c r="J153" s="334"/>
      <c r="K153" s="334"/>
      <c r="L153" s="334"/>
      <c r="M153" s="334"/>
      <c r="N153" s="334"/>
      <c r="O153" s="334"/>
      <c r="P153" s="334"/>
      <c r="Q153" s="334"/>
      <c r="R153" s="334"/>
      <c r="S153" s="334"/>
      <c r="T153" s="334"/>
      <c r="U153" s="334"/>
      <c r="V153" s="334"/>
      <c r="W153" s="334"/>
      <c r="X153" s="334"/>
      <c r="Y153" s="334"/>
      <c r="Z153" s="334"/>
      <c r="AA153" s="334"/>
      <c r="AB153" s="334"/>
      <c r="AC153" s="334"/>
      <c r="AD153" s="334"/>
      <c r="AE153" s="334"/>
      <c r="AF153" s="334"/>
      <c r="AG153" s="334"/>
      <c r="AH153" s="334"/>
      <c r="AI153" s="334"/>
      <c r="AJ153" s="334"/>
      <c r="AK153" s="334"/>
      <c r="AL153" s="334"/>
      <c r="AM153" s="334"/>
      <c r="AN153" s="334"/>
      <c r="AO153" s="334"/>
      <c r="AP153" s="334"/>
      <c r="AQ153" s="334"/>
    </row>
    <row r="154" spans="2:46"/>
    <row r="155" spans="2:46" hidden="1"/>
    <row r="156" spans="2:46" hidden="1"/>
    <row r="157" spans="2:46" hidden="1"/>
    <row r="158" spans="2:46" hidden="1"/>
    <row r="159" spans="2:46" hidden="1"/>
    <row r="160" spans="2:46"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sheetData>
  <pageMargins left="0.23622047244094491" right="0.23622047244094491" top="0.74803149606299213" bottom="0.74803149606299213" header="0.31496062992125984" footer="0.31496062992125984"/>
  <pageSetup paperSize="8" scale="73"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75105" r:id="rId4" name="Drop Down 1">
              <controlPr defaultSize="0" autoLine="0" autoPict="0">
                <anchor moveWithCells="1">
                  <from>
                    <xdr:col>4</xdr:col>
                    <xdr:colOff>581025</xdr:colOff>
                    <xdr:row>1</xdr:row>
                    <xdr:rowOff>0</xdr:rowOff>
                  </from>
                  <to>
                    <xdr:col>4</xdr:col>
                    <xdr:colOff>3019425</xdr:colOff>
                    <xdr:row>2</xdr:row>
                    <xdr:rowOff>0</xdr:rowOff>
                  </to>
                </anchor>
              </controlPr>
            </control>
          </mc:Choice>
        </mc:AlternateContent>
        <mc:AlternateContent xmlns:mc="http://schemas.openxmlformats.org/markup-compatibility/2006">
          <mc:Choice Requires="x14">
            <control shapeId="175106" r:id="rId5" name="Drop Down 2">
              <controlPr defaultSize="0" autoLine="0" autoPict="0">
                <anchor moveWithCells="1">
                  <from>
                    <xdr:col>4</xdr:col>
                    <xdr:colOff>3276600</xdr:colOff>
                    <xdr:row>1</xdr:row>
                    <xdr:rowOff>0</xdr:rowOff>
                  </from>
                  <to>
                    <xdr:col>8</xdr:col>
                    <xdr:colOff>647700</xdr:colOff>
                    <xdr:row>2</xdr:row>
                    <xdr:rowOff>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tabColor rgb="FFFF99FF"/>
    <pageSetUpPr fitToPage="1"/>
  </sheetPr>
  <dimension ref="A1:AT331"/>
  <sheetViews>
    <sheetView zoomScale="75" zoomScaleNormal="75" workbookViewId="0">
      <pane xSplit="10" ySplit="7" topLeftCell="K8" activePane="bottomRight" state="frozen"/>
      <selection activeCell="F444" sqref="F444"/>
      <selection pane="topRight" activeCell="F444" sqref="F444"/>
      <selection pane="bottomLeft" activeCell="F444" sqref="F444"/>
      <selection pane="bottomRight" activeCell="AJ44" sqref="AJ44:AQ44"/>
    </sheetView>
  </sheetViews>
  <sheetFormatPr defaultColWidth="9" defaultRowHeight="12.75" zeroHeight="1" outlineLevelCol="1"/>
  <cols>
    <col min="1" max="4" width="1.625" style="195" customWidth="1"/>
    <col min="5" max="5" width="51.5" style="195" customWidth="1"/>
    <col min="6" max="6" width="1.625" style="195" customWidth="1"/>
    <col min="7" max="7" width="12.625" style="195" bestFit="1" customWidth="1"/>
    <col min="8" max="8" width="1.625" style="195" customWidth="1"/>
    <col min="9" max="9" width="10.625" style="195" customWidth="1"/>
    <col min="10" max="10" width="1.625" style="195" customWidth="1"/>
    <col min="11" max="35" width="10.625" style="195" hidden="1" customWidth="1" outlineLevel="1"/>
    <col min="36" max="36" width="10.625" style="195" customWidth="1" collapsed="1"/>
    <col min="37" max="43" width="10.625" style="195" customWidth="1"/>
    <col min="44" max="44" width="1.625" style="195" customWidth="1"/>
    <col min="45" max="46" width="9" style="195" customWidth="1"/>
    <col min="47" max="16384" width="9" style="195"/>
  </cols>
  <sheetData>
    <row r="1" spans="1:46" s="7" customFormat="1" ht="15">
      <c r="A1" s="349" t="s">
        <v>454</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c r="AJ1" s="355" t="s">
        <v>639</v>
      </c>
      <c r="AK1" s="10"/>
      <c r="AL1" s="10"/>
      <c r="AM1" s="10"/>
      <c r="AN1" s="10"/>
      <c r="AO1" s="10"/>
      <c r="AP1" s="10"/>
      <c r="AQ1" s="10"/>
      <c r="AR1" s="351"/>
    </row>
    <row r="2" spans="1:46" s="7" customFormat="1">
      <c r="A2" s="10"/>
      <c r="B2" s="10" t="str">
        <f>UserInterface!G24</f>
        <v>SPN</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6" s="7" customForma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6" s="7" customForma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6" s="7" customForma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6" s="7" customForma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6" s="7" customFormat="1">
      <c r="A7" s="10"/>
      <c r="B7" s="10"/>
      <c r="C7" s="10"/>
      <c r="D7" s="10"/>
      <c r="E7" s="10" t="s">
        <v>236</v>
      </c>
      <c r="F7" s="10"/>
      <c r="I7" s="352">
        <f>UserInterface!$G$17</f>
        <v>42460</v>
      </c>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c r="AS7" s="43"/>
      <c r="AT7" s="43"/>
    </row>
    <row r="8" spans="1:46" s="149" customFormat="1"/>
    <row r="9" spans="1:46">
      <c r="B9" s="334" t="s">
        <v>455</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c r="AR9" s="113"/>
      <c r="AS9" s="113"/>
      <c r="AT9" s="113"/>
    </row>
    <row r="10" spans="1:46" ht="27.75" customHeight="1">
      <c r="B10" s="596" t="s">
        <v>624</v>
      </c>
      <c r="C10" s="597"/>
      <c r="D10" s="597"/>
      <c r="E10" s="597"/>
      <c r="F10" s="597"/>
      <c r="G10" s="597"/>
      <c r="H10" s="597"/>
      <c r="I10" s="597"/>
      <c r="J10" s="597"/>
      <c r="K10" s="597"/>
      <c r="L10" s="597"/>
      <c r="M10" s="597"/>
      <c r="N10" s="597"/>
      <c r="O10" s="597"/>
      <c r="P10" s="597"/>
      <c r="Q10" s="597"/>
      <c r="R10" s="597"/>
      <c r="S10" s="597"/>
      <c r="T10" s="597"/>
      <c r="U10" s="597"/>
      <c r="V10" s="597"/>
      <c r="W10" s="597"/>
      <c r="X10" s="597"/>
      <c r="Y10" s="597"/>
      <c r="Z10" s="597"/>
      <c r="AA10" s="597"/>
      <c r="AB10" s="597"/>
      <c r="AC10" s="597"/>
      <c r="AD10" s="597"/>
      <c r="AE10" s="597"/>
      <c r="AF10" s="597"/>
      <c r="AG10" s="597"/>
      <c r="AH10" s="597"/>
      <c r="AI10" s="597"/>
      <c r="AJ10" s="597"/>
      <c r="AK10" s="597"/>
      <c r="AL10" s="597"/>
      <c r="AM10" s="597"/>
      <c r="AN10" s="597"/>
      <c r="AO10" s="597"/>
      <c r="AP10" s="597"/>
      <c r="AQ10" s="597"/>
      <c r="AR10" s="113"/>
      <c r="AS10" s="113"/>
      <c r="AT10" s="113"/>
    </row>
    <row r="11" spans="1:46" ht="27.75" customHeight="1">
      <c r="B11" s="536"/>
      <c r="C11" s="536"/>
      <c r="D11" s="536"/>
      <c r="E11" s="536"/>
      <c r="F11" s="536"/>
      <c r="G11" s="536"/>
      <c r="H11" s="536"/>
      <c r="I11" s="536"/>
      <c r="J11" s="536"/>
      <c r="K11" s="536"/>
      <c r="L11" s="536"/>
      <c r="M11" s="536"/>
      <c r="N11" s="536"/>
      <c r="O11" s="536"/>
      <c r="P11" s="536"/>
      <c r="Q11" s="536"/>
      <c r="R11" s="536"/>
      <c r="S11" s="536"/>
      <c r="T11" s="536"/>
      <c r="U11" s="536"/>
      <c r="V11" s="536"/>
      <c r="W11" s="536"/>
      <c r="X11" s="536"/>
      <c r="Y11" s="536"/>
      <c r="Z11" s="536"/>
      <c r="AA11" s="536"/>
      <c r="AB11" s="536"/>
      <c r="AC11" s="536"/>
      <c r="AD11" s="536"/>
      <c r="AE11" s="536"/>
      <c r="AF11" s="536"/>
      <c r="AG11" s="536"/>
      <c r="AH11" s="536"/>
      <c r="AI11" s="536"/>
      <c r="AJ11" s="536"/>
      <c r="AK11" s="536"/>
      <c r="AL11" s="536"/>
      <c r="AM11" s="536"/>
      <c r="AN11" s="536"/>
      <c r="AO11" s="536"/>
      <c r="AP11" s="536"/>
      <c r="AQ11" s="536"/>
      <c r="AR11" s="113"/>
      <c r="AS11" s="113"/>
      <c r="AT11" s="113"/>
    </row>
    <row r="12" spans="1:46" s="149" customFormat="1">
      <c r="C12" s="332" t="s">
        <v>456</v>
      </c>
      <c r="D12" s="332"/>
      <c r="E12" s="332"/>
      <c r="F12" s="332"/>
      <c r="G12" s="332"/>
      <c r="H12" s="332"/>
      <c r="I12" s="332"/>
      <c r="J12" s="332"/>
      <c r="K12" s="332"/>
      <c r="L12" s="332"/>
      <c r="M12" s="332"/>
      <c r="N12" s="332"/>
      <c r="O12" s="332"/>
      <c r="P12" s="332"/>
      <c r="Q12" s="332"/>
      <c r="R12" s="332"/>
      <c r="S12" s="332"/>
      <c r="T12" s="332"/>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row>
    <row r="13" spans="1:46" s="149" customFormat="1"/>
    <row r="14" spans="1:46" s="149" customFormat="1">
      <c r="E14" s="157" t="s">
        <v>472</v>
      </c>
      <c r="G14" s="149" t="s">
        <v>27</v>
      </c>
      <c r="AJ14" s="149">
        <f ca="1">FinancialStatements!AJ108</f>
        <v>138.12510769751592</v>
      </c>
      <c r="AK14" s="149">
        <f ca="1">FinancialStatements!AK108</f>
        <v>140.35692611011152</v>
      </c>
      <c r="AL14" s="149">
        <f ca="1">FinancialStatements!AL108</f>
        <v>151.41829562356926</v>
      </c>
      <c r="AM14" s="149">
        <f ca="1">FinancialStatements!AM108</f>
        <v>165.82158418454279</v>
      </c>
      <c r="AN14" s="149">
        <f ca="1">FinancialStatements!AN108</f>
        <v>181.8064532780698</v>
      </c>
      <c r="AO14" s="149">
        <f ca="1">FinancialStatements!AO108</f>
        <v>198.45201220525684</v>
      </c>
      <c r="AP14" s="149">
        <f ca="1">FinancialStatements!AP108</f>
        <v>216.56751860906544</v>
      </c>
      <c r="AQ14" s="149">
        <f ca="1">FinancialStatements!AQ108</f>
        <v>237.56885407166965</v>
      </c>
    </row>
    <row r="15" spans="1:46" s="149" customFormat="1">
      <c r="E15" s="149" t="s">
        <v>67</v>
      </c>
      <c r="G15" s="149" t="s">
        <v>27</v>
      </c>
      <c r="AJ15" s="149">
        <f>'Return&amp;RAV'!AJ46  * Input!AJ$57 / Input!$AG$57</f>
        <v>-136.16235427324438</v>
      </c>
      <c r="AK15" s="149">
        <f>'Return&amp;RAV'!AK46  * Input!AK$57 / Input!$AG$57</f>
        <v>-145.2888602269615</v>
      </c>
      <c r="AL15" s="149">
        <f>'Return&amp;RAV'!AL46  * Input!AL$57 / Input!$AG$57</f>
        <v>-153.75936196949382</v>
      </c>
      <c r="AM15" s="149">
        <f>'Return&amp;RAV'!AM46  * Input!AM$57 / Input!$AG$57</f>
        <v>-162.71515446423376</v>
      </c>
      <c r="AN15" s="149">
        <f>'Return&amp;RAV'!AN46  * Input!AN$57 / Input!$AG$57</f>
        <v>-160.52648369512201</v>
      </c>
      <c r="AO15" s="149">
        <f>'Return&amp;RAV'!AO46  * Input!AO$57 / Input!$AG$57</f>
        <v>-167.31549017990923</v>
      </c>
      <c r="AP15" s="149">
        <f>'Return&amp;RAV'!AP46  * Input!AP$57 / Input!$AG$57</f>
        <v>-172.7146671043258</v>
      </c>
      <c r="AQ15" s="149">
        <f>'Return&amp;RAV'!AQ46  * Input!AQ$57 / Input!$AG$57</f>
        <v>-175.97820854675942</v>
      </c>
    </row>
    <row r="16" spans="1:46" s="149" customFormat="1">
      <c r="E16" s="35" t="s">
        <v>568</v>
      </c>
      <c r="G16" s="149" t="s">
        <v>27</v>
      </c>
      <c r="AJ16" s="149">
        <f>FinancialStatements!AJ84</f>
        <v>-52.874982816179497</v>
      </c>
      <c r="AK16" s="149">
        <f>FinancialStatements!AK84</f>
        <v>-56.981248363900704</v>
      </c>
      <c r="AL16" s="149">
        <f>FinancialStatements!AL84</f>
        <v>-61.448333197978826</v>
      </c>
      <c r="AM16" s="149">
        <f>FinancialStatements!AM84</f>
        <v>-65.409928250982404</v>
      </c>
      <c r="AN16" s="149">
        <f>FinancialStatements!AN84</f>
        <v>-68.709690162181062</v>
      </c>
      <c r="AO16" s="149">
        <f>FinancialStatements!AO84</f>
        <v>-71.294790159277653</v>
      </c>
      <c r="AP16" s="149">
        <f>FinancialStatements!AP84</f>
        <v>-73.273915270778446</v>
      </c>
      <c r="AQ16" s="149">
        <f>FinancialStatements!AQ84</f>
        <v>-74.563102167299434</v>
      </c>
    </row>
    <row r="17" spans="3:43" s="149" customFormat="1">
      <c r="E17" s="35" t="s">
        <v>569</v>
      </c>
      <c r="G17" s="149" t="s">
        <v>27</v>
      </c>
      <c r="AJ17" s="149">
        <f>FinancialStatements!AJ85</f>
        <v>-8.2398990475106899</v>
      </c>
      <c r="AK17" s="149">
        <f>FinancialStatements!AK85</f>
        <v>-8.8798615678963131</v>
      </c>
      <c r="AL17" s="149">
        <f>FinancialStatements!AL85</f>
        <v>-9.5762071045765431</v>
      </c>
      <c r="AM17" s="149">
        <f>FinancialStatements!AM85</f>
        <v>-10.19379257880124</v>
      </c>
      <c r="AN17" s="149">
        <f>FinancialStatements!AN85</f>
        <v>-10.708090687633302</v>
      </c>
      <c r="AO17" s="149">
        <f>FinancialStatements!AO85</f>
        <v>-11.110701789166335</v>
      </c>
      <c r="AP17" s="149">
        <f>FinancialStatements!AP85</f>
        <v>-11.419037940265053</v>
      </c>
      <c r="AQ17" s="149">
        <f>FinancialStatements!AQ85</f>
        <v>-11.619842413731464</v>
      </c>
    </row>
    <row r="18" spans="3:43" s="149" customFormat="1"/>
    <row r="19" spans="3:43" s="149" customFormat="1">
      <c r="E19" s="149" t="s">
        <v>571</v>
      </c>
      <c r="F19" s="149" t="s">
        <v>570</v>
      </c>
      <c r="G19" s="149" t="s">
        <v>46</v>
      </c>
      <c r="AJ19" s="149">
        <f ca="1">(AJ14 - AJ16) / -(AJ16 + AJ17)</f>
        <v>3.1252631877731423</v>
      </c>
      <c r="AK19" s="149">
        <f t="shared" ref="AK19:AQ19" ca="1" si="0">(AK14 - AK16) / -(AK16 + AK17)</f>
        <v>2.9962776922278915</v>
      </c>
      <c r="AL19" s="149">
        <f t="shared" ca="1" si="0"/>
        <v>2.9970856258240288</v>
      </c>
      <c r="AM19" s="149">
        <f t="shared" ca="1" si="0"/>
        <v>3.0584673597761989</v>
      </c>
      <c r="AN19" s="149">
        <f t="shared" ca="1" si="0"/>
        <v>3.1544087578321753</v>
      </c>
      <c r="AO19" s="149">
        <f t="shared" ca="1" si="0"/>
        <v>3.2734080700992392</v>
      </c>
      <c r="AP19" s="149">
        <f t="shared" ca="1" si="0"/>
        <v>3.4222615092615536</v>
      </c>
      <c r="AQ19" s="149">
        <f t="shared" ca="1" si="0"/>
        <v>3.6217369661290295</v>
      </c>
    </row>
    <row r="20" spans="3:43" s="149" customFormat="1">
      <c r="E20" s="149" t="s">
        <v>572</v>
      </c>
      <c r="G20" s="149" t="s">
        <v>46</v>
      </c>
      <c r="AJ20" s="149">
        <f ca="1">(AJ14 - AJ16) / -AJ16</f>
        <v>3.6122960300093045</v>
      </c>
      <c r="AK20" s="149">
        <f t="shared" ref="AK20:AQ20" ca="1" si="1">(AK14 - AK16) / -AK16</f>
        <v>3.4632125504472406</v>
      </c>
      <c r="AL20" s="149">
        <f t="shared" ca="1" si="1"/>
        <v>3.4641562715089194</v>
      </c>
      <c r="AM20" s="149">
        <f t="shared" ca="1" si="1"/>
        <v>3.5351133783280413</v>
      </c>
      <c r="AN20" s="149">
        <f t="shared" ca="1" si="1"/>
        <v>3.6460089231800823</v>
      </c>
      <c r="AO20" s="149">
        <f t="shared" ca="1" si="1"/>
        <v>3.7835415710166318</v>
      </c>
      <c r="AP20" s="149">
        <f t="shared" ca="1" si="1"/>
        <v>3.9555881899957965</v>
      </c>
      <c r="AQ20" s="149">
        <f t="shared" ca="1" si="1"/>
        <v>4.186144985473236</v>
      </c>
    </row>
    <row r="21" spans="3:43" s="149" customFormat="1">
      <c r="E21" s="149" t="s">
        <v>457</v>
      </c>
      <c r="G21" s="149" t="s">
        <v>46</v>
      </c>
      <c r="AJ21" s="149">
        <f ca="1">(AJ14 + AJ15 - AJ16) / -AJ16</f>
        <v>1.0371206442013432</v>
      </c>
      <c r="AK21" s="149">
        <f t="shared" ref="AK21:AQ21" ca="1" si="2">(AK14 + AK15 - AK16) / -AK16</f>
        <v>0.91344636598073359</v>
      </c>
      <c r="AL21" s="149">
        <f t="shared" ca="1" si="2"/>
        <v>0.96190187391443249</v>
      </c>
      <c r="AM21" s="149">
        <f t="shared" ca="1" si="2"/>
        <v>1.0474917157589507</v>
      </c>
      <c r="AN21" s="149">
        <f t="shared" ca="1" si="2"/>
        <v>1.3097084200600955</v>
      </c>
      <c r="AO21" s="149">
        <f t="shared" ca="1" si="2"/>
        <v>1.4367292751095331</v>
      </c>
      <c r="AP21" s="149">
        <f t="shared" ca="1" si="2"/>
        <v>1.5984783444788586</v>
      </c>
      <c r="AQ21" s="149">
        <f t="shared" ca="1" si="2"/>
        <v>1.8260204274591134</v>
      </c>
    </row>
    <row r="22" spans="3:43" s="149" customFormat="1">
      <c r="AJ22" s="163"/>
      <c r="AK22" s="163"/>
      <c r="AL22" s="163"/>
      <c r="AM22" s="163"/>
      <c r="AN22" s="163"/>
      <c r="AO22" s="163"/>
      <c r="AP22" s="163"/>
      <c r="AQ22" s="163"/>
    </row>
    <row r="23" spans="3:43" s="149" customFormat="1"/>
    <row r="24" spans="3:43" s="149" customFormat="1"/>
    <row r="25" spans="3:43" s="149" customFormat="1"/>
    <row r="26" spans="3:43" s="149" customFormat="1"/>
    <row r="27" spans="3:43" s="149" customFormat="1"/>
    <row r="28" spans="3:43" s="149" customFormat="1">
      <c r="AJ28" s="163"/>
      <c r="AK28" s="163"/>
      <c r="AL28" s="163"/>
      <c r="AM28" s="163"/>
      <c r="AN28" s="163"/>
      <c r="AO28" s="163"/>
      <c r="AP28" s="163"/>
      <c r="AQ28" s="163"/>
    </row>
    <row r="29" spans="3:43" s="149" customFormat="1">
      <c r="C29" s="332" t="s">
        <v>458</v>
      </c>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332"/>
      <c r="AG29" s="332"/>
      <c r="AH29" s="332"/>
      <c r="AI29" s="332"/>
      <c r="AJ29" s="332"/>
      <c r="AK29" s="332"/>
      <c r="AL29" s="332"/>
      <c r="AM29" s="332"/>
      <c r="AN29" s="332"/>
      <c r="AO29" s="332"/>
      <c r="AP29" s="332"/>
      <c r="AQ29" s="332"/>
    </row>
    <row r="30" spans="3:43" s="149" customFormat="1"/>
    <row r="31" spans="3:43" s="149" customFormat="1">
      <c r="E31" s="157" t="s">
        <v>447</v>
      </c>
      <c r="G31" s="149" t="s">
        <v>27</v>
      </c>
      <c r="AJ31" s="149">
        <f ca="1">AJ14</f>
        <v>138.12510769751592</v>
      </c>
      <c r="AK31" s="149">
        <f t="shared" ref="AK31:AQ31" ca="1" si="3">AK14</f>
        <v>140.35692611011152</v>
      </c>
      <c r="AL31" s="149">
        <f t="shared" ca="1" si="3"/>
        <v>151.41829562356926</v>
      </c>
      <c r="AM31" s="149">
        <f t="shared" ca="1" si="3"/>
        <v>165.82158418454279</v>
      </c>
      <c r="AN31" s="149">
        <f t="shared" ca="1" si="3"/>
        <v>181.8064532780698</v>
      </c>
      <c r="AO31" s="149">
        <f t="shared" ca="1" si="3"/>
        <v>198.45201220525684</v>
      </c>
      <c r="AP31" s="149">
        <f t="shared" ca="1" si="3"/>
        <v>216.56751860906544</v>
      </c>
      <c r="AQ31" s="149">
        <f t="shared" ca="1" si="3"/>
        <v>237.56885407166965</v>
      </c>
    </row>
    <row r="32" spans="3:43" s="149" customFormat="1">
      <c r="E32" s="149" t="s">
        <v>448</v>
      </c>
      <c r="G32" s="149" t="s">
        <v>27</v>
      </c>
      <c r="AJ32" s="147">
        <f ca="1">FinancialStatements!AJ113</f>
        <v>108.88129229834182</v>
      </c>
      <c r="AK32" s="147">
        <f ca="1">FinancialStatements!AK113</f>
        <v>109.35043879622377</v>
      </c>
      <c r="AL32" s="147">
        <f ca="1">FinancialStatements!AL113</f>
        <v>118.72411338122242</v>
      </c>
      <c r="AM32" s="147">
        <f ca="1">FinancialStatements!AM113</f>
        <v>131.553416261286</v>
      </c>
      <c r="AN32" s="147">
        <f ca="1">FinancialStatements!AN113</f>
        <v>145.87835684533064</v>
      </c>
      <c r="AO32" s="147">
        <f ca="1">FinancialStatements!AO113</f>
        <v>160.93422885924866</v>
      </c>
      <c r="AP32" s="147">
        <f ca="1">FinancialStatements!AP113</f>
        <v>177.38968107765021</v>
      </c>
      <c r="AQ32" s="147">
        <f ca="1">FinancialStatements!AQ113</f>
        <v>196.7208475993358</v>
      </c>
    </row>
    <row r="33" spans="3:43" s="149" customFormat="1">
      <c r="E33" s="35" t="s">
        <v>569</v>
      </c>
      <c r="G33" s="149" t="s">
        <v>27</v>
      </c>
      <c r="AJ33" s="147">
        <f>AJ17</f>
        <v>-8.2398990475106899</v>
      </c>
      <c r="AK33" s="147">
        <f t="shared" ref="AK33:AQ33" si="4">AK17</f>
        <v>-8.8798615678963131</v>
      </c>
      <c r="AL33" s="147">
        <f t="shared" si="4"/>
        <v>-9.5762071045765431</v>
      </c>
      <c r="AM33" s="147">
        <f t="shared" si="4"/>
        <v>-10.19379257880124</v>
      </c>
      <c r="AN33" s="147">
        <f t="shared" si="4"/>
        <v>-10.708090687633302</v>
      </c>
      <c r="AO33" s="147">
        <f t="shared" si="4"/>
        <v>-11.110701789166335</v>
      </c>
      <c r="AP33" s="147">
        <f t="shared" si="4"/>
        <v>-11.419037940265053</v>
      </c>
      <c r="AQ33" s="147">
        <f t="shared" si="4"/>
        <v>-11.619842413731464</v>
      </c>
    </row>
    <row r="34" spans="3:43" s="149" customFormat="1">
      <c r="E34" s="157" t="s">
        <v>185</v>
      </c>
      <c r="G34" s="149" t="s">
        <v>27</v>
      </c>
      <c r="I34" s="143"/>
      <c r="AJ34" s="157">
        <f>'Finance&amp;Tax'!AJ36</f>
        <v>-1102.4204078091404</v>
      </c>
      <c r="AK34" s="157">
        <f>'Finance&amp;Tax'!AK36</f>
        <v>-1196.1619753696239</v>
      </c>
      <c r="AL34" s="157">
        <f>'Finance&amp;Tax'!AL36</f>
        <v>-1282.2878380001716</v>
      </c>
      <c r="AM34" s="157">
        <f>'Finance&amp;Tax'!AM36</f>
        <v>-1355.6683211513048</v>
      </c>
      <c r="AN34" s="157">
        <f>'Finance&amp;Tax'!AN36</f>
        <v>-1415.1717189817018</v>
      </c>
      <c r="AO34" s="157">
        <f>'Finance&amp;Tax'!AO36</f>
        <v>-1459.8593520856016</v>
      </c>
      <c r="AP34" s="157">
        <f>'Finance&amp;Tax'!AP36</f>
        <v>-1495.0050655433495</v>
      </c>
      <c r="AQ34" s="157">
        <f>'Finance&amp;Tax'!AQ36</f>
        <v>-1511.9224992187253</v>
      </c>
    </row>
    <row r="35" spans="3:43" s="149" customFormat="1">
      <c r="E35" s="157"/>
      <c r="I35" s="143"/>
      <c r="AJ35" s="157"/>
      <c r="AK35" s="157"/>
      <c r="AL35" s="157"/>
      <c r="AM35" s="157"/>
      <c r="AN35" s="157"/>
      <c r="AO35" s="157"/>
      <c r="AP35" s="157"/>
      <c r="AQ35" s="157"/>
    </row>
    <row r="36" spans="3:43" s="149" customFormat="1">
      <c r="E36" s="157" t="s">
        <v>459</v>
      </c>
      <c r="G36" s="149" t="s">
        <v>49</v>
      </c>
      <c r="I36" s="143"/>
      <c r="AJ36" s="289">
        <f ca="1">(AJ31 + AJ33) / -AJ34</f>
        <v>0.1178182186486627</v>
      </c>
      <c r="AK36" s="289">
        <f t="shared" ref="AK36:AQ36" ca="1" si="5">(AK31 + AK33) / -AK34</f>
        <v>0.1099157699788841</v>
      </c>
      <c r="AL36" s="289">
        <f t="shared" ca="1" si="5"/>
        <v>0.11061641880672171</v>
      </c>
      <c r="AM36" s="289">
        <f t="shared" ca="1" si="5"/>
        <v>0.11479783747810397</v>
      </c>
      <c r="AN36" s="289">
        <f t="shared" ca="1" si="5"/>
        <v>0.12090289842249793</v>
      </c>
      <c r="AO36" s="289">
        <f t="shared" ca="1" si="5"/>
        <v>0.12832832844372899</v>
      </c>
      <c r="AP36" s="289">
        <f t="shared" ca="1" si="5"/>
        <v>0.13722259903797757</v>
      </c>
      <c r="AQ36" s="289">
        <f t="shared" ca="1" si="5"/>
        <v>0.14944483713596143</v>
      </c>
    </row>
    <row r="37" spans="3:43" s="149" customFormat="1">
      <c r="E37" s="157" t="s">
        <v>460</v>
      </c>
      <c r="G37" s="149" t="s">
        <v>49</v>
      </c>
      <c r="I37" s="143"/>
      <c r="AJ37" s="289">
        <f ca="1">(AJ32 + AJ33) / -AJ34</f>
        <v>9.1291300975494052E-2</v>
      </c>
      <c r="AK37" s="289">
        <f t="shared" ref="AK37:AQ37" ca="1" si="6">(AK32 + AK33) / -AK34</f>
        <v>8.3994123954058336E-2</v>
      </c>
      <c r="AL37" s="289">
        <f t="shared" ca="1" si="6"/>
        <v>8.5119661157256707E-2</v>
      </c>
      <c r="AM37" s="289">
        <f t="shared" ca="1" si="6"/>
        <v>8.9520144263177739E-2</v>
      </c>
      <c r="AN37" s="289">
        <f t="shared" ca="1" si="6"/>
        <v>9.5515098517486061E-2</v>
      </c>
      <c r="AO37" s="289">
        <f t="shared" ca="1" si="6"/>
        <v>0.10262874081399667</v>
      </c>
      <c r="AP37" s="289">
        <f t="shared" ca="1" si="6"/>
        <v>0.11101677643952615</v>
      </c>
      <c r="AQ37" s="289">
        <f t="shared" ca="1" si="6"/>
        <v>0.12242757501211464</v>
      </c>
    </row>
    <row r="38" spans="3:43" s="149" customFormat="1"/>
    <row r="39" spans="3:43" s="149" customFormat="1">
      <c r="C39" s="332" t="s">
        <v>461</v>
      </c>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332"/>
      <c r="AG39" s="332"/>
      <c r="AH39" s="332"/>
      <c r="AI39" s="332"/>
      <c r="AJ39" s="354"/>
      <c r="AK39" s="354"/>
      <c r="AL39" s="354"/>
      <c r="AM39" s="354"/>
      <c r="AN39" s="354"/>
      <c r="AO39" s="354"/>
      <c r="AP39" s="354"/>
      <c r="AQ39" s="354"/>
    </row>
    <row r="40" spans="3:43" s="149" customFormat="1">
      <c r="AJ40" s="147"/>
      <c r="AK40" s="147"/>
      <c r="AL40" s="147"/>
      <c r="AM40" s="147"/>
      <c r="AN40" s="147"/>
      <c r="AO40" s="147"/>
      <c r="AP40" s="147"/>
      <c r="AQ40" s="147"/>
    </row>
    <row r="41" spans="3:43" s="149" customFormat="1">
      <c r="E41" s="149" t="s">
        <v>185</v>
      </c>
      <c r="G41" s="149" t="s">
        <v>27</v>
      </c>
      <c r="AJ41" s="147">
        <f>AJ34</f>
        <v>-1102.4204078091404</v>
      </c>
      <c r="AK41" s="147">
        <f t="shared" ref="AK41:AQ41" si="7">AK34</f>
        <v>-1196.1619753696239</v>
      </c>
      <c r="AL41" s="147">
        <f t="shared" si="7"/>
        <v>-1282.2878380001716</v>
      </c>
      <c r="AM41" s="147">
        <f t="shared" si="7"/>
        <v>-1355.6683211513048</v>
      </c>
      <c r="AN41" s="147">
        <f t="shared" si="7"/>
        <v>-1415.1717189817018</v>
      </c>
      <c r="AO41" s="147">
        <f t="shared" si="7"/>
        <v>-1459.8593520856016</v>
      </c>
      <c r="AP41" s="147">
        <f t="shared" si="7"/>
        <v>-1495.0050655433495</v>
      </c>
      <c r="AQ41" s="147">
        <f t="shared" si="7"/>
        <v>-1511.9224992187253</v>
      </c>
    </row>
    <row r="42" spans="3:43" s="149" customFormat="1">
      <c r="E42" s="149" t="s">
        <v>104</v>
      </c>
      <c r="G42" s="149" t="s">
        <v>27</v>
      </c>
      <c r="AJ42" s="147">
        <f>'Return&amp;RAV'!AJ47 * Input!AJ$57 / Input!$AG$57</f>
        <v>1671.0751656670916</v>
      </c>
      <c r="AK42" s="147">
        <f>'Return&amp;RAV'!AK47 * Input!AK$57 / Input!$AG$57</f>
        <v>1771.7992750792998</v>
      </c>
      <c r="AL42" s="147">
        <f>'Return&amp;RAV'!AL47 * Input!AL$57 / Input!$AG$57</f>
        <v>1868.2389852769618</v>
      </c>
      <c r="AM42" s="147">
        <f>'Return&amp;RAV'!AM47 * Input!AM$57 / Input!$AG$57</f>
        <v>1958.1810241861015</v>
      </c>
      <c r="AN42" s="147">
        <f>'Return&amp;RAV'!AN47 * Input!AN$57 / Input!$AG$57</f>
        <v>2053.0340818708091</v>
      </c>
      <c r="AO42" s="147">
        <f>'Return&amp;RAV'!AO47 * Input!AO$57 / Input!$AG$57</f>
        <v>2143.8733340576091</v>
      </c>
      <c r="AP42" s="147">
        <f>'Return&amp;RAV'!AP47 * Input!AP$57 / Input!$AG$57</f>
        <v>2238.7335732237284</v>
      </c>
      <c r="AQ42" s="147">
        <f>'Return&amp;RAV'!AQ47 * Input!AQ$57 / Input!$AG$57</f>
        <v>2334.1717984190764</v>
      </c>
    </row>
    <row r="43" spans="3:43" s="149" customFormat="1">
      <c r="AJ43" s="147"/>
      <c r="AK43" s="147"/>
      <c r="AL43" s="147"/>
      <c r="AM43" s="147"/>
      <c r="AN43" s="147"/>
      <c r="AO43" s="147"/>
      <c r="AP43" s="147"/>
      <c r="AQ43" s="147"/>
    </row>
    <row r="44" spans="3:43" s="149" customFormat="1">
      <c r="E44" s="149" t="s">
        <v>573</v>
      </c>
      <c r="G44" s="149" t="s">
        <v>49</v>
      </c>
      <c r="AJ44" s="402">
        <f>-AJ41 / AJ42</f>
        <v>0.65970725342510572</v>
      </c>
      <c r="AK44" s="402">
        <f t="shared" ref="AK44:AQ44" si="8">-AK41 / AK42</f>
        <v>0.67511144868037476</v>
      </c>
      <c r="AL44" s="402">
        <f t="shared" si="8"/>
        <v>0.68636178139172899</v>
      </c>
      <c r="AM44" s="402">
        <f t="shared" si="8"/>
        <v>0.69231000832253231</v>
      </c>
      <c r="AN44" s="402">
        <f t="shared" si="8"/>
        <v>0.68930746521857011</v>
      </c>
      <c r="AO44" s="402">
        <f t="shared" si="8"/>
        <v>0.68094477826383237</v>
      </c>
      <c r="AP44" s="402">
        <f t="shared" si="8"/>
        <v>0.66779052381412862</v>
      </c>
      <c r="AQ44" s="402">
        <f t="shared" si="8"/>
        <v>0.64773402722230788</v>
      </c>
    </row>
    <row r="45" spans="3:43" s="149" customFormat="1">
      <c r="AJ45" s="147"/>
      <c r="AK45" s="147"/>
      <c r="AL45" s="147"/>
      <c r="AM45" s="147"/>
      <c r="AN45" s="147"/>
      <c r="AO45" s="147"/>
      <c r="AP45" s="147"/>
      <c r="AQ45" s="147"/>
    </row>
    <row r="46" spans="3:43" s="149" customFormat="1">
      <c r="C46" s="332" t="s">
        <v>462</v>
      </c>
      <c r="D46" s="332"/>
      <c r="E46" s="332"/>
      <c r="F46" s="332"/>
      <c r="G46" s="332"/>
      <c r="H46" s="332"/>
      <c r="I46" s="332"/>
      <c r="J46" s="332"/>
      <c r="K46" s="332"/>
      <c r="L46" s="332"/>
      <c r="M46" s="332"/>
      <c r="N46" s="332"/>
      <c r="O46" s="332"/>
      <c r="P46" s="332"/>
      <c r="Q46" s="332"/>
      <c r="R46" s="332"/>
      <c r="S46" s="332"/>
      <c r="T46" s="332"/>
      <c r="U46" s="332"/>
      <c r="V46" s="332"/>
      <c r="W46" s="332"/>
      <c r="X46" s="332"/>
      <c r="Y46" s="332"/>
      <c r="Z46" s="332"/>
      <c r="AA46" s="332"/>
      <c r="AB46" s="332"/>
      <c r="AC46" s="332"/>
      <c r="AD46" s="332"/>
      <c r="AE46" s="332"/>
      <c r="AF46" s="332"/>
      <c r="AG46" s="332"/>
      <c r="AH46" s="332"/>
      <c r="AI46" s="332"/>
      <c r="AJ46" s="354"/>
      <c r="AK46" s="354"/>
      <c r="AL46" s="354"/>
      <c r="AM46" s="354"/>
      <c r="AN46" s="354"/>
      <c r="AO46" s="354"/>
      <c r="AP46" s="354"/>
      <c r="AQ46" s="354"/>
    </row>
    <row r="47" spans="3:43" s="149" customFormat="1">
      <c r="AJ47" s="147"/>
      <c r="AK47" s="147"/>
      <c r="AL47" s="147"/>
      <c r="AM47" s="147"/>
      <c r="AN47" s="147"/>
      <c r="AO47" s="147"/>
      <c r="AP47" s="147"/>
      <c r="AQ47" s="147"/>
    </row>
    <row r="48" spans="3:43" s="149" customFormat="1">
      <c r="E48" s="149" t="s">
        <v>449</v>
      </c>
      <c r="G48" s="149" t="s">
        <v>27</v>
      </c>
      <c r="AJ48" s="147">
        <f ca="1">AJ32</f>
        <v>108.88129229834182</v>
      </c>
      <c r="AK48" s="147">
        <f t="shared" ref="AK48:AQ48" ca="1" si="9">AK32</f>
        <v>109.35043879622377</v>
      </c>
      <c r="AL48" s="147">
        <f t="shared" ca="1" si="9"/>
        <v>118.72411338122242</v>
      </c>
      <c r="AM48" s="147">
        <f t="shared" ca="1" si="9"/>
        <v>131.553416261286</v>
      </c>
      <c r="AN48" s="147">
        <f t="shared" ca="1" si="9"/>
        <v>145.87835684533064</v>
      </c>
      <c r="AO48" s="147">
        <f t="shared" ca="1" si="9"/>
        <v>160.93422885924866</v>
      </c>
      <c r="AP48" s="147">
        <f t="shared" ca="1" si="9"/>
        <v>177.38968107765021</v>
      </c>
      <c r="AQ48" s="147">
        <f t="shared" ca="1" si="9"/>
        <v>196.7208475993358</v>
      </c>
    </row>
    <row r="49" spans="2:46" s="149" customFormat="1">
      <c r="E49" s="149" t="s">
        <v>575</v>
      </c>
      <c r="G49" s="149" t="s">
        <v>27</v>
      </c>
      <c r="AJ49" s="147">
        <f>FinancialStatements!AJ117</f>
        <v>-172.31083095034052</v>
      </c>
      <c r="AK49" s="147">
        <f>FinancialStatements!AK117</f>
        <v>-194.21214478881109</v>
      </c>
      <c r="AL49" s="147">
        <f>FinancialStatements!AL117</f>
        <v>-195.27376890719361</v>
      </c>
      <c r="AM49" s="147">
        <f>FinancialStatements!AM117</f>
        <v>-194.74010683361809</v>
      </c>
      <c r="AN49" s="147">
        <f>FinancialStatements!AN117</f>
        <v>-194.67366398809415</v>
      </c>
      <c r="AO49" s="147">
        <f>FinancialStatements!AO117</f>
        <v>-194.51116017398189</v>
      </c>
      <c r="AP49" s="147">
        <f>FinancialStatements!AP117</f>
        <v>-201.11635659513288</v>
      </c>
      <c r="AQ49" s="147">
        <f>FinancialStatements!AQ117</f>
        <v>-202.01843886098041</v>
      </c>
    </row>
    <row r="50" spans="2:46" s="149" customFormat="1">
      <c r="AJ50" s="147"/>
      <c r="AK50" s="147"/>
      <c r="AL50" s="147"/>
      <c r="AM50" s="147"/>
      <c r="AN50" s="147"/>
      <c r="AO50" s="147"/>
      <c r="AP50" s="147"/>
      <c r="AQ50" s="147"/>
    </row>
    <row r="51" spans="2:46" s="149" customFormat="1">
      <c r="E51" s="149" t="s">
        <v>462</v>
      </c>
      <c r="G51" s="149" t="s">
        <v>46</v>
      </c>
      <c r="AJ51" s="147">
        <f ca="1">AJ48 / -AJ49</f>
        <v>0.63188884702042381</v>
      </c>
      <c r="AK51" s="147">
        <f t="shared" ref="AK51:AQ51" ca="1" si="10">AK48 / -AK49</f>
        <v>0.56304634766859152</v>
      </c>
      <c r="AL51" s="147">
        <f t="shared" ca="1" si="10"/>
        <v>0.60798802648013417</v>
      </c>
      <c r="AM51" s="147">
        <f t="shared" ca="1" si="10"/>
        <v>0.67553324479626853</v>
      </c>
      <c r="AN51" s="147">
        <f t="shared" ca="1" si="10"/>
        <v>0.74934818535214021</v>
      </c>
      <c r="AO51" s="147">
        <f t="shared" ca="1" si="10"/>
        <v>0.82737786724062468</v>
      </c>
      <c r="AP51" s="147">
        <f t="shared" ca="1" si="10"/>
        <v>0.88202513251944581</v>
      </c>
      <c r="AQ51" s="147">
        <f t="shared" ca="1" si="10"/>
        <v>0.97377669438733672</v>
      </c>
    </row>
    <row r="52" spans="2:46" s="149" customFormat="1">
      <c r="AJ52" s="147"/>
      <c r="AK52" s="147"/>
      <c r="AL52" s="147"/>
      <c r="AM52" s="147"/>
      <c r="AN52" s="147"/>
      <c r="AO52" s="147"/>
      <c r="AP52" s="147"/>
      <c r="AQ52" s="147"/>
    </row>
    <row r="53" spans="2:46">
      <c r="B53" s="334" t="s">
        <v>463</v>
      </c>
      <c r="C53" s="334"/>
      <c r="D53" s="334"/>
      <c r="E53" s="334"/>
      <c r="F53" s="334"/>
      <c r="G53" s="334"/>
      <c r="H53" s="334"/>
      <c r="I53" s="334"/>
      <c r="J53" s="334"/>
      <c r="K53" s="334"/>
      <c r="L53" s="334"/>
      <c r="M53" s="334"/>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76"/>
      <c r="AK53" s="376"/>
      <c r="AL53" s="376"/>
      <c r="AM53" s="376"/>
      <c r="AN53" s="376"/>
      <c r="AO53" s="376"/>
      <c r="AP53" s="376"/>
      <c r="AQ53" s="376"/>
      <c r="AR53" s="113"/>
      <c r="AS53" s="113"/>
      <c r="AT53" s="113"/>
    </row>
    <row r="54" spans="2:46" ht="30" customHeight="1">
      <c r="B54" s="596" t="s">
        <v>962</v>
      </c>
      <c r="C54" s="597"/>
      <c r="D54" s="597"/>
      <c r="E54" s="597"/>
      <c r="F54" s="597"/>
      <c r="G54" s="597"/>
      <c r="H54" s="597"/>
      <c r="I54" s="597"/>
      <c r="J54" s="597"/>
      <c r="K54" s="597"/>
      <c r="L54" s="597"/>
      <c r="M54" s="597"/>
      <c r="N54" s="597"/>
      <c r="O54" s="597"/>
      <c r="P54" s="597"/>
      <c r="Q54" s="597"/>
      <c r="R54" s="597"/>
      <c r="S54" s="597"/>
      <c r="T54" s="597"/>
      <c r="U54" s="597"/>
      <c r="V54" s="597"/>
      <c r="W54" s="597"/>
      <c r="X54" s="597"/>
      <c r="Y54" s="597"/>
      <c r="Z54" s="597"/>
      <c r="AA54" s="597"/>
      <c r="AB54" s="597"/>
      <c r="AC54" s="597"/>
      <c r="AD54" s="597"/>
      <c r="AE54" s="597"/>
      <c r="AF54" s="597"/>
      <c r="AG54" s="597"/>
      <c r="AH54" s="597"/>
      <c r="AI54" s="597"/>
      <c r="AJ54" s="597"/>
      <c r="AK54" s="597"/>
      <c r="AL54" s="597"/>
      <c r="AM54" s="597"/>
      <c r="AN54" s="597"/>
      <c r="AO54" s="597"/>
      <c r="AP54" s="597"/>
      <c r="AQ54" s="597"/>
      <c r="AR54" s="113"/>
      <c r="AS54" s="113"/>
      <c r="AT54" s="113"/>
    </row>
    <row r="55" spans="2:46" ht="30" customHeight="1">
      <c r="B55" s="536"/>
      <c r="C55" s="536"/>
      <c r="D55" s="536"/>
      <c r="E55" s="536"/>
      <c r="F55" s="536"/>
      <c r="G55" s="536"/>
      <c r="H55" s="536"/>
      <c r="I55" s="536"/>
      <c r="J55" s="536"/>
      <c r="K55" s="536"/>
      <c r="L55" s="536"/>
      <c r="M55" s="536"/>
      <c r="N55" s="536"/>
      <c r="O55" s="536"/>
      <c r="P55" s="536"/>
      <c r="Q55" s="536"/>
      <c r="R55" s="536"/>
      <c r="S55" s="536"/>
      <c r="T55" s="536"/>
      <c r="U55" s="536"/>
      <c r="V55" s="536"/>
      <c r="W55" s="536"/>
      <c r="X55" s="536"/>
      <c r="Y55" s="536"/>
      <c r="Z55" s="536"/>
      <c r="AA55" s="536"/>
      <c r="AB55" s="536"/>
      <c r="AC55" s="536"/>
      <c r="AD55" s="536"/>
      <c r="AE55" s="536"/>
      <c r="AF55" s="536"/>
      <c r="AG55" s="536"/>
      <c r="AH55" s="536"/>
      <c r="AI55" s="536"/>
      <c r="AJ55" s="536"/>
      <c r="AK55" s="536"/>
      <c r="AL55" s="536"/>
      <c r="AM55" s="536"/>
      <c r="AN55" s="536"/>
      <c r="AO55" s="536"/>
      <c r="AP55" s="536"/>
      <c r="AQ55" s="536"/>
      <c r="AR55" s="113"/>
      <c r="AS55" s="113"/>
      <c r="AT55" s="113"/>
    </row>
    <row r="56" spans="2:46" s="149" customFormat="1">
      <c r="C56" s="332" t="s">
        <v>464</v>
      </c>
      <c r="D56" s="332"/>
      <c r="E56" s="332"/>
      <c r="F56" s="332"/>
      <c r="G56" s="332"/>
      <c r="H56" s="332"/>
      <c r="I56" s="332"/>
      <c r="J56" s="332"/>
      <c r="K56" s="332"/>
      <c r="L56" s="332"/>
      <c r="M56" s="332"/>
      <c r="N56" s="332"/>
      <c r="O56" s="332"/>
      <c r="P56" s="332"/>
      <c r="Q56" s="332"/>
      <c r="R56" s="332"/>
      <c r="S56" s="332"/>
      <c r="T56" s="332"/>
      <c r="U56" s="332"/>
      <c r="V56" s="332"/>
      <c r="W56" s="332"/>
      <c r="X56" s="332"/>
      <c r="Y56" s="332"/>
      <c r="Z56" s="332"/>
      <c r="AA56" s="332"/>
      <c r="AB56" s="332"/>
      <c r="AC56" s="332"/>
      <c r="AD56" s="332"/>
      <c r="AE56" s="332"/>
      <c r="AF56" s="332"/>
      <c r="AG56" s="332"/>
      <c r="AH56" s="332"/>
      <c r="AI56" s="332"/>
      <c r="AJ56" s="354"/>
      <c r="AK56" s="354"/>
      <c r="AL56" s="354"/>
      <c r="AM56" s="354"/>
      <c r="AN56" s="354"/>
      <c r="AO56" s="354"/>
      <c r="AP56" s="354"/>
      <c r="AQ56" s="354"/>
    </row>
    <row r="57" spans="2:46" s="149" customFormat="1">
      <c r="AJ57" s="147"/>
      <c r="AK57" s="147"/>
      <c r="AL57" s="147"/>
      <c r="AM57" s="147"/>
      <c r="AN57" s="147"/>
      <c r="AO57" s="147"/>
      <c r="AP57" s="147"/>
      <c r="AQ57" s="147"/>
    </row>
    <row r="58" spans="2:46" s="149" customFormat="1">
      <c r="E58" s="149" t="s">
        <v>465</v>
      </c>
      <c r="G58" s="149" t="s">
        <v>27</v>
      </c>
      <c r="AJ58" s="147">
        <f>AJ42 + AJ41</f>
        <v>568.65475785795115</v>
      </c>
      <c r="AK58" s="147">
        <f t="shared" ref="AK58:AQ58" si="11">AK42 + AK41</f>
        <v>575.63729970967597</v>
      </c>
      <c r="AL58" s="147">
        <f t="shared" si="11"/>
        <v>585.95114727679015</v>
      </c>
      <c r="AM58" s="147">
        <f t="shared" si="11"/>
        <v>602.51270303479669</v>
      </c>
      <c r="AN58" s="147">
        <f t="shared" si="11"/>
        <v>637.86236288910732</v>
      </c>
      <c r="AO58" s="147">
        <f t="shared" si="11"/>
        <v>684.01398197200751</v>
      </c>
      <c r="AP58" s="147">
        <f t="shared" si="11"/>
        <v>743.72850768037893</v>
      </c>
      <c r="AQ58" s="147">
        <f t="shared" si="11"/>
        <v>822.24929920035106</v>
      </c>
    </row>
    <row r="59" spans="2:46" s="149" customFormat="1">
      <c r="E59" s="149" t="s">
        <v>441</v>
      </c>
      <c r="G59" s="149" t="s">
        <v>27</v>
      </c>
      <c r="AJ59" s="147">
        <f ca="1">FinancialStatements!AJ75</f>
        <v>209.55818740385769</v>
      </c>
      <c r="AK59" s="147">
        <f ca="1">FinancialStatements!AK75</f>
        <v>216.58745124444459</v>
      </c>
      <c r="AL59" s="147">
        <f ca="1">FinancialStatements!AL75</f>
        <v>232.89582472824478</v>
      </c>
      <c r="AM59" s="147">
        <f ca="1">FinancialStatements!AM75</f>
        <v>252.76022087441083</v>
      </c>
      <c r="AN59" s="147">
        <f ca="1">FinancialStatements!AN75</f>
        <v>274.29251446981732</v>
      </c>
      <c r="AO59" s="147">
        <f ca="1">FinancialStatements!AO75</f>
        <v>296.12776135982341</v>
      </c>
      <c r="AP59" s="147">
        <f ca="1">FinancialStatements!AP75</f>
        <v>319.85866805200203</v>
      </c>
      <c r="AQ59" s="147">
        <f ca="1">FinancialStatements!AQ75</f>
        <v>345.83577958171247</v>
      </c>
    </row>
    <row r="60" spans="2:46" s="149" customFormat="1">
      <c r="E60" s="149" t="s">
        <v>567</v>
      </c>
      <c r="G60" s="149" t="s">
        <v>27</v>
      </c>
      <c r="AJ60" s="147">
        <f ca="1">FinancialStatements!AJ91</f>
        <v>73.686032778614816</v>
      </c>
      <c r="AK60" s="147">
        <f ca="1">FinancialStatements!AK91</f>
        <v>71.425058488590665</v>
      </c>
      <c r="AL60" s="147">
        <f ca="1">FinancialStatements!AL91</f>
        <v>79.900591337535857</v>
      </c>
      <c r="AM60" s="147">
        <f ca="1">FinancialStatements!AM91</f>
        <v>89.867945316494257</v>
      </c>
      <c r="AN60" s="147">
        <f ca="1">FinancialStatements!AN91</f>
        <v>102.29510546701192</v>
      </c>
      <c r="AO60" s="147">
        <f ca="1">FinancialStatements!AO91</f>
        <v>117.34999181141484</v>
      </c>
      <c r="AP60" s="147">
        <f ca="1">FinancialStatements!AP91</f>
        <v>130.89538732916841</v>
      </c>
      <c r="AQ60" s="147">
        <f ca="1">FinancialStatements!AQ91</f>
        <v>147.92483633117854</v>
      </c>
    </row>
    <row r="61" spans="2:46" s="149" customFormat="1">
      <c r="AJ61" s="147"/>
      <c r="AK61" s="147"/>
      <c r="AL61" s="147"/>
      <c r="AM61" s="147"/>
      <c r="AN61" s="147"/>
      <c r="AO61" s="147"/>
      <c r="AP61" s="147"/>
      <c r="AQ61" s="147"/>
    </row>
    <row r="62" spans="2:46" s="149" customFormat="1">
      <c r="E62" s="149" t="s">
        <v>466</v>
      </c>
      <c r="G62" s="149" t="s">
        <v>46</v>
      </c>
      <c r="AJ62" s="147">
        <f ca="1">AJ58 / AJ59</f>
        <v>2.7135888361262039</v>
      </c>
      <c r="AK62" s="147">
        <f t="shared" ref="AK62:AQ62" ca="1" si="12">AK58 / AK59</f>
        <v>2.6577592395230742</v>
      </c>
      <c r="AL62" s="147">
        <f t="shared" ca="1" si="12"/>
        <v>2.5159366766686739</v>
      </c>
      <c r="AM62" s="147">
        <f t="shared" ca="1" si="12"/>
        <v>2.3837323015086604</v>
      </c>
      <c r="AN62" s="147">
        <f t="shared" ca="1" si="12"/>
        <v>2.3254822105591826</v>
      </c>
      <c r="AO62" s="147">
        <f t="shared" ca="1" si="12"/>
        <v>2.3098610506188422</v>
      </c>
      <c r="AP62" s="147">
        <f t="shared" ca="1" si="12"/>
        <v>2.3251785302859602</v>
      </c>
      <c r="AQ62" s="147">
        <f t="shared" ca="1" si="12"/>
        <v>2.3775715173104981</v>
      </c>
    </row>
    <row r="63" spans="2:46" s="149" customFormat="1">
      <c r="E63" s="149" t="s">
        <v>574</v>
      </c>
      <c r="G63" s="149" t="s">
        <v>46</v>
      </c>
      <c r="AJ63" s="147">
        <f ca="1">AJ58 / AJ60</f>
        <v>7.7172665756947403</v>
      </c>
      <c r="AK63" s="147">
        <f t="shared" ref="AK63:AQ63" ca="1" si="13">AK58 / AK60</f>
        <v>8.0593185625690094</v>
      </c>
      <c r="AL63" s="147">
        <f t="shared" ca="1" si="13"/>
        <v>7.3335020112863782</v>
      </c>
      <c r="AM63" s="147">
        <f t="shared" ca="1" si="13"/>
        <v>6.7044228163099238</v>
      </c>
      <c r="AN63" s="147">
        <f t="shared" ca="1" si="13"/>
        <v>6.2355120509143509</v>
      </c>
      <c r="AO63" s="147">
        <f t="shared" ca="1" si="13"/>
        <v>5.8288370660582549</v>
      </c>
      <c r="AP63" s="147">
        <f t="shared" ca="1" si="13"/>
        <v>5.6818542108752235</v>
      </c>
      <c r="AQ63" s="147">
        <f t="shared" ca="1" si="13"/>
        <v>5.5585614937539951</v>
      </c>
    </row>
    <row r="64" spans="2:46" s="149" customFormat="1">
      <c r="AJ64" s="157"/>
      <c r="AK64" s="157"/>
      <c r="AL64" s="157"/>
      <c r="AM64" s="157"/>
      <c r="AN64" s="157"/>
      <c r="AO64" s="157"/>
      <c r="AP64" s="157"/>
      <c r="AQ64" s="157"/>
    </row>
    <row r="65" spans="2:45" s="149" customFormat="1">
      <c r="C65" s="332" t="s">
        <v>467</v>
      </c>
      <c r="D65" s="332"/>
      <c r="E65" s="332"/>
      <c r="F65" s="332"/>
      <c r="G65" s="332"/>
      <c r="H65" s="332"/>
      <c r="I65" s="332"/>
      <c r="J65" s="332"/>
      <c r="K65" s="332"/>
      <c r="L65" s="332"/>
      <c r="M65" s="332"/>
      <c r="N65" s="332"/>
      <c r="O65" s="332"/>
      <c r="P65" s="332"/>
      <c r="Q65" s="332"/>
      <c r="R65" s="332"/>
      <c r="S65" s="332"/>
      <c r="T65" s="332"/>
      <c r="U65" s="332"/>
      <c r="V65" s="332"/>
      <c r="W65" s="332"/>
      <c r="X65" s="332"/>
      <c r="Y65" s="332"/>
      <c r="Z65" s="332"/>
      <c r="AA65" s="332"/>
      <c r="AB65" s="332"/>
      <c r="AC65" s="332"/>
      <c r="AD65" s="332"/>
      <c r="AE65" s="332"/>
      <c r="AF65" s="332"/>
      <c r="AG65" s="332"/>
      <c r="AH65" s="332"/>
      <c r="AI65" s="332"/>
      <c r="AJ65" s="399"/>
      <c r="AK65" s="399"/>
      <c r="AL65" s="399"/>
      <c r="AM65" s="399"/>
      <c r="AN65" s="399"/>
      <c r="AO65" s="399"/>
      <c r="AP65" s="399"/>
      <c r="AQ65" s="399"/>
    </row>
    <row r="66" spans="2:45" s="149" customFormat="1">
      <c r="AJ66" s="157"/>
      <c r="AK66" s="157"/>
      <c r="AL66" s="157"/>
      <c r="AM66" s="157"/>
      <c r="AN66" s="157"/>
      <c r="AO66" s="157"/>
      <c r="AP66" s="157"/>
      <c r="AQ66" s="157"/>
    </row>
    <row r="67" spans="2:45" s="149" customFormat="1">
      <c r="E67" s="149" t="s">
        <v>567</v>
      </c>
      <c r="G67" s="149" t="s">
        <v>27</v>
      </c>
      <c r="AJ67" s="147">
        <f ca="1">AJ60</f>
        <v>73.686032778614816</v>
      </c>
      <c r="AK67" s="147">
        <f t="shared" ref="AK67:AQ67" ca="1" si="14">AK60</f>
        <v>71.425058488590665</v>
      </c>
      <c r="AL67" s="147">
        <f t="shared" ca="1" si="14"/>
        <v>79.900591337535857</v>
      </c>
      <c r="AM67" s="147">
        <f t="shared" ca="1" si="14"/>
        <v>89.867945316494257</v>
      </c>
      <c r="AN67" s="147">
        <f t="shared" ca="1" si="14"/>
        <v>102.29510546701192</v>
      </c>
      <c r="AO67" s="147">
        <f t="shared" ca="1" si="14"/>
        <v>117.34999181141484</v>
      </c>
      <c r="AP67" s="147">
        <f t="shared" ca="1" si="14"/>
        <v>130.89538732916841</v>
      </c>
      <c r="AQ67" s="147">
        <f t="shared" ca="1" si="14"/>
        <v>147.92483633117854</v>
      </c>
    </row>
    <row r="68" spans="2:45" s="149" customFormat="1">
      <c r="E68" s="149" t="s">
        <v>2</v>
      </c>
      <c r="G68" s="149" t="s">
        <v>27</v>
      </c>
      <c r="I68" s="143"/>
      <c r="AJ68" s="147">
        <f>FinancialStatements!AJ112</f>
        <v>-29.2438153991741</v>
      </c>
      <c r="AK68" s="147">
        <f>FinancialStatements!AK112</f>
        <v>-31.006487313887746</v>
      </c>
      <c r="AL68" s="147">
        <f>FinancialStatements!AL112</f>
        <v>-32.694182242346834</v>
      </c>
      <c r="AM68" s="147">
        <f>FinancialStatements!AM112</f>
        <v>-34.268167923256776</v>
      </c>
      <c r="AN68" s="147">
        <f>FinancialStatements!AN112</f>
        <v>-35.92809643273916</v>
      </c>
      <c r="AO68" s="147">
        <f>FinancialStatements!AO112</f>
        <v>-37.517783346008159</v>
      </c>
      <c r="AP68" s="147">
        <f>FinancialStatements!AP112</f>
        <v>-39.17783753141525</v>
      </c>
      <c r="AQ68" s="147">
        <f>FinancialStatements!AQ112</f>
        <v>-40.848006472333836</v>
      </c>
    </row>
    <row r="69" spans="2:45" s="149" customFormat="1">
      <c r="AJ69" s="147"/>
      <c r="AK69" s="147"/>
      <c r="AL69" s="147"/>
      <c r="AM69" s="147"/>
      <c r="AN69" s="147"/>
      <c r="AO69" s="147"/>
      <c r="AP69" s="147"/>
      <c r="AQ69" s="147"/>
    </row>
    <row r="70" spans="2:45" s="157" customFormat="1">
      <c r="E70" s="157" t="s">
        <v>467</v>
      </c>
      <c r="G70" s="149" t="s">
        <v>46</v>
      </c>
      <c r="AJ70" s="157">
        <f ca="1">AJ67 / -AJ68</f>
        <v>2.5197133743600313</v>
      </c>
      <c r="AK70" s="157">
        <f t="shared" ref="AK70:AQ70" ca="1" si="15">AK67 / -AK68</f>
        <v>2.3035520846180959</v>
      </c>
      <c r="AL70" s="157">
        <f t="shared" ca="1" si="15"/>
        <v>2.4438779580192516</v>
      </c>
      <c r="AM70" s="157">
        <f t="shared" ca="1" si="15"/>
        <v>2.6224905141632502</v>
      </c>
      <c r="AN70" s="157">
        <f t="shared" ca="1" si="15"/>
        <v>2.8472175156431727</v>
      </c>
      <c r="AO70" s="157">
        <f t="shared" ca="1" si="15"/>
        <v>3.1278498180223839</v>
      </c>
      <c r="AP70" s="157">
        <f t="shared" ca="1" si="15"/>
        <v>3.3410569744746192</v>
      </c>
      <c r="AQ70" s="157">
        <f t="shared" ca="1" si="15"/>
        <v>3.6213477500148592</v>
      </c>
      <c r="AS70" s="149"/>
    </row>
    <row r="71" spans="2:45" s="149" customFormat="1">
      <c r="AJ71" s="267"/>
      <c r="AK71" s="267"/>
      <c r="AL71" s="267"/>
      <c r="AM71" s="267"/>
      <c r="AN71" s="267"/>
      <c r="AO71" s="267"/>
      <c r="AP71" s="267"/>
      <c r="AQ71" s="267"/>
    </row>
    <row r="72" spans="2:45">
      <c r="B72" s="334" t="s">
        <v>53</v>
      </c>
      <c r="C72" s="334"/>
      <c r="D72" s="334"/>
      <c r="E72" s="334"/>
      <c r="F72" s="334"/>
      <c r="G72" s="334"/>
      <c r="H72" s="334"/>
      <c r="I72" s="334"/>
      <c r="J72" s="334"/>
      <c r="K72" s="334"/>
      <c r="L72" s="334"/>
      <c r="M72" s="334"/>
      <c r="N72" s="334"/>
      <c r="O72" s="334"/>
      <c r="P72" s="334"/>
      <c r="Q72" s="334"/>
      <c r="R72" s="334"/>
      <c r="S72" s="334"/>
      <c r="T72" s="334"/>
      <c r="U72" s="334"/>
      <c r="V72" s="334"/>
      <c r="W72" s="334"/>
      <c r="X72" s="334"/>
      <c r="Y72" s="334"/>
      <c r="Z72" s="334"/>
      <c r="AA72" s="334"/>
      <c r="AB72" s="334"/>
      <c r="AC72" s="334"/>
      <c r="AD72" s="334"/>
      <c r="AE72" s="334"/>
      <c r="AF72" s="334"/>
      <c r="AG72" s="334"/>
      <c r="AH72" s="334"/>
      <c r="AI72" s="334"/>
      <c r="AJ72" s="334"/>
      <c r="AK72" s="334"/>
      <c r="AL72" s="334"/>
      <c r="AM72" s="334"/>
      <c r="AN72" s="334"/>
      <c r="AO72" s="334"/>
      <c r="AP72" s="334"/>
      <c r="AQ72" s="334"/>
    </row>
    <row r="73" spans="2:45"/>
    <row r="74" spans="2:45" hidden="1"/>
    <row r="75" spans="2:45" hidden="1"/>
    <row r="76" spans="2:45" hidden="1"/>
    <row r="77" spans="2:45" hidden="1"/>
    <row r="78" spans="2:45" hidden="1"/>
    <row r="79" spans="2:45" hidden="1"/>
    <row r="80" spans="2:45"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sheetData>
  <mergeCells count="2">
    <mergeCell ref="B10:AQ10"/>
    <mergeCell ref="B54:AQ54"/>
  </mergeCells>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1249" r:id="rId4" name="Drop Down 1">
              <controlPr defaultSize="0" autoLine="0" autoPict="0">
                <anchor moveWithCells="1">
                  <from>
                    <xdr:col>4</xdr:col>
                    <xdr:colOff>600075</xdr:colOff>
                    <xdr:row>1</xdr:row>
                    <xdr:rowOff>0</xdr:rowOff>
                  </from>
                  <to>
                    <xdr:col>4</xdr:col>
                    <xdr:colOff>3038475</xdr:colOff>
                    <xdr:row>2</xdr:row>
                    <xdr:rowOff>9525</xdr:rowOff>
                  </to>
                </anchor>
              </controlPr>
            </control>
          </mc:Choice>
        </mc:AlternateContent>
        <mc:AlternateContent xmlns:mc="http://schemas.openxmlformats.org/markup-compatibility/2006">
          <mc:Choice Requires="x14">
            <control shapeId="181250" r:id="rId5" name="Drop Down 2">
              <controlPr defaultSize="0" autoLine="0" autoPict="0">
                <anchor moveWithCells="1">
                  <from>
                    <xdr:col>4</xdr:col>
                    <xdr:colOff>3305175</xdr:colOff>
                    <xdr:row>1</xdr:row>
                    <xdr:rowOff>9525</xdr:rowOff>
                  </from>
                  <to>
                    <xdr:col>8</xdr:col>
                    <xdr:colOff>609600</xdr:colOff>
                    <xdr:row>2</xdr:row>
                    <xdr:rowOff>19050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FF99FF"/>
    <pageSetUpPr fitToPage="1"/>
  </sheetPr>
  <dimension ref="A1:AS348"/>
  <sheetViews>
    <sheetView zoomScale="85" zoomScaleNormal="85" workbookViewId="0">
      <pane xSplit="10" ySplit="7" topLeftCell="AJ8" activePane="bottomRight" state="frozen"/>
      <selection activeCell="F444" sqref="F444"/>
      <selection pane="topRight" activeCell="F444" sqref="F444"/>
      <selection pane="bottomLeft" activeCell="F444" sqref="F444"/>
      <selection pane="bottomRight" activeCell="AJ60" sqref="AJ60:AQ64"/>
    </sheetView>
  </sheetViews>
  <sheetFormatPr defaultColWidth="9" defaultRowHeight="12.75" customHeight="1" zeroHeight="1" outlineLevelCol="1"/>
  <cols>
    <col min="1" max="4" width="1.625" style="195" customWidth="1"/>
    <col min="5" max="5" width="51.5" style="195" customWidth="1"/>
    <col min="6" max="6" width="1.625" style="195" customWidth="1"/>
    <col min="7" max="7" width="12.625" style="195" bestFit="1" customWidth="1"/>
    <col min="8" max="8" width="1.625" style="195" customWidth="1"/>
    <col min="9" max="9" width="10.625" style="195" customWidth="1"/>
    <col min="10" max="10" width="1" style="195" customWidth="1"/>
    <col min="11" max="34" width="10.625" style="195" hidden="1" customWidth="1" outlineLevel="1"/>
    <col min="35" max="35" width="2.5" style="195" hidden="1" customWidth="1" outlineLevel="1"/>
    <col min="36" max="36" width="10.625" style="195" customWidth="1" collapsed="1"/>
    <col min="37" max="43" width="10.625" style="195" customWidth="1"/>
    <col min="44" max="44" width="1.625" style="195" customWidth="1"/>
    <col min="45" max="45" width="9" style="195" customWidth="1"/>
    <col min="46" max="16384" width="9" style="195"/>
  </cols>
  <sheetData>
    <row r="1" spans="1:45" s="7" customFormat="1" ht="15">
      <c r="A1" s="349" t="s">
        <v>547</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c r="AJ1" s="355" t="s">
        <v>639</v>
      </c>
      <c r="AK1" s="10"/>
      <c r="AL1" s="10"/>
      <c r="AM1" s="10"/>
      <c r="AN1" s="10"/>
      <c r="AO1" s="10"/>
      <c r="AP1" s="10"/>
      <c r="AQ1" s="10"/>
      <c r="AR1" s="351"/>
    </row>
    <row r="2" spans="1:45" s="7" customFormat="1">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5" s="7" customForma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5" s="7" customForma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5" s="7" customForma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5" s="7" customForma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5" s="7" customFormat="1">
      <c r="A7" s="10"/>
      <c r="B7" s="10"/>
      <c r="C7" s="10"/>
      <c r="D7" s="10"/>
      <c r="E7" s="10" t="s">
        <v>236</v>
      </c>
      <c r="F7" s="10"/>
      <c r="I7" s="352">
        <f>UserInterface!$G$17</f>
        <v>42460</v>
      </c>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c r="AS7" s="43"/>
    </row>
    <row r="8" spans="1:45" s="149" customFormat="1"/>
    <row r="9" spans="1:45">
      <c r="B9" s="334"/>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c r="AR9" s="113"/>
      <c r="AS9" s="113"/>
    </row>
    <row r="10" spans="1:45" ht="60.75" customHeight="1">
      <c r="B10" s="598" t="s">
        <v>963</v>
      </c>
      <c r="C10" s="599"/>
      <c r="D10" s="599"/>
      <c r="E10" s="599"/>
      <c r="F10" s="599"/>
      <c r="G10" s="599"/>
      <c r="H10" s="599"/>
      <c r="I10" s="599"/>
      <c r="J10" s="599"/>
      <c r="K10" s="599"/>
      <c r="L10" s="599"/>
      <c r="M10" s="599"/>
      <c r="N10" s="599"/>
      <c r="O10" s="599"/>
      <c r="P10" s="599"/>
      <c r="Q10" s="599"/>
      <c r="R10" s="599"/>
      <c r="S10" s="599"/>
      <c r="T10" s="599"/>
      <c r="U10" s="599"/>
      <c r="V10" s="599"/>
      <c r="W10" s="599"/>
      <c r="X10" s="599"/>
      <c r="Y10" s="599"/>
      <c r="Z10" s="599"/>
      <c r="AA10" s="599"/>
      <c r="AB10" s="599"/>
      <c r="AC10" s="599"/>
      <c r="AD10" s="599"/>
      <c r="AE10" s="599"/>
      <c r="AF10" s="599"/>
      <c r="AG10" s="599"/>
      <c r="AH10" s="599"/>
      <c r="AI10" s="599"/>
      <c r="AJ10" s="599"/>
      <c r="AK10" s="599"/>
      <c r="AL10" s="599"/>
      <c r="AM10" s="599"/>
      <c r="AN10" s="599"/>
      <c r="AO10" s="599"/>
      <c r="AP10" s="599"/>
      <c r="AQ10" s="599"/>
      <c r="AR10" s="113"/>
      <c r="AS10" s="113"/>
    </row>
    <row r="11" spans="1:45" s="149" customFormat="1"/>
    <row r="12" spans="1:45" s="149" customFormat="1">
      <c r="D12" s="198" t="s">
        <v>877</v>
      </c>
      <c r="E12" s="198"/>
      <c r="F12" s="198"/>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c r="AD12" s="198"/>
      <c r="AE12" s="198"/>
      <c r="AF12" s="198"/>
      <c r="AG12" s="198"/>
      <c r="AH12" s="198"/>
      <c r="AI12" s="198"/>
      <c r="AJ12" s="198"/>
      <c r="AK12" s="198"/>
      <c r="AL12" s="198"/>
      <c r="AM12" s="198"/>
      <c r="AN12" s="198"/>
      <c r="AO12" s="198"/>
      <c r="AP12" s="198"/>
      <c r="AQ12" s="198"/>
      <c r="AR12" s="198"/>
    </row>
    <row r="13" spans="1:45" s="149" customFormat="1">
      <c r="AJ13" s="163"/>
      <c r="AK13" s="163"/>
      <c r="AL13" s="163"/>
      <c r="AM13" s="163"/>
      <c r="AN13" s="163"/>
      <c r="AO13" s="163"/>
      <c r="AP13" s="163"/>
      <c r="AQ13" s="163"/>
    </row>
    <row r="14" spans="1:45" s="149" customFormat="1">
      <c r="E14" s="149" t="str">
        <f>UserInterface!E49&amp;" base revenue for 2014/15"</f>
        <v>ENWL base revenue for 2014/15</v>
      </c>
      <c r="G14" s="152" t="s">
        <v>844</v>
      </c>
      <c r="I14" s="227"/>
      <c r="AJ14" s="163"/>
      <c r="AK14" s="163"/>
      <c r="AL14" s="163"/>
      <c r="AM14" s="163"/>
      <c r="AN14" s="163"/>
      <c r="AO14" s="163"/>
      <c r="AP14" s="163"/>
      <c r="AQ14" s="163"/>
    </row>
    <row r="15" spans="1:45" s="149" customFormat="1">
      <c r="E15" s="149" t="str">
        <f>UserInterface!E50&amp;" base revenue for 2014/15"</f>
        <v>NPgN base revenue for 2014/15</v>
      </c>
      <c r="G15" s="152" t="s">
        <v>844</v>
      </c>
      <c r="I15" s="227"/>
      <c r="AJ15" s="163"/>
      <c r="AK15" s="163"/>
      <c r="AL15" s="163"/>
      <c r="AM15" s="163"/>
      <c r="AN15" s="163"/>
      <c r="AO15" s="163"/>
      <c r="AP15" s="163"/>
      <c r="AQ15" s="163"/>
    </row>
    <row r="16" spans="1:45" s="149" customFormat="1">
      <c r="E16" s="149" t="str">
        <f>UserInterface!E51&amp;" base revenue for 2014/15"</f>
        <v>NPgY base revenue for 2014/15</v>
      </c>
      <c r="G16" s="152" t="s">
        <v>844</v>
      </c>
      <c r="I16" s="227"/>
      <c r="AJ16" s="163"/>
      <c r="AK16" s="163"/>
      <c r="AL16" s="163"/>
      <c r="AM16" s="163"/>
      <c r="AN16" s="163"/>
      <c r="AO16" s="163"/>
      <c r="AP16" s="163"/>
      <c r="AQ16" s="163"/>
    </row>
    <row r="17" spans="4:45" s="149" customFormat="1">
      <c r="E17" s="149" t="str">
        <f>UserInterface!E52&amp;" base revenue for 2014/15"</f>
        <v>WMID base revenue for 2014/15</v>
      </c>
      <c r="G17" s="152" t="s">
        <v>844</v>
      </c>
      <c r="I17" s="227"/>
      <c r="AJ17" s="163"/>
      <c r="AK17" s="163"/>
      <c r="AL17" s="163"/>
      <c r="AM17" s="163"/>
      <c r="AN17" s="163"/>
      <c r="AO17" s="163"/>
      <c r="AP17" s="163"/>
      <c r="AQ17" s="163"/>
    </row>
    <row r="18" spans="4:45" s="149" customFormat="1">
      <c r="E18" s="149" t="str">
        <f>UserInterface!E53&amp;" base revenue for 2014/15"</f>
        <v>EMID base revenue for 2014/15</v>
      </c>
      <c r="G18" s="152" t="s">
        <v>844</v>
      </c>
      <c r="I18" s="227"/>
      <c r="AJ18" s="163"/>
      <c r="AK18" s="163"/>
      <c r="AL18" s="163"/>
      <c r="AM18" s="163"/>
      <c r="AN18" s="163"/>
      <c r="AO18" s="163"/>
      <c r="AP18" s="163"/>
      <c r="AQ18" s="163"/>
    </row>
    <row r="19" spans="4:45" s="149" customFormat="1">
      <c r="E19" s="149" t="str">
        <f>UserInterface!E54&amp;" base revenue for 2014/15"</f>
        <v>SWALES base revenue for 2014/15</v>
      </c>
      <c r="G19" s="152" t="s">
        <v>844</v>
      </c>
      <c r="I19" s="227"/>
      <c r="AJ19" s="163"/>
      <c r="AK19" s="163"/>
      <c r="AL19" s="163"/>
      <c r="AM19" s="163"/>
      <c r="AN19" s="163"/>
      <c r="AO19" s="163"/>
      <c r="AP19" s="163"/>
      <c r="AQ19" s="163"/>
    </row>
    <row r="20" spans="4:45" s="149" customFormat="1">
      <c r="E20" s="149" t="str">
        <f>UserInterface!E55&amp;" base revenue for 2014/15"</f>
        <v>SWEST base revenue for 2014/15</v>
      </c>
      <c r="G20" s="152" t="s">
        <v>844</v>
      </c>
      <c r="I20" s="227"/>
      <c r="AJ20" s="163"/>
      <c r="AK20" s="163"/>
      <c r="AL20" s="163"/>
      <c r="AM20" s="163"/>
      <c r="AN20" s="163"/>
      <c r="AO20" s="163"/>
      <c r="AP20" s="163"/>
      <c r="AQ20" s="163"/>
    </row>
    <row r="21" spans="4:45" s="149" customFormat="1">
      <c r="E21" s="149" t="str">
        <f>UserInterface!E56&amp;" base revenue for 2014/15"</f>
        <v>LPN base revenue for 2014/15</v>
      </c>
      <c r="G21" s="152" t="s">
        <v>844</v>
      </c>
      <c r="I21" s="227">
        <v>433.70143343062125</v>
      </c>
      <c r="AJ21" s="163"/>
      <c r="AK21" s="163"/>
      <c r="AL21" s="163"/>
      <c r="AM21" s="309"/>
      <c r="AN21" s="309"/>
      <c r="AO21" s="309"/>
      <c r="AP21" s="309"/>
      <c r="AQ21" s="309"/>
    </row>
    <row r="22" spans="4:45" s="149" customFormat="1">
      <c r="E22" s="149" t="str">
        <f>UserInterface!E57&amp;" base revenue for 2014/15"</f>
        <v>SPN base revenue for 2014/15</v>
      </c>
      <c r="G22" s="152" t="s">
        <v>844</v>
      </c>
      <c r="I22" s="227">
        <v>371.85277358490566</v>
      </c>
      <c r="AJ22" s="163"/>
      <c r="AK22" s="163"/>
      <c r="AL22" s="163"/>
      <c r="AM22" s="309"/>
      <c r="AN22" s="309"/>
      <c r="AO22" s="309"/>
      <c r="AP22" s="309"/>
      <c r="AQ22" s="309"/>
    </row>
    <row r="23" spans="4:45" s="149" customFormat="1">
      <c r="E23" s="149" t="str">
        <f>UserInterface!E58&amp;" base revenue for 2014/15"</f>
        <v>EPN base revenue for 2014/15</v>
      </c>
      <c r="G23" s="152" t="s">
        <v>844</v>
      </c>
      <c r="I23" s="227">
        <v>526.33883396226406</v>
      </c>
      <c r="AJ23" s="163"/>
      <c r="AK23" s="163"/>
      <c r="AL23" s="163"/>
      <c r="AM23" s="309"/>
      <c r="AN23" s="309"/>
      <c r="AO23" s="309"/>
      <c r="AP23" s="309"/>
      <c r="AQ23" s="309"/>
    </row>
    <row r="24" spans="4:45" s="149" customFormat="1">
      <c r="E24" s="149" t="str">
        <f>UserInterface!E59&amp;" base revenue for 2014/15"</f>
        <v>SPD base revenue for 2014/15</v>
      </c>
      <c r="G24" s="152" t="s">
        <v>844</v>
      </c>
      <c r="I24" s="227"/>
      <c r="AJ24" s="163"/>
      <c r="AK24" s="163"/>
      <c r="AL24" s="163"/>
      <c r="AM24" s="309"/>
      <c r="AN24" s="309"/>
      <c r="AO24" s="309"/>
      <c r="AP24" s="309"/>
      <c r="AQ24" s="309"/>
    </row>
    <row r="25" spans="4:45" s="149" customFormat="1">
      <c r="E25" s="149" t="str">
        <f>UserInterface!E60&amp;" base revenue for 2014/15"</f>
        <v>SPMW base revenue for 2014/15</v>
      </c>
      <c r="G25" s="152" t="s">
        <v>844</v>
      </c>
      <c r="I25" s="227"/>
      <c r="AJ25" s="163"/>
      <c r="AK25" s="163"/>
      <c r="AL25" s="163"/>
      <c r="AM25" s="309"/>
      <c r="AN25" s="309"/>
      <c r="AO25" s="309"/>
      <c r="AP25" s="309"/>
      <c r="AQ25" s="309"/>
    </row>
    <row r="26" spans="4:45" s="149" customFormat="1">
      <c r="E26" s="149" t="str">
        <f>UserInterface!E61&amp;" base revenue for 2014/15"</f>
        <v>SSEH base revenue for 2014/15</v>
      </c>
      <c r="G26" s="152" t="s">
        <v>844</v>
      </c>
      <c r="I26" s="227"/>
      <c r="AJ26" s="163"/>
      <c r="AK26" s="163"/>
      <c r="AL26" s="163"/>
      <c r="AM26" s="309"/>
      <c r="AN26" s="309"/>
      <c r="AO26" s="309"/>
      <c r="AP26" s="309"/>
      <c r="AQ26" s="309"/>
    </row>
    <row r="27" spans="4:45" s="149" customFormat="1">
      <c r="E27" s="149" t="str">
        <f>UserInterface!E62&amp;" base revenue for 2014/15"</f>
        <v>SSES base revenue for 2014/15</v>
      </c>
      <c r="G27" s="152" t="s">
        <v>844</v>
      </c>
      <c r="I27" s="227"/>
      <c r="AJ27" s="163"/>
      <c r="AK27" s="163"/>
      <c r="AL27" s="163"/>
      <c r="AM27" s="309"/>
      <c r="AN27" s="309"/>
      <c r="AO27" s="309"/>
      <c r="AP27" s="309"/>
      <c r="AQ27" s="309"/>
    </row>
    <row r="28" spans="4:45" s="149" customFormat="1">
      <c r="E28" s="149" t="s">
        <v>700</v>
      </c>
      <c r="G28" s="152" t="s">
        <v>844</v>
      </c>
      <c r="I28" s="152">
        <f>SUM(I14:I27)</f>
        <v>1331.8930409777909</v>
      </c>
      <c r="AJ28" s="163"/>
      <c r="AK28" s="163"/>
      <c r="AL28" s="163"/>
      <c r="AM28" s="163"/>
      <c r="AN28" s="163"/>
      <c r="AO28" s="163"/>
      <c r="AP28" s="163"/>
      <c r="AQ28" s="163"/>
    </row>
    <row r="29" spans="4:45" s="149" customFormat="1">
      <c r="AJ29" s="163"/>
      <c r="AK29" s="163"/>
      <c r="AL29" s="163"/>
      <c r="AM29" s="163"/>
      <c r="AN29" s="163"/>
      <c r="AO29" s="163"/>
      <c r="AP29" s="163"/>
      <c r="AQ29" s="163"/>
    </row>
    <row r="30" spans="4:45" s="149" customFormat="1">
      <c r="D30" s="198" t="s">
        <v>831</v>
      </c>
      <c r="E30" s="198"/>
      <c r="F30" s="198"/>
      <c r="G30" s="198"/>
      <c r="H30" s="198"/>
      <c r="I30" s="198"/>
      <c r="J30" s="198"/>
      <c r="K30" s="198"/>
      <c r="L30" s="198"/>
      <c r="M30" s="198"/>
      <c r="N30" s="198"/>
      <c r="O30" s="198"/>
      <c r="P30" s="198"/>
      <c r="Q30" s="198"/>
      <c r="R30" s="198"/>
      <c r="S30" s="198"/>
      <c r="T30" s="198"/>
      <c r="U30" s="198"/>
      <c r="V30" s="198"/>
      <c r="W30" s="198"/>
      <c r="X30" s="198"/>
      <c r="Y30" s="198"/>
      <c r="Z30" s="198"/>
      <c r="AA30" s="198"/>
      <c r="AB30" s="198"/>
      <c r="AC30" s="198"/>
      <c r="AD30" s="198"/>
      <c r="AE30" s="198"/>
      <c r="AF30" s="198"/>
      <c r="AG30" s="198"/>
      <c r="AH30" s="198"/>
      <c r="AI30" s="198"/>
      <c r="AJ30" s="198"/>
      <c r="AK30" s="198"/>
      <c r="AL30" s="198"/>
      <c r="AM30" s="198"/>
      <c r="AN30" s="198"/>
      <c r="AO30" s="198"/>
      <c r="AP30" s="198"/>
      <c r="AQ30" s="198"/>
      <c r="AR30" s="198"/>
    </row>
    <row r="31" spans="4:45" s="149" customFormat="1">
      <c r="AJ31" s="163"/>
      <c r="AK31" s="163"/>
      <c r="AL31" s="163"/>
      <c r="AM31" s="163"/>
      <c r="AN31" s="163"/>
      <c r="AO31" s="163"/>
      <c r="AP31" s="163"/>
      <c r="AQ31" s="163"/>
    </row>
    <row r="32" spans="4:45" s="149" customFormat="1">
      <c r="E32" s="149" t="str">
        <f>UserInterface!E49</f>
        <v>ENWL</v>
      </c>
      <c r="G32" s="149" t="s">
        <v>844</v>
      </c>
      <c r="I32" s="403"/>
      <c r="AJ32" s="157">
        <f ca="1">OFFSET(SavedResults!F$59,(1-1)*LiveResults!$F$11,0)</f>
        <v>0</v>
      </c>
      <c r="AK32" s="157">
        <f ca="1">OFFSET(SavedResults!G$59,(1-1)*LiveResults!$F$11,0)</f>
        <v>0</v>
      </c>
      <c r="AL32" s="157">
        <f ca="1">OFFSET(SavedResults!H$59,(1-1)*LiveResults!$F$11,0)</f>
        <v>0</v>
      </c>
      <c r="AM32" s="157">
        <f ca="1">OFFSET(SavedResults!I$59,(1-1)*LiveResults!$F$11,0)</f>
        <v>0</v>
      </c>
      <c r="AN32" s="157">
        <f ca="1">OFFSET(SavedResults!J$59,(1-1)*LiveResults!$F$11,0)</f>
        <v>0</v>
      </c>
      <c r="AO32" s="157">
        <f ca="1">OFFSET(SavedResults!K$59,(1-1)*LiveResults!$F$11,0)</f>
        <v>0</v>
      </c>
      <c r="AP32" s="157">
        <f ca="1">OFFSET(SavedResults!L$59,(1-1)*LiveResults!$F$11,0)</f>
        <v>0</v>
      </c>
      <c r="AQ32" s="157">
        <f ca="1">OFFSET(SavedResults!M$59,(1-1)*LiveResults!$F$11,0)</f>
        <v>0</v>
      </c>
      <c r="AS32" s="103"/>
    </row>
    <row r="33" spans="3:45" s="149" customFormat="1">
      <c r="E33" s="149" t="str">
        <f>UserInterface!E50</f>
        <v>NPgN</v>
      </c>
      <c r="G33" s="149" t="s">
        <v>844</v>
      </c>
      <c r="I33" s="403"/>
      <c r="AJ33" s="157">
        <f ca="1">OFFSET(SavedResults!F$59,(2-1)*LiveResults!$F$11,0)</f>
        <v>0</v>
      </c>
      <c r="AK33" s="157">
        <f ca="1">OFFSET(SavedResults!G$59,(2-1)*LiveResults!$F$11,0)</f>
        <v>0</v>
      </c>
      <c r="AL33" s="157">
        <f ca="1">OFFSET(SavedResults!H$59,(2-1)*LiveResults!$F$11,0)</f>
        <v>0</v>
      </c>
      <c r="AM33" s="157">
        <f ca="1">OFFSET(SavedResults!I$59,(2-1)*LiveResults!$F$11,0)</f>
        <v>0</v>
      </c>
      <c r="AN33" s="157">
        <f ca="1">OFFSET(SavedResults!J$59,(2-1)*LiveResults!$F$11,0)</f>
        <v>0</v>
      </c>
      <c r="AO33" s="157">
        <f ca="1">OFFSET(SavedResults!K$59,(2-1)*LiveResults!$F$11,0)</f>
        <v>0</v>
      </c>
      <c r="AP33" s="157">
        <f ca="1">OFFSET(SavedResults!L$59,(2-1)*LiveResults!$F$11,0)</f>
        <v>0</v>
      </c>
      <c r="AQ33" s="157">
        <f ca="1">OFFSET(SavedResults!M$59,(2-1)*LiveResults!$F$11,0)</f>
        <v>0</v>
      </c>
      <c r="AS33" s="103"/>
    </row>
    <row r="34" spans="3:45" s="149" customFormat="1">
      <c r="E34" s="149" t="str">
        <f>UserInterface!E51</f>
        <v>NPgY</v>
      </c>
      <c r="G34" s="149" t="s">
        <v>844</v>
      </c>
      <c r="I34" s="403"/>
      <c r="AJ34" s="157">
        <f ca="1">OFFSET(SavedResults!F$59,(3-1)*LiveResults!$F$11,0)</f>
        <v>0</v>
      </c>
      <c r="AK34" s="157">
        <f ca="1">OFFSET(SavedResults!G$59,(3-1)*LiveResults!$F$11,0)</f>
        <v>0</v>
      </c>
      <c r="AL34" s="157">
        <f ca="1">OFFSET(SavedResults!H$59,(3-1)*LiveResults!$F$11,0)</f>
        <v>0</v>
      </c>
      <c r="AM34" s="157">
        <f ca="1">OFFSET(SavedResults!I$59,(3-1)*LiveResults!$F$11,0)</f>
        <v>0</v>
      </c>
      <c r="AN34" s="157">
        <f ca="1">OFFSET(SavedResults!J$59,(3-1)*LiveResults!$F$11,0)</f>
        <v>0</v>
      </c>
      <c r="AO34" s="157">
        <f ca="1">OFFSET(SavedResults!K$59,(3-1)*LiveResults!$F$11,0)</f>
        <v>0</v>
      </c>
      <c r="AP34" s="157">
        <f ca="1">OFFSET(SavedResults!L$59,(3-1)*LiveResults!$F$11,0)</f>
        <v>0</v>
      </c>
      <c r="AQ34" s="157">
        <f ca="1">OFFSET(SavedResults!M$59,(3-1)*LiveResults!$F$11,0)</f>
        <v>0</v>
      </c>
      <c r="AS34" s="103"/>
    </row>
    <row r="35" spans="3:45" s="149" customFormat="1">
      <c r="E35" s="149" t="str">
        <f>UserInterface!E52</f>
        <v>WMID</v>
      </c>
      <c r="G35" s="149" t="s">
        <v>844</v>
      </c>
      <c r="I35" s="403"/>
      <c r="AJ35" s="157">
        <f ca="1">OFFSET(SavedResults!F$59,(4-1)*LiveResults!$F$11,0)</f>
        <v>0</v>
      </c>
      <c r="AK35" s="157">
        <f ca="1">OFFSET(SavedResults!G$59,(4-1)*LiveResults!$F$11,0)</f>
        <v>0</v>
      </c>
      <c r="AL35" s="157">
        <f ca="1">OFFSET(SavedResults!H$59,(4-1)*LiveResults!$F$11,0)</f>
        <v>0</v>
      </c>
      <c r="AM35" s="157">
        <f ca="1">OFFSET(SavedResults!I$59,(4-1)*LiveResults!$F$11,0)</f>
        <v>0</v>
      </c>
      <c r="AN35" s="157">
        <f ca="1">OFFSET(SavedResults!J$59,(4-1)*LiveResults!$F$11,0)</f>
        <v>0</v>
      </c>
      <c r="AO35" s="157">
        <f ca="1">OFFSET(SavedResults!K$59,(4-1)*LiveResults!$F$11,0)</f>
        <v>0</v>
      </c>
      <c r="AP35" s="157">
        <f ca="1">OFFSET(SavedResults!L$59,(4-1)*LiveResults!$F$11,0)</f>
        <v>0</v>
      </c>
      <c r="AQ35" s="157">
        <f ca="1">OFFSET(SavedResults!M$59,(4-1)*LiveResults!$F$11,0)</f>
        <v>0</v>
      </c>
      <c r="AS35" s="103"/>
    </row>
    <row r="36" spans="3:45" s="149" customFormat="1">
      <c r="E36" s="149" t="str">
        <f>UserInterface!E53</f>
        <v>EMID</v>
      </c>
      <c r="G36" s="149" t="s">
        <v>844</v>
      </c>
      <c r="I36" s="403"/>
      <c r="AJ36" s="157">
        <f ca="1">OFFSET(SavedResults!F$59,(5-1)*LiveResults!$F$11,0)</f>
        <v>0</v>
      </c>
      <c r="AK36" s="157">
        <f ca="1">OFFSET(SavedResults!G$59,(5-1)*LiveResults!$F$11,0)</f>
        <v>0</v>
      </c>
      <c r="AL36" s="157">
        <f ca="1">OFFSET(SavedResults!H$59,(5-1)*LiveResults!$F$11,0)</f>
        <v>0</v>
      </c>
      <c r="AM36" s="157">
        <f ca="1">OFFSET(SavedResults!I$59,(5-1)*LiveResults!$F$11,0)</f>
        <v>0</v>
      </c>
      <c r="AN36" s="157">
        <f ca="1">OFFSET(SavedResults!J$59,(5-1)*LiveResults!$F$11,0)</f>
        <v>0</v>
      </c>
      <c r="AO36" s="157">
        <f ca="1">OFFSET(SavedResults!K$59,(5-1)*LiveResults!$F$11,0)</f>
        <v>0</v>
      </c>
      <c r="AP36" s="157">
        <f ca="1">OFFSET(SavedResults!L$59,(5-1)*LiveResults!$F$11,0)</f>
        <v>0</v>
      </c>
      <c r="AQ36" s="157">
        <f ca="1">OFFSET(SavedResults!M$59,(5-1)*LiveResults!$F$11,0)</f>
        <v>0</v>
      </c>
      <c r="AS36" s="103"/>
    </row>
    <row r="37" spans="3:45" s="149" customFormat="1">
      <c r="E37" s="149" t="str">
        <f>UserInterface!E54</f>
        <v>SWALES</v>
      </c>
      <c r="G37" s="149" t="s">
        <v>844</v>
      </c>
      <c r="I37" s="403"/>
      <c r="AJ37" s="157">
        <f ca="1">OFFSET(SavedResults!F$59,(6-1)*LiveResults!$F$11,0)</f>
        <v>0</v>
      </c>
      <c r="AK37" s="157">
        <f ca="1">OFFSET(SavedResults!G$59,(6-1)*LiveResults!$F$11,0)</f>
        <v>0</v>
      </c>
      <c r="AL37" s="157">
        <f ca="1">OFFSET(SavedResults!H$59,(6-1)*LiveResults!$F$11,0)</f>
        <v>0</v>
      </c>
      <c r="AM37" s="157">
        <f ca="1">OFFSET(SavedResults!I$59,(6-1)*LiveResults!$F$11,0)</f>
        <v>0</v>
      </c>
      <c r="AN37" s="157">
        <f ca="1">OFFSET(SavedResults!J$59,(6-1)*LiveResults!$F$11,0)</f>
        <v>0</v>
      </c>
      <c r="AO37" s="157">
        <f ca="1">OFFSET(SavedResults!K$59,(6-1)*LiveResults!$F$11,0)</f>
        <v>0</v>
      </c>
      <c r="AP37" s="157">
        <f ca="1">OFFSET(SavedResults!L$59,(6-1)*LiveResults!$F$11,0)</f>
        <v>0</v>
      </c>
      <c r="AQ37" s="157">
        <f ca="1">OFFSET(SavedResults!M$59,(6-1)*LiveResults!$F$11,0)</f>
        <v>0</v>
      </c>
      <c r="AS37" s="103"/>
    </row>
    <row r="38" spans="3:45" s="149" customFormat="1">
      <c r="E38" s="149" t="str">
        <f>UserInterface!E55</f>
        <v>SWEST</v>
      </c>
      <c r="G38" s="149" t="s">
        <v>844</v>
      </c>
      <c r="I38" s="403"/>
      <c r="AJ38" s="157">
        <f ca="1">OFFSET(SavedResults!F$59,(7-1)*LiveResults!$F$11,0)</f>
        <v>0</v>
      </c>
      <c r="AK38" s="157">
        <f ca="1">OFFSET(SavedResults!G$59,(7-1)*LiveResults!$F$11,0)</f>
        <v>0</v>
      </c>
      <c r="AL38" s="157">
        <f ca="1">OFFSET(SavedResults!H$59,(7-1)*LiveResults!$F$11,0)</f>
        <v>0</v>
      </c>
      <c r="AM38" s="157">
        <f ca="1">OFFSET(SavedResults!I$59,(7-1)*LiveResults!$F$11,0)</f>
        <v>0</v>
      </c>
      <c r="AN38" s="157">
        <f ca="1">OFFSET(SavedResults!J$59,(7-1)*LiveResults!$F$11,0)</f>
        <v>0</v>
      </c>
      <c r="AO38" s="157">
        <f ca="1">OFFSET(SavedResults!K$59,(7-1)*LiveResults!$F$11,0)</f>
        <v>0</v>
      </c>
      <c r="AP38" s="157">
        <f ca="1">OFFSET(SavedResults!L$59,(7-1)*LiveResults!$F$11,0)</f>
        <v>0</v>
      </c>
      <c r="AQ38" s="157">
        <f ca="1">OFFSET(SavedResults!M$59,(7-1)*LiveResults!$F$11,0)</f>
        <v>0</v>
      </c>
      <c r="AS38" s="103"/>
    </row>
    <row r="39" spans="3:45" s="149" customFormat="1">
      <c r="E39" s="149" t="str">
        <f>UserInterface!E56</f>
        <v>LPN</v>
      </c>
      <c r="G39" s="149" t="s">
        <v>844</v>
      </c>
      <c r="I39" s="403"/>
      <c r="AJ39" s="157">
        <f ca="1">OFFSET(SavedResults!F$59,(8-1)*LiveResults!$F$11,0)</f>
        <v>381.96304584839146</v>
      </c>
      <c r="AK39" s="157">
        <f ca="1">OFFSET(SavedResults!G$59,(8-1)*LiveResults!$F$11,0)</f>
        <v>388.81227923350707</v>
      </c>
      <c r="AL39" s="157">
        <f ca="1">OFFSET(SavedResults!H$59,(8-1)*LiveResults!$F$11,0)</f>
        <v>395.822395768131</v>
      </c>
      <c r="AM39" s="157">
        <f ca="1">OFFSET(SavedResults!I$59,(8-1)*LiveResults!$F$11,0)</f>
        <v>402.99136599947815</v>
      </c>
      <c r="AN39" s="157">
        <f ca="1">OFFSET(SavedResults!J$59,(8-1)*LiveResults!$F$11,0)</f>
        <v>410.3060460069301</v>
      </c>
      <c r="AO39" s="157">
        <f ca="1">OFFSET(SavedResults!K$59,(8-1)*LiveResults!$F$11,0)</f>
        <v>417.76914835003095</v>
      </c>
      <c r="AP39" s="157">
        <f ca="1">OFFSET(SavedResults!L$59,(8-1)*LiveResults!$F$11,0)</f>
        <v>425.37213377162738</v>
      </c>
      <c r="AQ39" s="157">
        <f ca="1">OFFSET(SavedResults!M$59,(8-1)*LiveResults!$F$11,0)</f>
        <v>433.07613775297335</v>
      </c>
      <c r="AS39" s="103"/>
    </row>
    <row r="40" spans="3:45" s="149" customFormat="1">
      <c r="E40" s="149" t="str">
        <f>UserInterface!E57</f>
        <v>SPN</v>
      </c>
      <c r="G40" s="149" t="s">
        <v>844</v>
      </c>
      <c r="I40" s="403"/>
      <c r="AJ40" s="157">
        <f ca="1">OFFSET(SavedResults!F$59,(9-1)*LiveResults!$F$11,0)</f>
        <v>323.7309128936057</v>
      </c>
      <c r="AK40" s="157">
        <f ca="1">OFFSET(SavedResults!G$59,(9-1)*LiveResults!$F$11,0)</f>
        <v>332.40781423117181</v>
      </c>
      <c r="AL40" s="157">
        <f ca="1">OFFSET(SavedResults!H$59,(9-1)*LiveResults!$F$11,0)</f>
        <v>341.31505459405861</v>
      </c>
      <c r="AM40" s="157">
        <f ca="1">OFFSET(SavedResults!I$59,(9-1)*LiveResults!$F$11,0)</f>
        <v>350.45998981954432</v>
      </c>
      <c r="AN40" s="157">
        <f ca="1">OFFSET(SavedResults!J$59,(9-1)*LiveResults!$F$11,0)</f>
        <v>359.81208446899649</v>
      </c>
      <c r="AO40" s="157">
        <f ca="1">OFFSET(SavedResults!K$59,(9-1)*LiveResults!$F$11,0)</f>
        <v>369.46987031601776</v>
      </c>
      <c r="AP40" s="157">
        <f ca="1">OFFSET(SavedResults!L$59,(9-1)*LiveResults!$F$11,0)</f>
        <v>379.39211558636464</v>
      </c>
      <c r="AQ40" s="157">
        <f ca="1">OFFSET(SavedResults!M$59,(9-1)*LiveResults!$F$11,0)</f>
        <v>389.58313512585039</v>
      </c>
      <c r="AS40" s="103"/>
    </row>
    <row r="41" spans="3:45" s="149" customFormat="1">
      <c r="E41" s="149" t="str">
        <f>UserInterface!E58</f>
        <v>EPN</v>
      </c>
      <c r="G41" s="149" t="s">
        <v>844</v>
      </c>
      <c r="I41" s="403"/>
      <c r="AJ41" s="157">
        <f ca="1">OFFSET(SavedResults!F$59,(10-1)*LiveResults!$F$11,0)</f>
        <v>501.84007068752862</v>
      </c>
      <c r="AK41" s="157">
        <f ca="1">OFFSET(SavedResults!G$59,(10-1)*LiveResults!$F$11,0)</f>
        <v>512.09675041496178</v>
      </c>
      <c r="AL41" s="157">
        <f ca="1">OFFSET(SavedResults!H$59,(10-1)*LiveResults!$F$11,0)</f>
        <v>522.48585663689391</v>
      </c>
      <c r="AM41" s="157">
        <f ca="1">OFFSET(SavedResults!I$59,(10-1)*LiveResults!$F$11,0)</f>
        <v>533.10990490131292</v>
      </c>
      <c r="AN41" s="157">
        <f ca="1">OFFSET(SavedResults!J$59,(10-1)*LiveResults!$F$11,0)</f>
        <v>543.91162676340059</v>
      </c>
      <c r="AO41" s="157">
        <f ca="1">OFFSET(SavedResults!K$59,(10-1)*LiveResults!$F$11,0)</f>
        <v>554.9779815669624</v>
      </c>
      <c r="AP41" s="157">
        <f ca="1">OFFSET(SavedResults!L$59,(10-1)*LiveResults!$F$11,0)</f>
        <v>566.29197293729248</v>
      </c>
      <c r="AQ41" s="157">
        <f ca="1">OFFSET(SavedResults!M$59,(10-1)*LiveResults!$F$11,0)</f>
        <v>577.85121873924663</v>
      </c>
      <c r="AS41" s="103"/>
    </row>
    <row r="42" spans="3:45" s="149" customFormat="1">
      <c r="E42" s="149" t="str">
        <f>UserInterface!E59</f>
        <v>SPD</v>
      </c>
      <c r="G42" s="149" t="s">
        <v>844</v>
      </c>
      <c r="I42" s="403"/>
      <c r="AJ42" s="157">
        <f ca="1">OFFSET(SavedResults!F$59,(11-1)*LiveResults!$F$11,0)</f>
        <v>0</v>
      </c>
      <c r="AK42" s="157">
        <f ca="1">OFFSET(SavedResults!G$59,(11-1)*LiveResults!$F$11,0)</f>
        <v>0</v>
      </c>
      <c r="AL42" s="157">
        <f ca="1">OFFSET(SavedResults!H$59,(11-1)*LiveResults!$F$11,0)</f>
        <v>0</v>
      </c>
      <c r="AM42" s="157">
        <f ca="1">OFFSET(SavedResults!I$59,(11-1)*LiveResults!$F$11,0)</f>
        <v>0</v>
      </c>
      <c r="AN42" s="157">
        <f ca="1">OFFSET(SavedResults!J$59,(11-1)*LiveResults!$F$11,0)</f>
        <v>0</v>
      </c>
      <c r="AO42" s="157">
        <f ca="1">OFFSET(SavedResults!K$59,(11-1)*LiveResults!$F$11,0)</f>
        <v>0</v>
      </c>
      <c r="AP42" s="157">
        <f ca="1">OFFSET(SavedResults!L$59,(11-1)*LiveResults!$F$11,0)</f>
        <v>0</v>
      </c>
      <c r="AQ42" s="157">
        <f ca="1">OFFSET(SavedResults!M$59,(11-1)*LiveResults!$F$11,0)</f>
        <v>0</v>
      </c>
      <c r="AS42" s="103"/>
    </row>
    <row r="43" spans="3:45" s="149" customFormat="1">
      <c r="E43" s="149" t="str">
        <f>UserInterface!E60</f>
        <v>SPMW</v>
      </c>
      <c r="G43" s="149" t="s">
        <v>844</v>
      </c>
      <c r="I43" s="403"/>
      <c r="AJ43" s="157">
        <f ca="1">OFFSET(SavedResults!F$59,(12-1)*LiveResults!$F$11,0)</f>
        <v>0</v>
      </c>
      <c r="AK43" s="157">
        <f ca="1">OFFSET(SavedResults!G$59,(12-1)*LiveResults!$F$11,0)</f>
        <v>0</v>
      </c>
      <c r="AL43" s="157">
        <f ca="1">OFFSET(SavedResults!H$59,(12-1)*LiveResults!$F$11,0)</f>
        <v>0</v>
      </c>
      <c r="AM43" s="157">
        <f ca="1">OFFSET(SavedResults!I$59,(12-1)*LiveResults!$F$11,0)</f>
        <v>0</v>
      </c>
      <c r="AN43" s="157">
        <f ca="1">OFFSET(SavedResults!J$59,(12-1)*LiveResults!$F$11,0)</f>
        <v>0</v>
      </c>
      <c r="AO43" s="157">
        <f ca="1">OFFSET(SavedResults!K$59,(12-1)*LiveResults!$F$11,0)</f>
        <v>0</v>
      </c>
      <c r="AP43" s="157">
        <f ca="1">OFFSET(SavedResults!L$59,(12-1)*LiveResults!$F$11,0)</f>
        <v>0</v>
      </c>
      <c r="AQ43" s="157">
        <f ca="1">OFFSET(SavedResults!M$59,(12-1)*LiveResults!$F$11,0)</f>
        <v>0</v>
      </c>
      <c r="AS43" s="103"/>
    </row>
    <row r="44" spans="3:45" s="149" customFormat="1">
      <c r="E44" s="149" t="str">
        <f>UserInterface!E61</f>
        <v>SSEH</v>
      </c>
      <c r="G44" s="149" t="s">
        <v>844</v>
      </c>
      <c r="I44" s="403"/>
      <c r="AJ44" s="157">
        <f ca="1">OFFSET(SavedResults!F$59,(13-1)*LiveResults!$F$11,0)</f>
        <v>0</v>
      </c>
      <c r="AK44" s="157">
        <f ca="1">OFFSET(SavedResults!G$59,(13-1)*LiveResults!$F$11,0)</f>
        <v>0</v>
      </c>
      <c r="AL44" s="157">
        <f ca="1">OFFSET(SavedResults!H$59,(13-1)*LiveResults!$F$11,0)</f>
        <v>0</v>
      </c>
      <c r="AM44" s="157">
        <f ca="1">OFFSET(SavedResults!I$59,(13-1)*LiveResults!$F$11,0)</f>
        <v>0</v>
      </c>
      <c r="AN44" s="157">
        <f ca="1">OFFSET(SavedResults!J$59,(13-1)*LiveResults!$F$11,0)</f>
        <v>0</v>
      </c>
      <c r="AO44" s="157">
        <f ca="1">OFFSET(SavedResults!K$59,(13-1)*LiveResults!$F$11,0)</f>
        <v>0</v>
      </c>
      <c r="AP44" s="157">
        <f ca="1">OFFSET(SavedResults!L$59,(13-1)*LiveResults!$F$11,0)</f>
        <v>0</v>
      </c>
      <c r="AQ44" s="157">
        <f ca="1">OFFSET(SavedResults!M$59,(13-1)*LiveResults!$F$11,0)</f>
        <v>0</v>
      </c>
      <c r="AS44" s="103"/>
    </row>
    <row r="45" spans="3:45" s="149" customFormat="1">
      <c r="E45" s="149" t="str">
        <f>UserInterface!E62</f>
        <v>SSES</v>
      </c>
      <c r="G45" s="149" t="s">
        <v>844</v>
      </c>
      <c r="I45" s="403"/>
      <c r="AJ45" s="157">
        <f ca="1">OFFSET(SavedResults!F$59,(14-1)*LiveResults!$F$11,0)</f>
        <v>0</v>
      </c>
      <c r="AK45" s="157">
        <f ca="1">OFFSET(SavedResults!G$59,(14-1)*LiveResults!$F$11,0)</f>
        <v>0</v>
      </c>
      <c r="AL45" s="157">
        <f ca="1">OFFSET(SavedResults!H$59,(14-1)*LiveResults!$F$11,0)</f>
        <v>0</v>
      </c>
      <c r="AM45" s="157">
        <f ca="1">OFFSET(SavedResults!I$59,(14-1)*LiveResults!$F$11,0)</f>
        <v>0</v>
      </c>
      <c r="AN45" s="157">
        <f ca="1">OFFSET(SavedResults!J$59,(14-1)*LiveResults!$F$11,0)</f>
        <v>0</v>
      </c>
      <c r="AO45" s="157">
        <f ca="1">OFFSET(SavedResults!K$59,(14-1)*LiveResults!$F$11,0)</f>
        <v>0</v>
      </c>
      <c r="AP45" s="157">
        <f ca="1">OFFSET(SavedResults!L$59,(14-1)*LiveResults!$F$11,0)</f>
        <v>0</v>
      </c>
      <c r="AQ45" s="157">
        <f ca="1">OFFSET(SavedResults!M$59,(14-1)*LiveResults!$F$11,0)</f>
        <v>0</v>
      </c>
      <c r="AS45" s="103"/>
    </row>
    <row r="46" spans="3:45" s="149" customFormat="1">
      <c r="E46" s="498" t="s">
        <v>6</v>
      </c>
      <c r="G46" s="498" t="s">
        <v>844</v>
      </c>
      <c r="AJ46" s="157">
        <f ca="1">SUM(AJ32:AJ45)</f>
        <v>1207.5340294295258</v>
      </c>
      <c r="AK46" s="157">
        <f t="shared" ref="AK46:AQ46" ca="1" si="0">SUM(AK32:AK45)</f>
        <v>1233.3168438796406</v>
      </c>
      <c r="AL46" s="157">
        <f t="shared" ca="1" si="0"/>
        <v>1259.6233069990835</v>
      </c>
      <c r="AM46" s="157">
        <f t="shared" ca="1" si="0"/>
        <v>1286.5612607203352</v>
      </c>
      <c r="AN46" s="157">
        <f t="shared" ca="1" si="0"/>
        <v>1314.0297572393272</v>
      </c>
      <c r="AO46" s="157">
        <f t="shared" ca="1" si="0"/>
        <v>1342.217000233011</v>
      </c>
      <c r="AP46" s="157">
        <f t="shared" ca="1" si="0"/>
        <v>1371.0562222952844</v>
      </c>
      <c r="AQ46" s="157">
        <f t="shared" ca="1" si="0"/>
        <v>1400.5104916180703</v>
      </c>
    </row>
    <row r="47" spans="3:45" ht="12.75" customHeight="1"/>
    <row r="48" spans="3:45" s="149" customFormat="1">
      <c r="C48" s="332" t="s">
        <v>549</v>
      </c>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438"/>
      <c r="AK48" s="438"/>
      <c r="AL48" s="438"/>
      <c r="AM48" s="438"/>
      <c r="AN48" s="438"/>
      <c r="AO48" s="438"/>
      <c r="AP48" s="438"/>
      <c r="AQ48" s="438"/>
    </row>
    <row r="49" spans="5:43" s="149" customFormat="1">
      <c r="E49" s="422" t="s">
        <v>990</v>
      </c>
    </row>
    <row r="50" spans="5:43" s="149" customFormat="1">
      <c r="E50" s="149" t="str">
        <f>E32</f>
        <v>ENWL</v>
      </c>
      <c r="AJ50" s="259"/>
      <c r="AK50" s="259"/>
      <c r="AL50" s="259"/>
      <c r="AM50" s="259"/>
      <c r="AN50" s="259"/>
      <c r="AO50" s="259"/>
      <c r="AP50" s="259"/>
      <c r="AQ50" s="259"/>
    </row>
    <row r="51" spans="5:43" s="149" customFormat="1">
      <c r="E51" s="149" t="str">
        <f t="shared" ref="E51:E63" si="1">E33</f>
        <v>NPgN</v>
      </c>
      <c r="F51" s="195"/>
      <c r="AJ51" s="259"/>
      <c r="AK51" s="259"/>
      <c r="AL51" s="259"/>
      <c r="AM51" s="259"/>
      <c r="AN51" s="259"/>
      <c r="AO51" s="259"/>
      <c r="AP51" s="259"/>
      <c r="AQ51" s="259"/>
    </row>
    <row r="52" spans="5:43" s="149" customFormat="1">
      <c r="E52" s="149" t="str">
        <f t="shared" si="1"/>
        <v>NPgY</v>
      </c>
      <c r="F52" s="195"/>
      <c r="AJ52" s="259"/>
      <c r="AK52" s="259"/>
      <c r="AL52" s="259"/>
      <c r="AM52" s="259"/>
      <c r="AN52" s="259"/>
      <c r="AO52" s="259"/>
      <c r="AP52" s="259"/>
      <c r="AQ52" s="259"/>
    </row>
    <row r="53" spans="5:43" s="149" customFormat="1">
      <c r="E53" s="149" t="str">
        <f t="shared" si="1"/>
        <v>WMID</v>
      </c>
      <c r="F53" s="195"/>
      <c r="AJ53" s="259"/>
      <c r="AK53" s="259"/>
      <c r="AL53" s="259"/>
      <c r="AM53" s="259"/>
      <c r="AN53" s="259"/>
      <c r="AO53" s="259"/>
      <c r="AP53" s="259"/>
      <c r="AQ53" s="259"/>
    </row>
    <row r="54" spans="5:43" s="149" customFormat="1">
      <c r="E54" s="149" t="str">
        <f t="shared" si="1"/>
        <v>EMID</v>
      </c>
      <c r="F54" s="195"/>
      <c r="AJ54" s="259"/>
      <c r="AK54" s="259"/>
      <c r="AL54" s="259"/>
      <c r="AM54" s="259"/>
      <c r="AN54" s="259"/>
      <c r="AO54" s="259"/>
      <c r="AP54" s="259"/>
      <c r="AQ54" s="259"/>
    </row>
    <row r="55" spans="5:43" s="149" customFormat="1">
      <c r="E55" s="149" t="str">
        <f t="shared" si="1"/>
        <v>SWALES</v>
      </c>
      <c r="F55" s="195"/>
      <c r="AJ55" s="259"/>
      <c r="AK55" s="259"/>
      <c r="AL55" s="259"/>
      <c r="AM55" s="259"/>
      <c r="AN55" s="259"/>
      <c r="AO55" s="259"/>
      <c r="AP55" s="259"/>
      <c r="AQ55" s="259"/>
    </row>
    <row r="56" spans="5:43" s="149" customFormat="1">
      <c r="E56" s="149" t="str">
        <f t="shared" si="1"/>
        <v>SWEST</v>
      </c>
      <c r="F56" s="195"/>
      <c r="AJ56" s="259"/>
      <c r="AK56" s="259"/>
      <c r="AL56" s="259"/>
      <c r="AM56" s="259"/>
      <c r="AN56" s="259"/>
      <c r="AO56" s="259"/>
      <c r="AP56" s="259"/>
      <c r="AQ56" s="259"/>
    </row>
    <row r="57" spans="5:43" s="149" customFormat="1">
      <c r="E57" s="149" t="str">
        <f t="shared" si="1"/>
        <v>LPN</v>
      </c>
      <c r="F57" s="195"/>
      <c r="AJ57" s="259">
        <f t="shared" ref="AJ57" ca="1" si="2">(AJ39/I21)-1</f>
        <v>-0.11929494254370809</v>
      </c>
      <c r="AK57" s="259">
        <f t="shared" ref="AK57:AQ57" ca="1" si="3">(AK39/AJ39)-1</f>
        <v>1.7931665011997611E-2</v>
      </c>
      <c r="AL57" s="259">
        <f t="shared" ca="1" si="3"/>
        <v>1.8029565703129302E-2</v>
      </c>
      <c r="AM57" s="259">
        <f t="shared" ca="1" si="3"/>
        <v>1.8111583144341914E-2</v>
      </c>
      <c r="AN57" s="259">
        <f t="shared" ca="1" si="3"/>
        <v>1.8150959610041539E-2</v>
      </c>
      <c r="AO57" s="259">
        <f t="shared" ca="1" si="3"/>
        <v>1.8189111312717055E-2</v>
      </c>
      <c r="AP57" s="259">
        <f t="shared" ca="1" si="3"/>
        <v>1.8199011228148931E-2</v>
      </c>
      <c r="AQ57" s="259">
        <f t="shared" ca="1" si="3"/>
        <v>1.8111209855326438E-2</v>
      </c>
    </row>
    <row r="58" spans="5:43" s="149" customFormat="1">
      <c r="E58" s="149" t="str">
        <f t="shared" si="1"/>
        <v>SPN</v>
      </c>
      <c r="F58" s="195"/>
      <c r="AJ58" s="259">
        <f t="shared" ref="AJ58" ca="1" si="4">(AJ40/I22)-1</f>
        <v>-0.12941105757360238</v>
      </c>
      <c r="AK58" s="259">
        <f t="shared" ref="AK58:AQ58" ca="1" si="5">(AK40/AJ40)-1</f>
        <v>2.6802819848155135E-2</v>
      </c>
      <c r="AL58" s="259">
        <f t="shared" ca="1" si="5"/>
        <v>2.6796122057143545E-2</v>
      </c>
      <c r="AM58" s="259">
        <f t="shared" ca="1" si="5"/>
        <v>2.6793237222900057E-2</v>
      </c>
      <c r="AN58" s="259">
        <f t="shared" ca="1" si="5"/>
        <v>2.6685199227072021E-2</v>
      </c>
      <c r="AO58" s="259">
        <f t="shared" ca="1" si="5"/>
        <v>2.6841193678289077E-2</v>
      </c>
      <c r="AP58" s="259">
        <f t="shared" ca="1" si="5"/>
        <v>2.6855357006134506E-2</v>
      </c>
      <c r="AQ58" s="259">
        <f t="shared" ca="1" si="5"/>
        <v>2.6861442609937169E-2</v>
      </c>
    </row>
    <row r="59" spans="5:43" s="149" customFormat="1">
      <c r="E59" s="149" t="str">
        <f t="shared" si="1"/>
        <v>EPN</v>
      </c>
      <c r="F59" s="195"/>
      <c r="AJ59" s="259">
        <f t="shared" ref="AJ59" ca="1" si="6">(AJ41/I23)-1</f>
        <v>-4.6545612244320744E-2</v>
      </c>
      <c r="AK59" s="259">
        <f t="shared" ref="AK59:AQ59" ca="1" si="7">(AK41/AJ41)-1</f>
        <v>2.0438144194785623E-2</v>
      </c>
      <c r="AL59" s="259">
        <f t="shared" ca="1" si="7"/>
        <v>2.0287389469887618E-2</v>
      </c>
      <c r="AM59" s="259">
        <f t="shared" ca="1" si="7"/>
        <v>2.0333657130555238E-2</v>
      </c>
      <c r="AN59" s="259">
        <f t="shared" ca="1" si="7"/>
        <v>2.0261716698149135E-2</v>
      </c>
      <c r="AO59" s="259">
        <f t="shared" ca="1" si="7"/>
        <v>2.034586917991299E-2</v>
      </c>
      <c r="AP59" s="259">
        <f t="shared" ca="1" si="7"/>
        <v>2.038637882242722E-2</v>
      </c>
      <c r="AQ59" s="259">
        <f t="shared" ca="1" si="7"/>
        <v>2.041216608103702E-2</v>
      </c>
    </row>
    <row r="60" spans="5:43" s="149" customFormat="1">
      <c r="E60" s="149" t="str">
        <f t="shared" si="1"/>
        <v>SPD</v>
      </c>
      <c r="F60" s="195"/>
      <c r="AJ60" s="259"/>
      <c r="AK60" s="259"/>
      <c r="AL60" s="259"/>
      <c r="AM60" s="259"/>
      <c r="AN60" s="259"/>
      <c r="AO60" s="259"/>
      <c r="AP60" s="259"/>
      <c r="AQ60" s="259"/>
    </row>
    <row r="61" spans="5:43" s="149" customFormat="1">
      <c r="E61" s="149" t="str">
        <f t="shared" si="1"/>
        <v>SPMW</v>
      </c>
      <c r="F61" s="195"/>
      <c r="AJ61" s="259"/>
      <c r="AK61" s="259"/>
      <c r="AL61" s="259"/>
      <c r="AM61" s="259"/>
      <c r="AN61" s="259"/>
      <c r="AO61" s="259"/>
      <c r="AP61" s="259"/>
      <c r="AQ61" s="259"/>
    </row>
    <row r="62" spans="5:43" s="149" customFormat="1">
      <c r="E62" s="149" t="str">
        <f t="shared" si="1"/>
        <v>SSEH</v>
      </c>
      <c r="F62" s="195"/>
      <c r="AJ62" s="259"/>
      <c r="AK62" s="259"/>
      <c r="AL62" s="259"/>
      <c r="AM62" s="259"/>
      <c r="AN62" s="259"/>
      <c r="AO62" s="259"/>
      <c r="AP62" s="259"/>
      <c r="AQ62" s="259"/>
    </row>
    <row r="63" spans="5:43" s="149" customFormat="1">
      <c r="E63" s="149" t="str">
        <f t="shared" si="1"/>
        <v>SSES</v>
      </c>
      <c r="F63" s="195"/>
      <c r="AJ63" s="259"/>
      <c r="AK63" s="259"/>
      <c r="AL63" s="259"/>
      <c r="AM63" s="259"/>
      <c r="AN63" s="259"/>
      <c r="AO63" s="259"/>
      <c r="AP63" s="259"/>
      <c r="AQ63" s="259"/>
    </row>
    <row r="64" spans="5:43" s="149" customFormat="1">
      <c r="F64" s="195"/>
      <c r="AJ64" s="259"/>
    </row>
    <row r="65" spans="5:45" s="149" customFormat="1">
      <c r="E65" s="422" t="s">
        <v>876</v>
      </c>
    </row>
    <row r="66" spans="5:45" s="149" customFormat="1" ht="51">
      <c r="G66" s="437" t="s">
        <v>878</v>
      </c>
    </row>
    <row r="67" spans="5:45" s="149" customFormat="1">
      <c r="E67" s="149" t="str">
        <f>E50</f>
        <v>ENWL</v>
      </c>
      <c r="G67" s="261"/>
      <c r="AJ67" s="149">
        <f>G67*(1+AJ50)</f>
        <v>0</v>
      </c>
      <c r="AK67" s="149">
        <f>AJ67*(1+AK50)</f>
        <v>0</v>
      </c>
      <c r="AL67" s="149">
        <f t="shared" ref="AL67:AQ67" si="8">AK67*(1+AL50)</f>
        <v>0</v>
      </c>
      <c r="AM67" s="149">
        <f t="shared" si="8"/>
        <v>0</v>
      </c>
      <c r="AN67" s="149">
        <f t="shared" si="8"/>
        <v>0</v>
      </c>
      <c r="AO67" s="149">
        <f t="shared" si="8"/>
        <v>0</v>
      </c>
      <c r="AP67" s="149">
        <f t="shared" si="8"/>
        <v>0</v>
      </c>
      <c r="AQ67" s="149">
        <f t="shared" si="8"/>
        <v>0</v>
      </c>
      <c r="AS67" s="259"/>
    </row>
    <row r="68" spans="5:45" s="149" customFormat="1">
      <c r="E68" s="149" t="str">
        <f t="shared" ref="E68:E80" si="9">E51</f>
        <v>NPgN</v>
      </c>
      <c r="G68" s="261"/>
      <c r="AJ68" s="149">
        <f t="shared" ref="AJ68:AJ80" si="10">G68*(1+AJ51)</f>
        <v>0</v>
      </c>
      <c r="AK68" s="149">
        <f t="shared" ref="AK68:AQ68" si="11">AJ68*(1+AK51)</f>
        <v>0</v>
      </c>
      <c r="AL68" s="149">
        <f t="shared" si="11"/>
        <v>0</v>
      </c>
      <c r="AM68" s="149">
        <f t="shared" si="11"/>
        <v>0</v>
      </c>
      <c r="AN68" s="149">
        <f t="shared" si="11"/>
        <v>0</v>
      </c>
      <c r="AO68" s="149">
        <f t="shared" si="11"/>
        <v>0</v>
      </c>
      <c r="AP68" s="149">
        <f t="shared" si="11"/>
        <v>0</v>
      </c>
      <c r="AQ68" s="149">
        <f t="shared" si="11"/>
        <v>0</v>
      </c>
      <c r="AS68" s="259"/>
    </row>
    <row r="69" spans="5:45" s="149" customFormat="1">
      <c r="E69" s="149" t="str">
        <f t="shared" si="9"/>
        <v>NPgY</v>
      </c>
      <c r="G69" s="261"/>
      <c r="AJ69" s="149">
        <f t="shared" si="10"/>
        <v>0</v>
      </c>
      <c r="AK69" s="149">
        <f t="shared" ref="AK69:AQ69" si="12">AJ69*(1+AK52)</f>
        <v>0</v>
      </c>
      <c r="AL69" s="149">
        <f t="shared" si="12"/>
        <v>0</v>
      </c>
      <c r="AM69" s="149">
        <f t="shared" si="12"/>
        <v>0</v>
      </c>
      <c r="AN69" s="149">
        <f t="shared" si="12"/>
        <v>0</v>
      </c>
      <c r="AO69" s="149">
        <f t="shared" si="12"/>
        <v>0</v>
      </c>
      <c r="AP69" s="149">
        <f t="shared" si="12"/>
        <v>0</v>
      </c>
      <c r="AQ69" s="149">
        <f t="shared" si="12"/>
        <v>0</v>
      </c>
      <c r="AS69" s="259"/>
    </row>
    <row r="70" spans="5:45" s="149" customFormat="1">
      <c r="E70" s="149" t="str">
        <f t="shared" si="9"/>
        <v>WMID</v>
      </c>
      <c r="G70" s="261"/>
      <c r="AJ70" s="149">
        <f t="shared" si="10"/>
        <v>0</v>
      </c>
      <c r="AK70" s="149">
        <f t="shared" ref="AK70:AQ70" si="13">AJ70*(1+AK53)</f>
        <v>0</v>
      </c>
      <c r="AL70" s="149">
        <f t="shared" si="13"/>
        <v>0</v>
      </c>
      <c r="AM70" s="149">
        <f t="shared" si="13"/>
        <v>0</v>
      </c>
      <c r="AN70" s="149">
        <f t="shared" si="13"/>
        <v>0</v>
      </c>
      <c r="AO70" s="149">
        <f t="shared" si="13"/>
        <v>0</v>
      </c>
      <c r="AP70" s="149">
        <f t="shared" si="13"/>
        <v>0</v>
      </c>
      <c r="AQ70" s="149">
        <f t="shared" si="13"/>
        <v>0</v>
      </c>
      <c r="AS70" s="259"/>
    </row>
    <row r="71" spans="5:45" s="149" customFormat="1">
      <c r="E71" s="149" t="str">
        <f t="shared" si="9"/>
        <v>EMID</v>
      </c>
      <c r="G71" s="261"/>
      <c r="AJ71" s="149">
        <f t="shared" si="10"/>
        <v>0</v>
      </c>
      <c r="AK71" s="149">
        <f t="shared" ref="AK71:AQ71" si="14">AJ71*(1+AK54)</f>
        <v>0</v>
      </c>
      <c r="AL71" s="149">
        <f t="shared" si="14"/>
        <v>0</v>
      </c>
      <c r="AM71" s="149">
        <f t="shared" si="14"/>
        <v>0</v>
      </c>
      <c r="AN71" s="149">
        <f t="shared" si="14"/>
        <v>0</v>
      </c>
      <c r="AO71" s="149">
        <f t="shared" si="14"/>
        <v>0</v>
      </c>
      <c r="AP71" s="149">
        <f t="shared" si="14"/>
        <v>0</v>
      </c>
      <c r="AQ71" s="149">
        <f t="shared" si="14"/>
        <v>0</v>
      </c>
      <c r="AS71" s="259"/>
    </row>
    <row r="72" spans="5:45" s="149" customFormat="1">
      <c r="E72" s="149" t="str">
        <f t="shared" si="9"/>
        <v>SWALES</v>
      </c>
      <c r="G72" s="261"/>
      <c r="AJ72" s="149">
        <f t="shared" si="10"/>
        <v>0</v>
      </c>
      <c r="AK72" s="149">
        <f t="shared" ref="AK72:AQ72" si="15">AJ72*(1+AK55)</f>
        <v>0</v>
      </c>
      <c r="AL72" s="149">
        <f t="shared" si="15"/>
        <v>0</v>
      </c>
      <c r="AM72" s="149">
        <f t="shared" si="15"/>
        <v>0</v>
      </c>
      <c r="AN72" s="149">
        <f t="shared" si="15"/>
        <v>0</v>
      </c>
      <c r="AO72" s="149">
        <f t="shared" si="15"/>
        <v>0</v>
      </c>
      <c r="AP72" s="149">
        <f t="shared" si="15"/>
        <v>0</v>
      </c>
      <c r="AQ72" s="149">
        <f t="shared" si="15"/>
        <v>0</v>
      </c>
      <c r="AS72" s="259"/>
    </row>
    <row r="73" spans="5:45" s="149" customFormat="1">
      <c r="E73" s="149" t="str">
        <f t="shared" si="9"/>
        <v>SWEST</v>
      </c>
      <c r="G73" s="261"/>
      <c r="AJ73" s="149">
        <f t="shared" si="10"/>
        <v>0</v>
      </c>
      <c r="AK73" s="149">
        <f t="shared" ref="AK73:AQ73" si="16">AJ73*(1+AK56)</f>
        <v>0</v>
      </c>
      <c r="AL73" s="149">
        <f t="shared" si="16"/>
        <v>0</v>
      </c>
      <c r="AM73" s="149">
        <f t="shared" si="16"/>
        <v>0</v>
      </c>
      <c r="AN73" s="149">
        <f t="shared" si="16"/>
        <v>0</v>
      </c>
      <c r="AO73" s="149">
        <f t="shared" si="16"/>
        <v>0</v>
      </c>
      <c r="AP73" s="149">
        <f t="shared" si="16"/>
        <v>0</v>
      </c>
      <c r="AQ73" s="149">
        <f t="shared" si="16"/>
        <v>0</v>
      </c>
      <c r="AS73" s="259"/>
    </row>
    <row r="74" spans="5:45" s="149" customFormat="1">
      <c r="E74" s="149" t="str">
        <f t="shared" si="9"/>
        <v>LPN</v>
      </c>
      <c r="G74" s="261">
        <v>75.48</v>
      </c>
      <c r="AJ74" s="149">
        <f t="shared" ca="1" si="10"/>
        <v>66.475617736800913</v>
      </c>
      <c r="AK74" s="149">
        <f t="shared" ref="AK74:AQ74" ca="1" si="17">AJ74*(1+AK57)</f>
        <v>67.667636245522829</v>
      </c>
      <c r="AL74" s="149">
        <f t="shared" ca="1" si="17"/>
        <v>68.887654339186938</v>
      </c>
      <c r="AM74" s="149">
        <f t="shared" ca="1" si="17"/>
        <v>70.135318818369811</v>
      </c>
      <c r="AN74" s="149">
        <f t="shared" ca="1" si="17"/>
        <v>71.408342157479424</v>
      </c>
      <c r="AO74" s="149">
        <f t="shared" ca="1" si="17"/>
        <v>72.707196441638402</v>
      </c>
      <c r="AP74" s="149">
        <f t="shared" ca="1" si="17"/>
        <v>74.030395526047016</v>
      </c>
      <c r="AQ74" s="149">
        <f t="shared" ca="1" si="17"/>
        <v>75.37117555509208</v>
      </c>
      <c r="AS74" s="259"/>
    </row>
    <row r="75" spans="5:45" s="149" customFormat="1">
      <c r="E75" s="149" t="str">
        <f t="shared" si="9"/>
        <v>SPN</v>
      </c>
      <c r="G75" s="261">
        <v>89.67</v>
      </c>
      <c r="AJ75" s="149">
        <f t="shared" ca="1" si="10"/>
        <v>78.065710467375069</v>
      </c>
      <c r="AK75" s="149">
        <f t="shared" ref="AK75:AQ75" ca="1" si="18">AJ75*(1+AK58)</f>
        <v>80.158091641350367</v>
      </c>
      <c r="AL75" s="149">
        <f t="shared" ca="1" si="18"/>
        <v>82.306017648839685</v>
      </c>
      <c r="AM75" s="149">
        <f t="shared" ca="1" si="18"/>
        <v>84.511262304577244</v>
      </c>
      <c r="AN75" s="149">
        <f t="shared" ca="1" si="18"/>
        <v>86.766462176106231</v>
      </c>
      <c r="AO75" s="149">
        <f t="shared" ca="1" si="18"/>
        <v>89.095377592155046</v>
      </c>
      <c r="AP75" s="149">
        <f t="shared" ca="1" si="18"/>
        <v>91.488065764988733</v>
      </c>
      <c r="AQ75" s="149">
        <f t="shared" ca="1" si="18"/>
        <v>93.945567193029135</v>
      </c>
      <c r="AS75" s="259"/>
    </row>
    <row r="76" spans="5:45" s="149" customFormat="1">
      <c r="E76" s="149" t="str">
        <f t="shared" si="9"/>
        <v>EPN</v>
      </c>
      <c r="G76" s="261">
        <v>76.45</v>
      </c>
      <c r="AJ76" s="149">
        <f t="shared" ca="1" si="10"/>
        <v>72.891587943921678</v>
      </c>
      <c r="AK76" s="149">
        <f t="shared" ref="AK76:AQ76" ca="1" si="19">AJ76*(1+AK59)</f>
        <v>74.381356728906454</v>
      </c>
      <c r="AL76" s="149">
        <f t="shared" ca="1" si="19"/>
        <v>75.890360282164423</v>
      </c>
      <c r="AM76" s="149">
        <f t="shared" ca="1" si="19"/>
        <v>77.433488847656264</v>
      </c>
      <c r="AN76" s="149">
        <f t="shared" ca="1" si="19"/>
        <v>79.002424261636762</v>
      </c>
      <c r="AO76" s="149">
        <f t="shared" ca="1" si="19"/>
        <v>80.609797250560007</v>
      </c>
      <c r="AP76" s="149">
        <f t="shared" ca="1" si="19"/>
        <v>82.253139114108976</v>
      </c>
      <c r="AQ76" s="149">
        <f t="shared" ca="1" si="19"/>
        <v>83.932103850392807</v>
      </c>
      <c r="AS76" s="259"/>
    </row>
    <row r="77" spans="5:45" s="149" customFormat="1">
      <c r="E77" s="149" t="str">
        <f t="shared" si="9"/>
        <v>SPD</v>
      </c>
      <c r="G77" s="261"/>
      <c r="AJ77" s="149">
        <f t="shared" si="10"/>
        <v>0</v>
      </c>
      <c r="AK77" s="149">
        <f t="shared" ref="AK77:AQ77" si="20">AJ77*(1+AK60)</f>
        <v>0</v>
      </c>
      <c r="AL77" s="149">
        <f t="shared" si="20"/>
        <v>0</v>
      </c>
      <c r="AM77" s="149">
        <f t="shared" si="20"/>
        <v>0</v>
      </c>
      <c r="AN77" s="149">
        <f t="shared" si="20"/>
        <v>0</v>
      </c>
      <c r="AO77" s="149">
        <f t="shared" si="20"/>
        <v>0</v>
      </c>
      <c r="AP77" s="149">
        <f t="shared" si="20"/>
        <v>0</v>
      </c>
      <c r="AQ77" s="149">
        <f t="shared" si="20"/>
        <v>0</v>
      </c>
      <c r="AS77" s="259"/>
    </row>
    <row r="78" spans="5:45" s="149" customFormat="1">
      <c r="E78" s="149" t="str">
        <f t="shared" si="9"/>
        <v>SPMW</v>
      </c>
      <c r="G78" s="261"/>
      <c r="AJ78" s="149">
        <f t="shared" si="10"/>
        <v>0</v>
      </c>
      <c r="AK78" s="149">
        <f t="shared" ref="AK78:AQ78" si="21">AJ78*(1+AK61)</f>
        <v>0</v>
      </c>
      <c r="AL78" s="149">
        <f t="shared" si="21"/>
        <v>0</v>
      </c>
      <c r="AM78" s="149">
        <f t="shared" si="21"/>
        <v>0</v>
      </c>
      <c r="AN78" s="149">
        <f t="shared" si="21"/>
        <v>0</v>
      </c>
      <c r="AO78" s="149">
        <f t="shared" si="21"/>
        <v>0</v>
      </c>
      <c r="AP78" s="149">
        <f t="shared" si="21"/>
        <v>0</v>
      </c>
      <c r="AQ78" s="149">
        <f t="shared" si="21"/>
        <v>0</v>
      </c>
      <c r="AS78" s="259"/>
    </row>
    <row r="79" spans="5:45" s="149" customFormat="1">
      <c r="E79" s="149" t="str">
        <f t="shared" si="9"/>
        <v>SSEH</v>
      </c>
      <c r="G79" s="261"/>
      <c r="AJ79" s="149">
        <f t="shared" si="10"/>
        <v>0</v>
      </c>
      <c r="AK79" s="149">
        <f t="shared" ref="AK79:AQ79" si="22">AJ79*(1+AK62)</f>
        <v>0</v>
      </c>
      <c r="AL79" s="149">
        <f t="shared" si="22"/>
        <v>0</v>
      </c>
      <c r="AM79" s="149">
        <f t="shared" si="22"/>
        <v>0</v>
      </c>
      <c r="AN79" s="149">
        <f t="shared" si="22"/>
        <v>0</v>
      </c>
      <c r="AO79" s="149">
        <f t="shared" si="22"/>
        <v>0</v>
      </c>
      <c r="AP79" s="149">
        <f t="shared" si="22"/>
        <v>0</v>
      </c>
      <c r="AQ79" s="149">
        <f t="shared" si="22"/>
        <v>0</v>
      </c>
      <c r="AS79" s="259"/>
    </row>
    <row r="80" spans="5:45" s="149" customFormat="1">
      <c r="E80" s="149" t="str">
        <f t="shared" si="9"/>
        <v>SSES</v>
      </c>
      <c r="G80" s="261"/>
      <c r="AJ80" s="149">
        <f t="shared" si="10"/>
        <v>0</v>
      </c>
      <c r="AK80" s="149">
        <f t="shared" ref="AK80:AQ80" si="23">AJ80*(1+AK63)</f>
        <v>0</v>
      </c>
      <c r="AL80" s="149">
        <f t="shared" si="23"/>
        <v>0</v>
      </c>
      <c r="AM80" s="149">
        <f t="shared" si="23"/>
        <v>0</v>
      </c>
      <c r="AN80" s="149">
        <f t="shared" si="23"/>
        <v>0</v>
      </c>
      <c r="AO80" s="149">
        <f t="shared" si="23"/>
        <v>0</v>
      </c>
      <c r="AP80" s="149">
        <f t="shared" si="23"/>
        <v>0</v>
      </c>
      <c r="AQ80" s="149">
        <f t="shared" si="23"/>
        <v>0</v>
      </c>
      <c r="AS80" s="259"/>
    </row>
    <row r="81" spans="45:45" s="498" customFormat="1">
      <c r="AS81" s="259"/>
    </row>
    <row r="82" spans="45:45" s="498" customFormat="1">
      <c r="AS82" s="259"/>
    </row>
    <row r="83" spans="45:45" s="498" customFormat="1">
      <c r="AS83" s="259"/>
    </row>
    <row r="84" spans="45:45" s="498" customFormat="1">
      <c r="AS84" s="259"/>
    </row>
    <row r="85" spans="45:45" s="498" customFormat="1">
      <c r="AS85" s="259"/>
    </row>
    <row r="86" spans="45:45" s="498" customFormat="1">
      <c r="AS86" s="259"/>
    </row>
    <row r="87" spans="45:45" s="498" customFormat="1">
      <c r="AS87" s="259"/>
    </row>
    <row r="88" spans="45:45" s="498" customFormat="1">
      <c r="AS88" s="259"/>
    </row>
    <row r="89" spans="45:45" s="498" customFormat="1">
      <c r="AS89" s="259"/>
    </row>
    <row r="90" spans="45:45" s="498" customFormat="1">
      <c r="AS90" s="259"/>
    </row>
    <row r="91" spans="45:45" s="498" customFormat="1">
      <c r="AS91" s="259"/>
    </row>
    <row r="92" spans="45:45" s="498" customFormat="1">
      <c r="AS92" s="259"/>
    </row>
    <row r="93" spans="45:45" s="498" customFormat="1">
      <c r="AS93" s="259"/>
    </row>
    <row r="94" spans="45:45" s="498" customFormat="1">
      <c r="AS94" s="259"/>
    </row>
    <row r="95" spans="45:45" s="498" customFormat="1">
      <c r="AS95" s="259"/>
    </row>
    <row r="96" spans="45:45" s="498" customFormat="1">
      <c r="AS96" s="259"/>
    </row>
    <row r="97" spans="45:45" s="498" customFormat="1">
      <c r="AS97" s="259"/>
    </row>
    <row r="98" spans="45:45" s="498" customFormat="1">
      <c r="AS98" s="259"/>
    </row>
    <row r="99" spans="45:45" s="498" customFormat="1">
      <c r="AS99" s="259"/>
    </row>
    <row r="100" spans="45:45" s="498" customFormat="1">
      <c r="AS100" s="259"/>
    </row>
    <row r="101" spans="45:45" s="498" customFormat="1">
      <c r="AS101" s="259"/>
    </row>
    <row r="102" spans="45:45" s="498" customFormat="1">
      <c r="AS102" s="259"/>
    </row>
    <row r="103" spans="45:45" s="498" customFormat="1">
      <c r="AS103" s="259"/>
    </row>
    <row r="104" spans="45:45" s="498" customFormat="1">
      <c r="AS104" s="259"/>
    </row>
    <row r="105" spans="45:45" s="498" customFormat="1">
      <c r="AS105" s="259"/>
    </row>
    <row r="106" spans="45:45" s="498" customFormat="1">
      <c r="AS106" s="259"/>
    </row>
    <row r="107" spans="45:45" s="498" customFormat="1">
      <c r="AS107" s="259"/>
    </row>
    <row r="108" spans="45:45" s="498" customFormat="1">
      <c r="AS108" s="259"/>
    </row>
    <row r="109" spans="45:45" s="498" customFormat="1">
      <c r="AS109" s="259"/>
    </row>
    <row r="110" spans="45:45" s="498" customFormat="1">
      <c r="AS110" s="259"/>
    </row>
    <row r="111" spans="45:45" s="498" customFormat="1">
      <c r="AS111" s="259"/>
    </row>
    <row r="112" spans="45:45" s="498" customFormat="1">
      <c r="AS112" s="259"/>
    </row>
    <row r="113" spans="45:45" s="498" customFormat="1">
      <c r="AS113" s="259"/>
    </row>
    <row r="114" spans="45:45" s="498" customFormat="1">
      <c r="AS114" s="259"/>
    </row>
    <row r="115" spans="45:45" s="498" customFormat="1">
      <c r="AS115" s="259"/>
    </row>
    <row r="116" spans="45:45" s="498" customFormat="1">
      <c r="AS116" s="259"/>
    </row>
    <row r="117" spans="45:45" s="498" customFormat="1">
      <c r="AS117" s="259"/>
    </row>
    <row r="118" spans="45:45" s="498" customFormat="1">
      <c r="AS118" s="259"/>
    </row>
    <row r="119" spans="45:45" s="498" customFormat="1">
      <c r="AS119" s="259"/>
    </row>
    <row r="120" spans="45:45" s="498" customFormat="1">
      <c r="AS120" s="259"/>
    </row>
    <row r="121" spans="45:45" s="498" customFormat="1">
      <c r="AS121" s="259"/>
    </row>
    <row r="122" spans="45:45" s="498" customFormat="1">
      <c r="AS122" s="259"/>
    </row>
    <row r="123" spans="45:45" s="498" customFormat="1">
      <c r="AS123" s="259"/>
    </row>
    <row r="124" spans="45:45" s="498" customFormat="1">
      <c r="AS124" s="259"/>
    </row>
    <row r="125" spans="45:45" s="498" customFormat="1">
      <c r="AS125" s="259"/>
    </row>
    <row r="126" spans="45:45" s="498" customFormat="1">
      <c r="AS126" s="259"/>
    </row>
    <row r="127" spans="45:45" s="498" customFormat="1">
      <c r="AS127" s="259"/>
    </row>
    <row r="128" spans="45:45" s="498" customFormat="1">
      <c r="AS128" s="259"/>
    </row>
    <row r="129" spans="45:45" s="498" customFormat="1">
      <c r="AS129" s="259"/>
    </row>
    <row r="130" spans="45:45" s="498" customFormat="1">
      <c r="AS130" s="259"/>
    </row>
    <row r="131" spans="45:45" s="498" customFormat="1">
      <c r="AS131" s="259"/>
    </row>
    <row r="132" spans="45:45" s="498" customFormat="1">
      <c r="AS132" s="259"/>
    </row>
    <row r="133" spans="45:45" s="498" customFormat="1">
      <c r="AS133" s="259"/>
    </row>
    <row r="134" spans="45:45" s="498" customFormat="1">
      <c r="AS134" s="259"/>
    </row>
    <row r="135" spans="45:45" s="498" customFormat="1">
      <c r="AS135" s="259"/>
    </row>
    <row r="136" spans="45:45" s="498" customFormat="1">
      <c r="AS136" s="259"/>
    </row>
    <row r="137" spans="45:45" s="498" customFormat="1">
      <c r="AS137" s="259"/>
    </row>
    <row r="138" spans="45:45" s="498" customFormat="1">
      <c r="AS138" s="259"/>
    </row>
    <row r="139" spans="45:45" s="498" customFormat="1">
      <c r="AS139" s="259"/>
    </row>
    <row r="140" spans="45:45" s="498" customFormat="1">
      <c r="AS140" s="259"/>
    </row>
    <row r="141" spans="45:45" s="498" customFormat="1">
      <c r="AS141" s="259"/>
    </row>
    <row r="142" spans="45:45" s="498" customFormat="1">
      <c r="AS142" s="259"/>
    </row>
    <row r="143" spans="45:45" s="498" customFormat="1">
      <c r="AS143" s="259"/>
    </row>
    <row r="144" spans="45:45" s="498" customFormat="1">
      <c r="AS144" s="259"/>
    </row>
    <row r="145" spans="45:45" s="498" customFormat="1">
      <c r="AS145" s="259"/>
    </row>
    <row r="146" spans="45:45" s="498" customFormat="1">
      <c r="AS146" s="259"/>
    </row>
    <row r="147" spans="45:45" s="498" customFormat="1">
      <c r="AS147" s="259"/>
    </row>
    <row r="148" spans="45:45" s="498" customFormat="1">
      <c r="AS148" s="259"/>
    </row>
    <row r="149" spans="45:45" s="498" customFormat="1">
      <c r="AS149" s="259"/>
    </row>
    <row r="150" spans="45:45" s="498" customFormat="1">
      <c r="AS150" s="259"/>
    </row>
    <row r="151" spans="45:45" s="498" customFormat="1">
      <c r="AS151" s="259"/>
    </row>
    <row r="152" spans="45:45" s="498" customFormat="1">
      <c r="AS152" s="259"/>
    </row>
    <row r="153" spans="45:45" s="498" customFormat="1">
      <c r="AS153" s="259"/>
    </row>
    <row r="154" spans="45:45" s="498" customFormat="1">
      <c r="AS154" s="259"/>
    </row>
    <row r="155" spans="45:45" s="498" customFormat="1">
      <c r="AS155" s="259"/>
    </row>
    <row r="156" spans="45:45" s="498" customFormat="1">
      <c r="AS156" s="259"/>
    </row>
    <row r="157" spans="45:45" s="498" customFormat="1">
      <c r="AS157" s="259"/>
    </row>
    <row r="158" spans="45:45" s="498" customFormat="1">
      <c r="AS158" s="259"/>
    </row>
    <row r="159" spans="45:45" s="498" customFormat="1">
      <c r="AS159" s="259"/>
    </row>
    <row r="160" spans="45:45" s="498" customFormat="1">
      <c r="AS160" s="259"/>
    </row>
    <row r="161" spans="45:45" s="498" customFormat="1">
      <c r="AS161" s="259"/>
    </row>
    <row r="162" spans="45:45" s="498" customFormat="1">
      <c r="AS162" s="259"/>
    </row>
    <row r="163" spans="45:45" s="498" customFormat="1">
      <c r="AS163" s="259"/>
    </row>
    <row r="164" spans="45:45" s="498" customFormat="1">
      <c r="AS164" s="259"/>
    </row>
    <row r="165" spans="45:45" s="498" customFormat="1">
      <c r="AS165" s="259"/>
    </row>
    <row r="166" spans="45:45" s="498" customFormat="1">
      <c r="AS166" s="259"/>
    </row>
    <row r="167" spans="45:45" s="498" customFormat="1">
      <c r="AS167" s="259"/>
    </row>
    <row r="168" spans="45:45" s="498" customFormat="1">
      <c r="AS168" s="259"/>
    </row>
    <row r="169" spans="45:45" ht="12.75" customHeight="1"/>
    <row r="170" spans="45:45" ht="12.75" customHeight="1"/>
    <row r="171" spans="45:45" ht="12.75" customHeight="1"/>
    <row r="172" spans="45:45" ht="12.75" customHeight="1"/>
    <row r="173" spans="45:45" ht="12.75" customHeight="1"/>
    <row r="174" spans="45:45" ht="12.75" customHeight="1"/>
    <row r="175" spans="45:45" ht="12.75" customHeight="1"/>
    <row r="176" spans="45:45"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sheetData>
  <mergeCells count="1">
    <mergeCell ref="B10:AQ10"/>
  </mergeCells>
  <pageMargins left="0.23622047244094491" right="0.23622047244094491" top="0.74803149606299213" bottom="0.74803149606299213" header="0.31496062992125984" footer="0.31496062992125984"/>
  <pageSetup paperSize="8" scale="74" fitToHeight="0" orientation="portrait" r:id="rId1"/>
  <headerFooter>
    <oddFooter>&amp;LDraft at &amp;D&amp;C&amp;P of &amp;N&amp;R"&amp;A" sheet</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rgb="FFFF99FF"/>
    <pageSetUpPr fitToPage="1"/>
  </sheetPr>
  <dimension ref="A1:CC562"/>
  <sheetViews>
    <sheetView zoomScale="70" zoomScaleNormal="70" workbookViewId="0">
      <pane xSplit="10" ySplit="7" topLeftCell="AJ8" activePane="bottomRight" state="frozen"/>
      <selection activeCell="F444" sqref="F444"/>
      <selection pane="topRight" activeCell="F444" sqref="F444"/>
      <selection pane="bottomLeft" activeCell="F444" sqref="F444"/>
      <selection pane="bottomRight" activeCell="AN22" sqref="AN22"/>
    </sheetView>
  </sheetViews>
  <sheetFormatPr defaultColWidth="9" defaultRowHeight="12.75" customHeight="1" zeroHeight="1" outlineLevelCol="1"/>
  <cols>
    <col min="1" max="3" width="1.625" style="195" customWidth="1"/>
    <col min="4" max="4" width="2" style="195" customWidth="1"/>
    <col min="5" max="5" width="50.625" style="195" customWidth="1"/>
    <col min="6" max="6" width="1.625" style="195" customWidth="1"/>
    <col min="7" max="7" width="12.625" style="195" bestFit="1" customWidth="1"/>
    <col min="8" max="8" width="1.625" style="195" customWidth="1"/>
    <col min="9" max="9" width="5.75" style="195" customWidth="1"/>
    <col min="10" max="10" width="1.625" style="195" customWidth="1"/>
    <col min="11" max="35" width="10.625" style="195" hidden="1" customWidth="1" outlineLevel="1"/>
    <col min="36" max="36" width="10.625" style="195" customWidth="1" collapsed="1"/>
    <col min="37" max="49" width="10.625" style="195" customWidth="1"/>
    <col min="50" max="16384" width="9" style="195"/>
  </cols>
  <sheetData>
    <row r="1" spans="1:81" s="7" customFormat="1" ht="15">
      <c r="A1" s="349" t="s">
        <v>929</v>
      </c>
      <c r="B1" s="10"/>
      <c r="C1" s="10"/>
      <c r="D1" s="10"/>
      <c r="E1" s="10"/>
      <c r="F1" s="10"/>
      <c r="G1" s="10"/>
      <c r="H1" s="10"/>
      <c r="I1" s="10"/>
      <c r="J1" s="350"/>
      <c r="K1" s="350"/>
      <c r="L1" s="350"/>
      <c r="M1" s="350"/>
      <c r="N1" s="350"/>
      <c r="O1" s="350"/>
      <c r="P1" s="350"/>
      <c r="Q1" s="350"/>
      <c r="R1" s="350"/>
      <c r="S1" s="350"/>
      <c r="T1" s="350"/>
      <c r="U1" s="350"/>
      <c r="V1" s="350"/>
      <c r="W1" s="350"/>
      <c r="X1" s="350"/>
      <c r="Y1" s="10"/>
      <c r="Z1" s="10"/>
      <c r="AA1" s="10"/>
      <c r="AB1" s="10"/>
      <c r="AC1" s="10"/>
      <c r="AD1" s="10"/>
      <c r="AE1" s="10"/>
      <c r="AF1" s="10"/>
      <c r="AG1" s="10"/>
      <c r="AH1" s="10"/>
      <c r="AI1" s="10"/>
    </row>
    <row r="2" spans="1:81" s="7" customFormat="1">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row>
    <row r="3" spans="1:81" s="7" customFormat="1">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row>
    <row r="4" spans="1:81" s="7" customFormat="1" ht="7.5"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row>
    <row r="5" spans="1:81" s="7" customFormat="1">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row>
    <row r="6" spans="1:81" s="7" customFormat="1">
      <c r="A6" s="10"/>
      <c r="B6" s="10"/>
      <c r="C6" s="10"/>
      <c r="D6" s="10"/>
      <c r="E6" s="9" t="s">
        <v>44</v>
      </c>
      <c r="F6" s="9"/>
      <c r="G6" s="9" t="s">
        <v>40</v>
      </c>
      <c r="H6" s="9"/>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81" s="7" customFormat="1">
      <c r="A7" s="10"/>
      <c r="B7" s="10"/>
      <c r="C7" s="10"/>
      <c r="D7" s="10"/>
      <c r="E7" s="10"/>
      <c r="F7" s="10"/>
      <c r="I7" s="352"/>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526" t="s">
        <v>625</v>
      </c>
      <c r="AK7" s="526" t="s">
        <v>626</v>
      </c>
      <c r="AL7" s="526" t="s">
        <v>627</v>
      </c>
      <c r="AM7" s="526" t="s">
        <v>628</v>
      </c>
      <c r="AN7" s="526" t="s">
        <v>629</v>
      </c>
      <c r="AO7" s="526" t="s">
        <v>630</v>
      </c>
      <c r="AP7" s="526" t="s">
        <v>631</v>
      </c>
      <c r="AQ7" s="526" t="s">
        <v>632</v>
      </c>
      <c r="AR7" s="526" t="s">
        <v>633</v>
      </c>
      <c r="AS7" s="526" t="s">
        <v>634</v>
      </c>
      <c r="AT7" s="526" t="s">
        <v>635</v>
      </c>
      <c r="AU7" s="526" t="s">
        <v>636</v>
      </c>
      <c r="AV7" s="526" t="s">
        <v>637</v>
      </c>
      <c r="AW7" s="526" t="s">
        <v>638</v>
      </c>
    </row>
    <row r="8" spans="1:81" s="152" customFormat="1">
      <c r="A8" s="429"/>
      <c r="B8" s="429"/>
      <c r="C8" s="429"/>
      <c r="D8" s="429"/>
      <c r="E8" s="429"/>
      <c r="F8" s="429"/>
      <c r="G8" s="429"/>
      <c r="H8" s="429"/>
      <c r="I8" s="429"/>
      <c r="J8" s="429"/>
      <c r="K8" s="429"/>
      <c r="L8" s="429"/>
      <c r="M8" s="429"/>
      <c r="N8" s="429"/>
      <c r="O8" s="429"/>
      <c r="P8" s="429"/>
      <c r="Q8" s="429"/>
      <c r="R8" s="429"/>
      <c r="S8" s="429"/>
      <c r="T8" s="429"/>
      <c r="U8" s="429"/>
      <c r="V8" s="429"/>
      <c r="W8" s="429"/>
      <c r="X8" s="429"/>
      <c r="Y8" s="429"/>
      <c r="Z8" s="429"/>
      <c r="AA8" s="429"/>
      <c r="AB8" s="429"/>
      <c r="AC8" s="429"/>
      <c r="AD8" s="429"/>
      <c r="AE8" s="429"/>
      <c r="AF8" s="429"/>
      <c r="AG8" s="429"/>
      <c r="AH8" s="429"/>
      <c r="AI8" s="429"/>
      <c r="AJ8" s="429"/>
    </row>
    <row r="9" spans="1:81" s="152" customFormat="1">
      <c r="A9" s="429"/>
      <c r="B9" s="15" t="s">
        <v>964</v>
      </c>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row>
    <row r="10" spans="1:81" s="567" customFormat="1" ht="60.75" customHeight="1">
      <c r="A10" s="565"/>
      <c r="B10" s="596" t="s">
        <v>965</v>
      </c>
      <c r="C10" s="600"/>
      <c r="D10" s="600"/>
      <c r="E10" s="600"/>
      <c r="F10" s="600"/>
      <c r="G10" s="600"/>
      <c r="H10" s="566"/>
      <c r="I10" s="566"/>
      <c r="J10" s="566"/>
      <c r="K10" s="566"/>
      <c r="L10" s="566"/>
      <c r="M10" s="566"/>
      <c r="N10" s="566"/>
      <c r="O10" s="566"/>
      <c r="P10" s="566"/>
      <c r="Q10" s="566"/>
      <c r="R10" s="566"/>
      <c r="S10" s="566"/>
      <c r="T10" s="566"/>
      <c r="U10" s="566"/>
      <c r="V10" s="566"/>
      <c r="W10" s="566"/>
      <c r="X10" s="566"/>
      <c r="Y10" s="566"/>
      <c r="Z10" s="566"/>
      <c r="AA10" s="566"/>
      <c r="AB10" s="566"/>
      <c r="AC10" s="566"/>
      <c r="AD10" s="566"/>
      <c r="AE10" s="566"/>
      <c r="AF10" s="566"/>
      <c r="AG10" s="566"/>
      <c r="AH10" s="566"/>
      <c r="AI10" s="566"/>
      <c r="AJ10" s="566"/>
      <c r="AK10" s="566"/>
      <c r="AL10" s="566"/>
      <c r="AM10" s="566"/>
      <c r="AN10" s="566"/>
      <c r="AO10" s="566"/>
      <c r="AP10" s="566"/>
      <c r="AQ10" s="566"/>
      <c r="AR10" s="566"/>
      <c r="AS10" s="566"/>
      <c r="AT10" s="566"/>
      <c r="AU10" s="566"/>
      <c r="AV10" s="566"/>
      <c r="AW10" s="566"/>
      <c r="AX10" s="566"/>
      <c r="AY10" s="566"/>
      <c r="AZ10" s="566"/>
      <c r="BA10" s="566"/>
      <c r="BB10" s="566"/>
      <c r="BC10" s="566"/>
      <c r="BD10" s="566"/>
      <c r="BE10" s="566"/>
      <c r="BF10" s="566"/>
      <c r="BG10" s="566"/>
      <c r="BH10" s="566"/>
      <c r="BI10" s="566"/>
      <c r="BJ10" s="566"/>
      <c r="BK10" s="566"/>
      <c r="BL10" s="566"/>
      <c r="BM10" s="566"/>
      <c r="BN10" s="566"/>
      <c r="BO10" s="566"/>
      <c r="BP10" s="566"/>
      <c r="BQ10" s="566"/>
      <c r="BR10" s="566"/>
      <c r="BS10" s="566"/>
      <c r="BT10" s="566"/>
      <c r="BU10" s="566"/>
      <c r="BV10" s="566"/>
      <c r="BW10" s="566"/>
      <c r="BX10" s="566"/>
      <c r="BY10" s="566"/>
      <c r="BZ10" s="566"/>
      <c r="CA10" s="566"/>
      <c r="CB10" s="566"/>
      <c r="CC10" s="566"/>
    </row>
    <row r="11" spans="1:81" s="152" customFormat="1">
      <c r="A11" s="429"/>
      <c r="B11" s="429"/>
      <c r="C11" s="429"/>
      <c r="D11" s="429"/>
      <c r="E11" s="429"/>
      <c r="F11" s="429"/>
      <c r="G11" s="429"/>
      <c r="H11" s="429"/>
      <c r="I11" s="429"/>
      <c r="J11" s="429"/>
      <c r="K11" s="429"/>
      <c r="L11" s="429"/>
      <c r="M11" s="429"/>
      <c r="N11" s="429"/>
      <c r="O11" s="429"/>
      <c r="P11" s="429"/>
      <c r="Q11" s="429"/>
      <c r="R11" s="429"/>
      <c r="S11" s="429"/>
      <c r="T11" s="429"/>
      <c r="U11" s="429"/>
      <c r="V11" s="429"/>
      <c r="W11" s="429"/>
      <c r="X11" s="429"/>
      <c r="Y11" s="429"/>
      <c r="Z11" s="429"/>
      <c r="AA11" s="429"/>
      <c r="AB11" s="429"/>
      <c r="AC11" s="429"/>
      <c r="AD11" s="429"/>
      <c r="AE11" s="429"/>
      <c r="AF11" s="429"/>
      <c r="AG11" s="429"/>
      <c r="AH11" s="429"/>
      <c r="AI11" s="429"/>
      <c r="AJ11" s="429"/>
    </row>
    <row r="12" spans="1:81" s="152" customFormat="1">
      <c r="A12" s="429"/>
      <c r="B12" s="334" t="s">
        <v>966</v>
      </c>
      <c r="C12" s="334"/>
      <c r="D12" s="334"/>
      <c r="E12" s="334"/>
      <c r="F12" s="334"/>
      <c r="G12" s="334"/>
      <c r="H12" s="334"/>
      <c r="I12" s="334"/>
      <c r="J12" s="334"/>
      <c r="K12" s="334"/>
      <c r="L12" s="334"/>
      <c r="M12" s="334"/>
      <c r="N12" s="334"/>
      <c r="O12" s="334"/>
      <c r="P12" s="334"/>
      <c r="Q12" s="334"/>
      <c r="R12" s="334"/>
      <c r="S12" s="334"/>
      <c r="T12" s="334"/>
      <c r="U12" s="334"/>
      <c r="V12" s="334"/>
      <c r="W12" s="334"/>
      <c r="X12" s="334"/>
      <c r="Y12" s="334"/>
      <c r="Z12" s="334"/>
      <c r="AA12" s="334"/>
      <c r="AB12" s="334"/>
      <c r="AC12" s="334"/>
      <c r="AD12" s="334"/>
      <c r="AE12" s="334"/>
      <c r="AF12" s="334"/>
      <c r="AG12" s="334"/>
      <c r="AH12" s="334"/>
      <c r="AI12" s="334"/>
      <c r="AJ12" s="334"/>
      <c r="AK12" s="334"/>
      <c r="AL12" s="334"/>
      <c r="AM12" s="334"/>
      <c r="AN12" s="334"/>
      <c r="AO12" s="334"/>
      <c r="AP12" s="334"/>
      <c r="AQ12" s="334"/>
      <c r="AR12" s="334"/>
      <c r="AS12" s="334"/>
      <c r="AT12" s="334"/>
      <c r="AU12" s="334"/>
      <c r="AV12" s="334"/>
      <c r="AW12" s="334"/>
      <c r="AX12" s="334"/>
      <c r="AY12" s="334"/>
    </row>
    <row r="13" spans="1:81" s="152" customFormat="1">
      <c r="A13" s="429"/>
      <c r="B13" s="336"/>
      <c r="C13" s="336"/>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row>
    <row r="14" spans="1:81" customFormat="1">
      <c r="E14" t="s">
        <v>58</v>
      </c>
      <c r="AJ14" s="527" t="s">
        <v>625</v>
      </c>
      <c r="AK14" s="527" t="s">
        <v>626</v>
      </c>
      <c r="AL14" s="527" t="s">
        <v>627</v>
      </c>
      <c r="AM14" s="527" t="s">
        <v>628</v>
      </c>
      <c r="AN14" s="527" t="s">
        <v>629</v>
      </c>
      <c r="AO14" s="527" t="s">
        <v>630</v>
      </c>
      <c r="AP14" s="527" t="s">
        <v>631</v>
      </c>
      <c r="AQ14" s="527" t="s">
        <v>632</v>
      </c>
      <c r="AR14" s="527" t="s">
        <v>633</v>
      </c>
      <c r="AS14" s="527" t="s">
        <v>634</v>
      </c>
      <c r="AT14" s="527" t="s">
        <v>635</v>
      </c>
      <c r="AU14" s="527" t="s">
        <v>636</v>
      </c>
      <c r="AV14" s="527" t="s">
        <v>637</v>
      </c>
      <c r="AW14" s="527" t="s">
        <v>638</v>
      </c>
    </row>
    <row r="15" spans="1:81" customFormat="1">
      <c r="E15" s="195" t="s">
        <v>930</v>
      </c>
      <c r="AJ15" s="527">
        <v>1</v>
      </c>
      <c r="AK15" s="527">
        <v>2</v>
      </c>
      <c r="AL15" s="527">
        <v>3</v>
      </c>
      <c r="AM15" s="527">
        <v>4</v>
      </c>
      <c r="AN15" s="527">
        <v>5</v>
      </c>
      <c r="AO15" s="527">
        <v>6</v>
      </c>
      <c r="AP15" s="527">
        <v>7</v>
      </c>
      <c r="AQ15" s="527">
        <v>8</v>
      </c>
      <c r="AR15" s="527">
        <v>9</v>
      </c>
      <c r="AS15" s="527">
        <v>10</v>
      </c>
      <c r="AT15" s="527">
        <v>11</v>
      </c>
      <c r="AU15" s="527">
        <v>12</v>
      </c>
      <c r="AV15" s="527">
        <v>13</v>
      </c>
      <c r="AW15" s="527">
        <v>14</v>
      </c>
    </row>
    <row r="16" spans="1:81" s="498" customFormat="1">
      <c r="A16"/>
      <c r="B16"/>
      <c r="C16"/>
      <c r="D16"/>
      <c r="E16"/>
      <c r="F16"/>
      <c r="G16"/>
      <c r="H16"/>
      <c r="I16"/>
      <c r="J16"/>
      <c r="K16"/>
      <c r="L16"/>
      <c r="M16"/>
      <c r="N16"/>
      <c r="O16"/>
      <c r="P16"/>
      <c r="Q16"/>
      <c r="R16"/>
      <c r="S16"/>
      <c r="T16"/>
      <c r="U16"/>
      <c r="V16"/>
      <c r="W16"/>
      <c r="X16"/>
      <c r="Y16"/>
      <c r="Z16"/>
      <c r="AA16"/>
      <c r="AB16"/>
      <c r="AC16"/>
      <c r="AD16"/>
      <c r="AE16"/>
      <c r="AF16"/>
      <c r="AG16"/>
      <c r="AH16"/>
      <c r="AI16"/>
      <c r="AJ16"/>
    </row>
    <row r="17" spans="1:52" s="498" customFormat="1">
      <c r="A17"/>
      <c r="B17"/>
      <c r="C17"/>
      <c r="D17"/>
      <c r="E17" t="s">
        <v>931</v>
      </c>
      <c r="F17"/>
      <c r="G17" t="s">
        <v>844</v>
      </c>
      <c r="H17"/>
      <c r="I17"/>
      <c r="J17"/>
      <c r="K17"/>
      <c r="L17"/>
      <c r="M17"/>
      <c r="N17"/>
      <c r="O17"/>
      <c r="P17"/>
      <c r="Q17"/>
      <c r="R17"/>
      <c r="S17"/>
      <c r="T17"/>
      <c r="U17"/>
      <c r="V17"/>
      <c r="W17"/>
      <c r="X17"/>
      <c r="Y17"/>
      <c r="Z17"/>
      <c r="AA17"/>
      <c r="AB17"/>
      <c r="AC17"/>
      <c r="AD17"/>
      <c r="AE17"/>
      <c r="AF17"/>
      <c r="AG17"/>
      <c r="AH17"/>
      <c r="AI17"/>
      <c r="AJ17" s="293"/>
      <c r="AK17" s="293"/>
      <c r="AL17" s="293"/>
      <c r="AM17" s="293"/>
      <c r="AN17" s="293"/>
      <c r="AO17" s="293"/>
      <c r="AP17" s="293"/>
      <c r="AQ17" s="293">
        <f ca="1">OFFSET(SavedResults!$O$30,(AQ$15-1)*LiveResults!$F$11,)</f>
        <v>245.10486343536869</v>
      </c>
      <c r="AR17" s="293">
        <f ca="1">OFFSET(SavedResults!$O$30,(AR$15-1)*LiveResults!$F$11,)</f>
        <v>233.48155050882576</v>
      </c>
      <c r="AS17" s="293">
        <f ca="1">OFFSET(SavedResults!$O$30,(AS$15-1)*LiveResults!$F$11,)</f>
        <v>347.43213981969336</v>
      </c>
      <c r="AT17" s="293"/>
      <c r="AU17" s="293"/>
      <c r="AV17" s="293"/>
      <c r="AW17" s="293"/>
    </row>
    <row r="18" spans="1:52" s="498" customFormat="1">
      <c r="A18"/>
      <c r="B18"/>
      <c r="C18"/>
      <c r="D18"/>
      <c r="E18" t="s">
        <v>932</v>
      </c>
      <c r="F18"/>
      <c r="G18" t="s">
        <v>844</v>
      </c>
      <c r="H18"/>
      <c r="I18"/>
      <c r="J18"/>
      <c r="K18"/>
      <c r="L18"/>
      <c r="M18"/>
      <c r="N18"/>
      <c r="O18"/>
      <c r="P18"/>
      <c r="Q18"/>
      <c r="R18"/>
      <c r="S18"/>
      <c r="T18"/>
      <c r="U18"/>
      <c r="V18"/>
      <c r="W18"/>
      <c r="X18"/>
      <c r="Y18"/>
      <c r="Z18"/>
      <c r="AA18"/>
      <c r="AB18"/>
      <c r="AC18"/>
      <c r="AD18"/>
      <c r="AE18"/>
      <c r="AF18"/>
      <c r="AG18"/>
      <c r="AH18"/>
      <c r="AI18"/>
      <c r="AJ18" s="293"/>
      <c r="AK18" s="293"/>
      <c r="AL18" s="293"/>
      <c r="AM18" s="293"/>
      <c r="AN18" s="293"/>
      <c r="AO18" s="293"/>
      <c r="AP18" s="293"/>
      <c r="AQ18" s="293">
        <f ca="1">OFFSET(SavedResults!$O$57,(AQ$15-1)*LiveResults!$F$11,)</f>
        <v>407.01406909138365</v>
      </c>
      <c r="AR18" s="293">
        <f ca="1">OFFSET(SavedResults!$O$57,(AR$15-1)*LiveResults!$F$11,)</f>
        <v>355.77137212945121</v>
      </c>
      <c r="AS18" s="293">
        <f ca="1">OFFSET(SavedResults!$O$57,(AS$15-1)*LiveResults!$F$11,)</f>
        <v>539.07067283094989</v>
      </c>
      <c r="AT18" s="293"/>
      <c r="AU18" s="293"/>
      <c r="AV18" s="293"/>
      <c r="AW18" s="293"/>
      <c r="AX18" s="195"/>
      <c r="AY18" s="195"/>
    </row>
    <row r="19" spans="1:52" s="498" customFormat="1">
      <c r="A19"/>
      <c r="B19"/>
      <c r="C19"/>
      <c r="D19"/>
      <c r="E19" t="s">
        <v>933</v>
      </c>
      <c r="F19"/>
      <c r="G19" t="s">
        <v>844</v>
      </c>
      <c r="H19"/>
      <c r="I19"/>
      <c r="J19"/>
      <c r="K19"/>
      <c r="L19"/>
      <c r="M19"/>
      <c r="N19"/>
      <c r="O19"/>
      <c r="P19"/>
      <c r="Q19"/>
      <c r="R19"/>
      <c r="S19"/>
      <c r="T19"/>
      <c r="U19"/>
      <c r="V19"/>
      <c r="W19"/>
      <c r="X19"/>
      <c r="Y19"/>
      <c r="Z19"/>
      <c r="AA19"/>
      <c r="AB19"/>
      <c r="AC19"/>
      <c r="AD19"/>
      <c r="AE19"/>
      <c r="AF19"/>
      <c r="AG19"/>
      <c r="AH19"/>
      <c r="AI19"/>
      <c r="AJ19" s="293"/>
      <c r="AK19" s="293"/>
      <c r="AL19" s="293"/>
      <c r="AM19" s="293"/>
      <c r="AN19" s="293"/>
      <c r="AO19" s="293"/>
      <c r="AP19" s="293"/>
      <c r="AQ19" s="293">
        <f ca="1">OFFSET(SavedResults!$O$88,(AQ$15-1)*LiveResults!$F$11,)</f>
        <v>551.19690666009285</v>
      </c>
      <c r="AR19" s="293">
        <f ca="1">OFFSET(SavedResults!$O$88,(AR$15-1)*LiveResults!$F$11,)</f>
        <v>556.83520025640246</v>
      </c>
      <c r="AS19" s="293">
        <f ca="1">OFFSET(SavedResults!$O$88,(AS$15-1)*LiveResults!$F$11,)</f>
        <v>838.16290255367539</v>
      </c>
      <c r="AT19" s="293"/>
      <c r="AU19" s="293"/>
      <c r="AV19" s="293"/>
      <c r="AW19" s="293"/>
      <c r="AX19" s="195"/>
      <c r="AY19" s="195"/>
    </row>
    <row r="20" spans="1:52" s="498" customFormat="1">
      <c r="A20"/>
      <c r="B20"/>
      <c r="C20"/>
      <c r="D20"/>
      <c r="E20"/>
      <c r="F20"/>
      <c r="G20"/>
      <c r="H20"/>
      <c r="I20"/>
      <c r="J20"/>
      <c r="K20"/>
      <c r="L20"/>
      <c r="M20"/>
      <c r="N20"/>
      <c r="O20"/>
      <c r="P20"/>
      <c r="Q20"/>
      <c r="R20"/>
      <c r="S20"/>
      <c r="T20"/>
      <c r="U20"/>
      <c r="V20"/>
      <c r="W20"/>
      <c r="X20"/>
      <c r="Y20"/>
      <c r="Z20"/>
      <c r="AA20"/>
      <c r="AB20"/>
      <c r="AC20"/>
      <c r="AD20"/>
      <c r="AE20"/>
      <c r="AF20"/>
      <c r="AG20"/>
      <c r="AH20"/>
      <c r="AI20"/>
      <c r="AJ20"/>
      <c r="AO20" s="195"/>
      <c r="AP20" s="195"/>
    </row>
    <row r="21" spans="1:52" s="498" customFormat="1">
      <c r="A21"/>
      <c r="B21" s="334" t="s">
        <v>935</v>
      </c>
      <c r="C21" s="334"/>
      <c r="D21" s="334"/>
      <c r="E21" s="334"/>
      <c r="F21" s="334"/>
      <c r="G21" s="334"/>
      <c r="H21" s="334"/>
      <c r="I21" s="334"/>
      <c r="J21" s="334"/>
      <c r="K21" s="334"/>
      <c r="L21" s="334"/>
      <c r="M21" s="334"/>
      <c r="N21" s="334"/>
      <c r="O21" s="334"/>
      <c r="P21" s="334"/>
      <c r="Q21" s="334"/>
      <c r="R21" s="334"/>
      <c r="S21" s="334"/>
      <c r="T21" s="334"/>
      <c r="U21" s="334"/>
      <c r="V21" s="334"/>
      <c r="W21" s="334"/>
      <c r="X21" s="334"/>
      <c r="Y21" s="334"/>
      <c r="Z21" s="334"/>
      <c r="AA21" s="334"/>
      <c r="AB21" s="334"/>
      <c r="AC21" s="334"/>
      <c r="AD21" s="334"/>
      <c r="AE21" s="334"/>
      <c r="AF21" s="334"/>
      <c r="AG21" s="334"/>
      <c r="AH21" s="334"/>
      <c r="AI21" s="334"/>
      <c r="AJ21" s="334"/>
      <c r="AK21" s="334"/>
      <c r="AL21" s="334"/>
      <c r="AM21" s="334"/>
      <c r="AN21" s="334"/>
      <c r="AO21" s="334"/>
      <c r="AP21" s="334"/>
      <c r="AQ21" s="334"/>
      <c r="AR21" s="334"/>
      <c r="AS21" s="334"/>
      <c r="AT21" s="334"/>
      <c r="AU21" s="334"/>
      <c r="AV21" s="334"/>
      <c r="AW21" s="334"/>
      <c r="AX21" s="334"/>
      <c r="AY21" s="334"/>
    </row>
    <row r="22" spans="1:52" s="498" customFormat="1">
      <c r="A22"/>
      <c r="B22"/>
      <c r="C22"/>
      <c r="D22"/>
      <c r="E22"/>
      <c r="F22"/>
      <c r="G22"/>
      <c r="H22"/>
      <c r="I22"/>
      <c r="J22"/>
      <c r="K22"/>
      <c r="L22"/>
      <c r="M22"/>
      <c r="N22"/>
      <c r="O22"/>
      <c r="P22"/>
      <c r="Q22"/>
      <c r="R22"/>
      <c r="S22"/>
      <c r="T22"/>
      <c r="U22"/>
      <c r="V22"/>
      <c r="W22"/>
      <c r="X22"/>
      <c r="Y22"/>
      <c r="Z22"/>
      <c r="AA22"/>
      <c r="AB22"/>
      <c r="AC22"/>
      <c r="AD22"/>
      <c r="AE22"/>
      <c r="AF22"/>
      <c r="AG22"/>
      <c r="AH22"/>
      <c r="AI22"/>
      <c r="AJ22"/>
      <c r="AO22" s="195"/>
      <c r="AP22" s="195"/>
    </row>
    <row r="23" spans="1:52" s="498" customFormat="1">
      <c r="A23"/>
      <c r="B23"/>
      <c r="C23"/>
      <c r="D23" s="429" t="s">
        <v>934</v>
      </c>
      <c r="F23"/>
      <c r="G23" t="s">
        <v>49</v>
      </c>
      <c r="H23"/>
      <c r="I23"/>
      <c r="J23"/>
      <c r="K23"/>
      <c r="L23"/>
      <c r="M23"/>
      <c r="N23"/>
      <c r="O23"/>
      <c r="P23"/>
      <c r="Q23"/>
      <c r="R23"/>
      <c r="S23"/>
      <c r="T23"/>
      <c r="U23"/>
      <c r="V23"/>
      <c r="W23"/>
      <c r="X23"/>
      <c r="Y23"/>
      <c r="Z23"/>
      <c r="AA23"/>
      <c r="AB23"/>
      <c r="AC23"/>
      <c r="AD23"/>
      <c r="AE23"/>
      <c r="AF23"/>
      <c r="AG23"/>
      <c r="AH23"/>
      <c r="AI23"/>
      <c r="AJ23" s="433"/>
      <c r="AK23" s="433"/>
      <c r="AL23" s="433"/>
      <c r="AM23" s="433"/>
      <c r="AN23" s="433"/>
      <c r="AO23" s="433"/>
      <c r="AP23" s="433"/>
      <c r="AQ23" s="433">
        <f>AVERAGE(LPN!$AJ$343:$AQ$343)</f>
        <v>0.19999999999999998</v>
      </c>
      <c r="AR23" s="433">
        <f>AVERAGE(SPN!$AJ$343:$AQ$343)</f>
        <v>0.19999999999999998</v>
      </c>
      <c r="AS23" s="433">
        <f>AVERAGE(EPN!$AJ$343:$AQ$343)</f>
        <v>0.19999999999999998</v>
      </c>
      <c r="AT23" s="433"/>
      <c r="AU23" s="433"/>
      <c r="AV23" s="433"/>
      <c r="AW23" s="433"/>
    </row>
    <row r="24" spans="1:52" s="498" customFormat="1">
      <c r="A24"/>
      <c r="B24"/>
      <c r="C24"/>
      <c r="D24"/>
      <c r="E24" s="429"/>
      <c r="F24"/>
      <c r="G24"/>
      <c r="H24"/>
      <c r="I24"/>
      <c r="J24"/>
      <c r="K24"/>
      <c r="L24"/>
      <c r="M24"/>
      <c r="N24"/>
      <c r="O24"/>
      <c r="P24"/>
      <c r="Q24"/>
      <c r="R24"/>
      <c r="S24"/>
      <c r="T24"/>
      <c r="U24"/>
      <c r="V24"/>
      <c r="W24"/>
      <c r="X24"/>
      <c r="Y24"/>
      <c r="Z24"/>
      <c r="AA24"/>
      <c r="AB24"/>
      <c r="AC24"/>
      <c r="AD24"/>
      <c r="AE24"/>
      <c r="AF24"/>
      <c r="AG24"/>
      <c r="AH24"/>
      <c r="AI24"/>
      <c r="AJ24"/>
      <c r="AL24" s="528"/>
      <c r="AO24" s="195"/>
      <c r="AP24"/>
    </row>
    <row r="25" spans="1:52" s="498" customFormat="1">
      <c r="A25"/>
      <c r="B25"/>
      <c r="C25"/>
      <c r="D25" s="429" t="s">
        <v>967</v>
      </c>
      <c r="E25" s="429"/>
      <c r="F25"/>
      <c r="G25" t="s">
        <v>49</v>
      </c>
      <c r="H25"/>
      <c r="I25"/>
      <c r="J25"/>
      <c r="K25"/>
      <c r="L25"/>
      <c r="M25"/>
      <c r="N25"/>
      <c r="O25"/>
      <c r="P25"/>
      <c r="Q25"/>
      <c r="R25"/>
      <c r="S25"/>
      <c r="T25"/>
      <c r="U25"/>
      <c r="V25"/>
      <c r="W25"/>
      <c r="X25"/>
      <c r="Y25"/>
      <c r="Z25"/>
      <c r="AA25"/>
      <c r="AB25"/>
      <c r="AC25"/>
      <c r="AD25"/>
      <c r="AE25"/>
      <c r="AF25"/>
      <c r="AG25"/>
      <c r="AH25"/>
      <c r="AI25"/>
      <c r="AJ25" s="433"/>
      <c r="AK25" s="433"/>
      <c r="AL25" s="433"/>
      <c r="AM25" s="433"/>
      <c r="AN25" s="433"/>
      <c r="AO25" s="433"/>
      <c r="AP25" s="433"/>
      <c r="AQ25" s="433"/>
      <c r="AR25" s="433"/>
      <c r="AS25" s="433"/>
      <c r="AT25" s="433"/>
      <c r="AU25" s="433"/>
      <c r="AV25" s="433"/>
      <c r="AW25" s="433"/>
    </row>
    <row r="26" spans="1:52" s="498" customFormat="1">
      <c r="A26"/>
      <c r="B26"/>
      <c r="C26"/>
      <c r="D26"/>
      <c r="E26" s="429"/>
      <c r="F26"/>
      <c r="G26"/>
      <c r="H26"/>
      <c r="I26"/>
      <c r="J26"/>
      <c r="K26"/>
      <c r="L26"/>
      <c r="M26"/>
      <c r="N26"/>
      <c r="O26"/>
      <c r="P26"/>
      <c r="Q26"/>
      <c r="R26"/>
      <c r="S26"/>
      <c r="T26"/>
      <c r="U26"/>
      <c r="V26"/>
      <c r="W26"/>
      <c r="X26"/>
      <c r="Y26"/>
      <c r="Z26"/>
      <c r="AA26"/>
      <c r="AB26"/>
      <c r="AC26"/>
      <c r="AD26"/>
      <c r="AE26"/>
      <c r="AF26"/>
      <c r="AG26"/>
      <c r="AH26"/>
      <c r="AI26"/>
      <c r="AJ26"/>
      <c r="AL26" s="528"/>
      <c r="AO26" s="195"/>
      <c r="AP26"/>
    </row>
    <row r="27" spans="1:52" s="498" customFormat="1">
      <c r="B27"/>
      <c r="D27" s="529" t="s">
        <v>968</v>
      </c>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row>
    <row r="28" spans="1:52" customFormat="1">
      <c r="D28" s="195"/>
      <c r="E28" s="157" t="s">
        <v>508</v>
      </c>
      <c r="G28" s="157" t="s">
        <v>844</v>
      </c>
      <c r="AJ28" s="541"/>
      <c r="AK28" s="541"/>
      <c r="AL28" s="541"/>
      <c r="AM28" s="541"/>
      <c r="AN28" s="541"/>
      <c r="AO28" s="541"/>
      <c r="AP28" s="541"/>
      <c r="AQ28" s="541">
        <f ca="1">MAX(OFFSET(SavedResults!$O$44,(AQ$15-1)*LiveResults!$F$11,),AQ$29)</f>
        <v>0</v>
      </c>
      <c r="AR28" s="541">
        <f ca="1">MAX(OFFSET(SavedResults!$O$44,(AR$15-1)*LiveResults!$F$11,),AR$29)</f>
        <v>0</v>
      </c>
      <c r="AS28" s="541">
        <f ca="1">MAX(OFFSET(SavedResults!$O$44,(AS$15-1)*LiveResults!$F$11,),AS$29)</f>
        <v>0</v>
      </c>
      <c r="AT28" s="541"/>
      <c r="AU28" s="541"/>
      <c r="AV28" s="541"/>
      <c r="AW28" s="541"/>
    </row>
    <row r="29" spans="1:52" customFormat="1">
      <c r="D29" s="195"/>
      <c r="E29" s="157" t="s">
        <v>507</v>
      </c>
      <c r="G29" s="157" t="s">
        <v>844</v>
      </c>
      <c r="AJ29" s="541"/>
      <c r="AK29" s="541"/>
      <c r="AL29" s="541"/>
      <c r="AM29" s="541"/>
      <c r="AN29" s="541"/>
      <c r="AO29" s="541"/>
      <c r="AP29" s="541"/>
      <c r="AQ29" s="541">
        <v>0</v>
      </c>
      <c r="AR29" s="541">
        <v>0</v>
      </c>
      <c r="AS29" s="541">
        <v>0</v>
      </c>
      <c r="AT29" s="541"/>
      <c r="AU29" s="541"/>
      <c r="AV29" s="541"/>
      <c r="AW29" s="541"/>
    </row>
    <row r="30" spans="1:52" customFormat="1">
      <c r="D30" s="195"/>
      <c r="E30" s="157" t="s">
        <v>509</v>
      </c>
      <c r="G30" s="157" t="s">
        <v>844</v>
      </c>
      <c r="AJ30" s="541"/>
      <c r="AK30" s="541"/>
      <c r="AL30" s="541"/>
      <c r="AM30" s="541"/>
      <c r="AN30" s="541"/>
      <c r="AO30" s="541"/>
      <c r="AP30" s="541"/>
      <c r="AQ30" s="541">
        <v>0</v>
      </c>
      <c r="AR30" s="541">
        <v>0</v>
      </c>
      <c r="AS30" s="541">
        <v>0</v>
      </c>
      <c r="AT30" s="541"/>
      <c r="AU30" s="541"/>
      <c r="AV30" s="541"/>
      <c r="AW30" s="541"/>
      <c r="AZ30" s="424"/>
    </row>
    <row r="31" spans="1:52" s="498" customFormat="1">
      <c r="A31"/>
      <c r="B31"/>
      <c r="C31"/>
      <c r="D31"/>
      <c r="E31" s="429"/>
      <c r="F31"/>
      <c r="G31"/>
      <c r="H31"/>
      <c r="I31"/>
      <c r="J31"/>
      <c r="K31"/>
      <c r="L31"/>
      <c r="M31"/>
      <c r="N31"/>
      <c r="O31"/>
      <c r="P31"/>
      <c r="Q31"/>
      <c r="R31"/>
      <c r="S31"/>
      <c r="T31"/>
      <c r="U31"/>
      <c r="V31"/>
      <c r="W31"/>
      <c r="X31"/>
      <c r="Y31"/>
      <c r="Z31"/>
      <c r="AA31"/>
      <c r="AB31"/>
      <c r="AC31"/>
      <c r="AD31"/>
      <c r="AE31"/>
      <c r="AF31"/>
      <c r="AG31"/>
      <c r="AH31"/>
      <c r="AI31"/>
      <c r="AJ31"/>
      <c r="AL31" s="528"/>
      <c r="AO31" s="195"/>
      <c r="AP31"/>
    </row>
    <row r="32" spans="1:52" s="152" customFormat="1">
      <c r="A32" s="429"/>
      <c r="B32" s="429"/>
      <c r="C32" s="429"/>
      <c r="D32" s="542" t="s">
        <v>69</v>
      </c>
      <c r="E32" s="429"/>
      <c r="F32" s="429"/>
      <c r="G32" s="429"/>
      <c r="H32" s="429"/>
      <c r="I32" s="429"/>
      <c r="J32" s="429"/>
      <c r="K32" s="429"/>
      <c r="L32" s="429"/>
      <c r="M32" s="429"/>
      <c r="N32" s="429"/>
      <c r="O32" s="429"/>
      <c r="P32" s="429"/>
      <c r="Q32" s="429"/>
      <c r="R32" s="429"/>
      <c r="S32" s="429"/>
      <c r="T32" s="429"/>
      <c r="U32" s="429"/>
      <c r="V32" s="429"/>
      <c r="W32" s="429"/>
      <c r="X32" s="429"/>
      <c r="Y32" s="429"/>
      <c r="Z32" s="429"/>
      <c r="AA32" s="429"/>
      <c r="AB32" s="429"/>
      <c r="AC32" s="429"/>
      <c r="AD32" s="429"/>
      <c r="AE32" s="429"/>
      <c r="AF32" s="429"/>
      <c r="AG32" s="429"/>
      <c r="AH32" s="429"/>
      <c r="AI32" s="429"/>
      <c r="AJ32" s="429"/>
      <c r="AL32" s="530"/>
      <c r="AO32" s="195"/>
      <c r="AP32" s="429"/>
      <c r="AQ32" s="195"/>
      <c r="AR32" s="195"/>
      <c r="AS32" s="195"/>
      <c r="AT32" s="195"/>
      <c r="AU32" s="195"/>
      <c r="AV32" s="195"/>
      <c r="AW32" s="195"/>
      <c r="AX32" s="195"/>
      <c r="AY32" s="195"/>
    </row>
    <row r="33" spans="1:50" s="498" customFormat="1">
      <c r="B33"/>
      <c r="C33"/>
      <c r="E33" s="157" t="s">
        <v>969</v>
      </c>
      <c r="F33"/>
      <c r="G33" t="s">
        <v>49</v>
      </c>
      <c r="H33"/>
      <c r="I33"/>
      <c r="J33"/>
      <c r="K33"/>
      <c r="L33"/>
      <c r="M33"/>
      <c r="N33"/>
      <c r="O33"/>
      <c r="P33"/>
      <c r="Q33"/>
      <c r="R33"/>
      <c r="S33"/>
      <c r="T33"/>
      <c r="U33"/>
      <c r="V33"/>
      <c r="W33"/>
      <c r="X33"/>
      <c r="Y33"/>
      <c r="Z33"/>
      <c r="AA33"/>
      <c r="AB33"/>
      <c r="AC33"/>
      <c r="AD33"/>
      <c r="AE33"/>
      <c r="AF33"/>
      <c r="AG33"/>
      <c r="AH33"/>
      <c r="AI33"/>
      <c r="AJ33" s="433"/>
      <c r="AK33" s="433"/>
      <c r="AL33" s="433"/>
      <c r="AM33" s="433"/>
      <c r="AN33" s="433"/>
      <c r="AO33" s="433"/>
      <c r="AP33" s="433"/>
      <c r="AQ33" s="433">
        <v>0.1</v>
      </c>
      <c r="AR33" s="433">
        <v>0.1</v>
      </c>
      <c r="AS33" s="433">
        <v>0.1</v>
      </c>
      <c r="AT33" s="433"/>
      <c r="AU33" s="433"/>
      <c r="AV33" s="433"/>
      <c r="AW33" s="433"/>
    </row>
    <row r="34" spans="1:50" s="498" customFormat="1">
      <c r="B34"/>
      <c r="C34"/>
      <c r="E34" s="157" t="s">
        <v>507</v>
      </c>
      <c r="F34"/>
      <c r="G34" t="s">
        <v>49</v>
      </c>
      <c r="H34"/>
      <c r="I34"/>
      <c r="J34"/>
      <c r="K34"/>
      <c r="L34"/>
      <c r="M34"/>
      <c r="N34"/>
      <c r="O34"/>
      <c r="P34"/>
      <c r="Q34"/>
      <c r="R34"/>
      <c r="S34"/>
      <c r="T34"/>
      <c r="U34"/>
      <c r="V34"/>
      <c r="W34"/>
      <c r="X34"/>
      <c r="Y34"/>
      <c r="Z34"/>
      <c r="AA34"/>
      <c r="AB34"/>
      <c r="AC34"/>
      <c r="AD34"/>
      <c r="AE34"/>
      <c r="AF34"/>
      <c r="AG34"/>
      <c r="AH34"/>
      <c r="AI34"/>
      <c r="AJ34" s="433"/>
      <c r="AK34" s="433"/>
      <c r="AL34" s="433"/>
      <c r="AM34" s="433"/>
      <c r="AN34" s="433"/>
      <c r="AO34" s="433"/>
      <c r="AP34" s="433"/>
      <c r="AQ34" s="433">
        <v>0</v>
      </c>
      <c r="AR34" s="433">
        <v>0</v>
      </c>
      <c r="AS34" s="433">
        <v>0</v>
      </c>
      <c r="AT34" s="433"/>
      <c r="AU34" s="433"/>
      <c r="AV34" s="433"/>
      <c r="AW34" s="433"/>
    </row>
    <row r="35" spans="1:50" s="498" customFormat="1">
      <c r="A35"/>
      <c r="B35"/>
      <c r="C35"/>
      <c r="E35" s="157" t="s">
        <v>970</v>
      </c>
      <c r="F35"/>
      <c r="G35" t="s">
        <v>49</v>
      </c>
      <c r="H35"/>
      <c r="I35"/>
      <c r="J35"/>
      <c r="K35"/>
      <c r="L35"/>
      <c r="M35"/>
      <c r="N35"/>
      <c r="O35"/>
      <c r="P35"/>
      <c r="Q35"/>
      <c r="R35"/>
      <c r="S35"/>
      <c r="T35"/>
      <c r="U35"/>
      <c r="V35"/>
      <c r="W35"/>
      <c r="X35"/>
      <c r="Y35"/>
      <c r="Z35"/>
      <c r="AA35"/>
      <c r="AB35"/>
      <c r="AC35"/>
      <c r="AD35"/>
      <c r="AE35"/>
      <c r="AF35"/>
      <c r="AG35"/>
      <c r="AH35"/>
      <c r="AI35"/>
      <c r="AJ35" s="433"/>
      <c r="AK35" s="433"/>
      <c r="AL35" s="433"/>
      <c r="AM35" s="433"/>
      <c r="AN35" s="433"/>
      <c r="AO35" s="433"/>
      <c r="AP35" s="433"/>
      <c r="AQ35" s="433">
        <v>-0.1</v>
      </c>
      <c r="AR35" s="433">
        <v>-0.1</v>
      </c>
      <c r="AS35" s="433">
        <v>-0.1</v>
      </c>
      <c r="AT35" s="433"/>
      <c r="AU35" s="433"/>
      <c r="AV35" s="433"/>
      <c r="AW35" s="433"/>
    </row>
    <row r="36" spans="1:50" ht="12.75" customHeight="1"/>
    <row r="37" spans="1:50" customFormat="1">
      <c r="D37" s="529" t="s">
        <v>616</v>
      </c>
      <c r="E37" s="498"/>
    </row>
    <row r="38" spans="1:50" customFormat="1">
      <c r="D38" s="498"/>
      <c r="E38" s="157" t="s">
        <v>508</v>
      </c>
      <c r="G38" t="s">
        <v>49</v>
      </c>
      <c r="AJ38" s="433"/>
      <c r="AK38" s="433"/>
      <c r="AL38" s="433"/>
      <c r="AM38" s="433"/>
      <c r="AN38" s="433"/>
      <c r="AO38" s="433"/>
      <c r="AP38" s="433"/>
      <c r="AQ38" s="433">
        <f t="shared" ref="AQ38:AS38" si="0">0.33%</f>
        <v>3.3E-3</v>
      </c>
      <c r="AR38" s="433">
        <f t="shared" si="0"/>
        <v>3.3E-3</v>
      </c>
      <c r="AS38" s="433">
        <f t="shared" si="0"/>
        <v>3.3E-3</v>
      </c>
      <c r="AT38" s="433"/>
      <c r="AU38" s="433"/>
      <c r="AV38" s="433"/>
      <c r="AW38" s="433"/>
    </row>
    <row r="39" spans="1:50" customFormat="1">
      <c r="D39" s="195"/>
      <c r="E39" s="157" t="s">
        <v>507</v>
      </c>
      <c r="G39" t="s">
        <v>49</v>
      </c>
      <c r="AJ39" s="433"/>
      <c r="AK39" s="433"/>
      <c r="AL39" s="433"/>
      <c r="AM39" s="433"/>
      <c r="AN39" s="433"/>
      <c r="AO39" s="433"/>
      <c r="AP39" s="433"/>
      <c r="AQ39" s="433">
        <v>0</v>
      </c>
      <c r="AR39" s="433">
        <v>0</v>
      </c>
      <c r="AS39" s="433">
        <v>0</v>
      </c>
      <c r="AT39" s="433"/>
      <c r="AU39" s="433"/>
      <c r="AV39" s="433"/>
      <c r="AW39" s="433"/>
    </row>
    <row r="40" spans="1:50" customFormat="1">
      <c r="D40" s="195"/>
      <c r="E40" s="157" t="s">
        <v>509</v>
      </c>
      <c r="G40" t="s">
        <v>49</v>
      </c>
      <c r="AJ40" s="433"/>
      <c r="AK40" s="433"/>
      <c r="AL40" s="433"/>
      <c r="AM40" s="433"/>
      <c r="AN40" s="433"/>
      <c r="AO40" s="433"/>
      <c r="AP40" s="433"/>
      <c r="AQ40" s="433">
        <f t="shared" ref="AQ40:AS40" si="1">-0.33%</f>
        <v>-3.3E-3</v>
      </c>
      <c r="AR40" s="433">
        <f t="shared" si="1"/>
        <v>-3.3E-3</v>
      </c>
      <c r="AS40" s="433">
        <f t="shared" si="1"/>
        <v>-3.3E-3</v>
      </c>
      <c r="AT40" s="433"/>
      <c r="AU40" s="433"/>
      <c r="AV40" s="433"/>
      <c r="AW40" s="433"/>
    </row>
    <row r="41" spans="1:50" ht="12.75" customHeight="1"/>
    <row r="42" spans="1:50" s="498" customFormat="1">
      <c r="A42"/>
      <c r="B42"/>
      <c r="C42"/>
      <c r="D42" s="157" t="s">
        <v>938</v>
      </c>
      <c r="E42" s="157"/>
      <c r="H42"/>
      <c r="I42"/>
      <c r="J42"/>
      <c r="K42"/>
      <c r="L42"/>
      <c r="M42"/>
      <c r="N42"/>
      <c r="O42"/>
      <c r="P42"/>
      <c r="Q42"/>
      <c r="R42"/>
      <c r="S42"/>
      <c r="T42"/>
      <c r="U42"/>
      <c r="V42"/>
      <c r="W42"/>
      <c r="X42"/>
      <c r="Y42"/>
      <c r="Z42"/>
      <c r="AA42"/>
      <c r="AB42"/>
      <c r="AC42"/>
      <c r="AD42"/>
      <c r="AE42"/>
      <c r="AF42"/>
      <c r="AG42"/>
      <c r="AH42"/>
      <c r="AI42"/>
      <c r="AJ42" s="266"/>
      <c r="AK42" s="266"/>
      <c r="AL42" s="266"/>
      <c r="AM42" s="266"/>
      <c r="AN42" s="266"/>
      <c r="AO42" s="266"/>
      <c r="AP42" s="266"/>
      <c r="AQ42" s="266"/>
      <c r="AR42" s="266"/>
      <c r="AS42" s="266"/>
      <c r="AT42" s="266"/>
      <c r="AU42" s="266"/>
      <c r="AV42" s="266"/>
      <c r="AW42" s="266"/>
      <c r="AX42" s="147"/>
    </row>
    <row r="43" spans="1:50" s="498" customFormat="1">
      <c r="B43"/>
      <c r="E43" s="157" t="s">
        <v>508</v>
      </c>
      <c r="F43"/>
      <c r="G43" t="s">
        <v>971</v>
      </c>
      <c r="H43"/>
      <c r="I43"/>
      <c r="J43"/>
      <c r="K43"/>
      <c r="L43"/>
      <c r="M43"/>
      <c r="N43"/>
      <c r="O43"/>
      <c r="P43"/>
      <c r="Q43"/>
      <c r="R43"/>
      <c r="S43"/>
      <c r="T43"/>
      <c r="U43"/>
      <c r="V43"/>
      <c r="W43"/>
      <c r="X43"/>
      <c r="Y43"/>
      <c r="Z43"/>
      <c r="AA43"/>
      <c r="AB43"/>
      <c r="AC43"/>
      <c r="AD43"/>
      <c r="AE43"/>
      <c r="AF43"/>
      <c r="AG43"/>
      <c r="AH43"/>
      <c r="AI43"/>
      <c r="AJ43" s="433"/>
      <c r="AK43" s="433"/>
      <c r="AL43" s="433"/>
      <c r="AM43" s="433"/>
      <c r="AN43" s="433"/>
      <c r="AO43" s="433"/>
      <c r="AP43" s="433"/>
      <c r="AQ43" s="433">
        <v>2.5000000000000001E-2</v>
      </c>
      <c r="AR43" s="433">
        <v>2.5000000000000001E-2</v>
      </c>
      <c r="AS43" s="433">
        <v>2.5000000000000001E-2</v>
      </c>
      <c r="AT43" s="433"/>
      <c r="AU43" s="433"/>
      <c r="AV43" s="433"/>
      <c r="AW43" s="433"/>
    </row>
    <row r="44" spans="1:50" s="498" customFormat="1">
      <c r="B44"/>
      <c r="E44" s="157" t="s">
        <v>507</v>
      </c>
      <c r="F44"/>
      <c r="G44" t="s">
        <v>971</v>
      </c>
      <c r="H44"/>
      <c r="I44"/>
      <c r="J44"/>
      <c r="K44"/>
      <c r="L44"/>
      <c r="M44"/>
      <c r="N44"/>
      <c r="O44"/>
      <c r="P44"/>
      <c r="Q44"/>
      <c r="R44"/>
      <c r="S44"/>
      <c r="T44"/>
      <c r="U44"/>
      <c r="V44"/>
      <c r="W44"/>
      <c r="X44"/>
      <c r="Y44"/>
      <c r="Z44"/>
      <c r="AA44"/>
      <c r="AB44"/>
      <c r="AC44"/>
      <c r="AD44"/>
      <c r="AE44"/>
      <c r="AF44"/>
      <c r="AG44"/>
      <c r="AH44"/>
      <c r="AI44"/>
      <c r="AJ44" s="433"/>
      <c r="AK44" s="433"/>
      <c r="AL44" s="433"/>
      <c r="AM44" s="433"/>
      <c r="AN44" s="433"/>
      <c r="AO44" s="433"/>
      <c r="AP44" s="433"/>
      <c r="AQ44" s="433">
        <v>0</v>
      </c>
      <c r="AR44" s="433">
        <v>0</v>
      </c>
      <c r="AS44" s="433">
        <v>0</v>
      </c>
      <c r="AT44" s="433"/>
      <c r="AU44" s="433"/>
      <c r="AV44" s="433"/>
      <c r="AW44" s="433"/>
    </row>
    <row r="45" spans="1:50" s="498" customFormat="1">
      <c r="B45"/>
      <c r="E45" s="157" t="s">
        <v>509</v>
      </c>
      <c r="F45"/>
      <c r="G45" t="s">
        <v>971</v>
      </c>
      <c r="H45"/>
      <c r="I45"/>
      <c r="J45"/>
      <c r="K45"/>
      <c r="L45"/>
      <c r="M45"/>
      <c r="N45"/>
      <c r="O45"/>
      <c r="P45"/>
      <c r="Q45"/>
      <c r="R45"/>
      <c r="S45"/>
      <c r="T45"/>
      <c r="U45"/>
      <c r="V45"/>
      <c r="W45"/>
      <c r="X45"/>
      <c r="Y45"/>
      <c r="Z45"/>
      <c r="AA45"/>
      <c r="AB45"/>
      <c r="AC45"/>
      <c r="AD45"/>
      <c r="AE45"/>
      <c r="AF45"/>
      <c r="AG45"/>
      <c r="AH45"/>
      <c r="AI45"/>
      <c r="AJ45" s="433"/>
      <c r="AK45" s="433"/>
      <c r="AL45" s="433"/>
      <c r="AM45" s="433"/>
      <c r="AN45" s="433"/>
      <c r="AO45" s="433"/>
      <c r="AP45" s="433"/>
      <c r="AQ45" s="433">
        <v>-2.5000000000000001E-2</v>
      </c>
      <c r="AR45" s="433">
        <v>-2.5000000000000001E-2</v>
      </c>
      <c r="AS45" s="433">
        <v>-2.5000000000000001E-2</v>
      </c>
      <c r="AT45" s="433"/>
      <c r="AU45" s="433"/>
      <c r="AV45" s="433"/>
      <c r="AW45" s="433"/>
    </row>
    <row r="46" spans="1:50" s="498" customFormat="1">
      <c r="B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row>
    <row r="47" spans="1:50" customFormat="1">
      <c r="D47" s="157" t="s">
        <v>939</v>
      </c>
      <c r="E47" s="195"/>
      <c r="G47" s="157"/>
    </row>
    <row r="48" spans="1:50" customFormat="1">
      <c r="E48" s="157" t="s">
        <v>936</v>
      </c>
      <c r="G48" s="157" t="s">
        <v>844</v>
      </c>
      <c r="AJ48" s="541"/>
      <c r="AK48" s="541"/>
      <c r="AL48" s="541"/>
      <c r="AM48" s="541"/>
      <c r="AN48" s="541"/>
      <c r="AO48" s="541"/>
      <c r="AP48" s="541"/>
      <c r="AQ48" s="541">
        <v>4</v>
      </c>
      <c r="AR48" s="541">
        <v>4</v>
      </c>
      <c r="AS48" s="541">
        <v>4</v>
      </c>
      <c r="AT48" s="541"/>
      <c r="AU48" s="541"/>
      <c r="AV48" s="541"/>
      <c r="AW48" s="541"/>
      <c r="AX48" s="266"/>
    </row>
    <row r="49" spans="2:50" customFormat="1">
      <c r="E49" s="157" t="s">
        <v>940</v>
      </c>
      <c r="G49" s="157" t="s">
        <v>844</v>
      </c>
      <c r="AJ49" s="541"/>
      <c r="AK49" s="541"/>
      <c r="AL49" s="541"/>
      <c r="AM49" s="541"/>
      <c r="AN49" s="541"/>
      <c r="AO49" s="541"/>
      <c r="AP49" s="541"/>
      <c r="AQ49" s="541">
        <f t="shared" ref="AQ49:AS49" si="2">AVERAGE(AQ48,AQ50)</f>
        <v>2</v>
      </c>
      <c r="AR49" s="541">
        <f t="shared" si="2"/>
        <v>2</v>
      </c>
      <c r="AS49" s="541">
        <f t="shared" si="2"/>
        <v>2</v>
      </c>
      <c r="AT49" s="541"/>
      <c r="AU49" s="541"/>
      <c r="AV49" s="541"/>
      <c r="AW49" s="541"/>
      <c r="AX49" s="266"/>
    </row>
    <row r="50" spans="2:50" customFormat="1">
      <c r="E50" s="157" t="s">
        <v>937</v>
      </c>
      <c r="G50" s="157" t="s">
        <v>844</v>
      </c>
      <c r="AJ50" s="541"/>
      <c r="AK50" s="541"/>
      <c r="AL50" s="541"/>
      <c r="AM50" s="541"/>
      <c r="AN50" s="541"/>
      <c r="AO50" s="541"/>
      <c r="AP50" s="541"/>
      <c r="AQ50" s="541">
        <v>0</v>
      </c>
      <c r="AR50" s="541">
        <v>0</v>
      </c>
      <c r="AS50" s="541">
        <v>0</v>
      </c>
      <c r="AT50" s="541"/>
      <c r="AU50" s="541"/>
      <c r="AV50" s="541"/>
      <c r="AW50" s="541"/>
      <c r="AX50" s="266"/>
    </row>
    <row r="51" spans="2:50" customFormat="1">
      <c r="E51" s="157"/>
      <c r="AJ51" s="266"/>
      <c r="AK51" s="266"/>
      <c r="AL51" s="266"/>
      <c r="AM51" s="266"/>
      <c r="AN51" s="266"/>
      <c r="AO51" s="266"/>
      <c r="AP51" s="266"/>
      <c r="AQ51" s="266"/>
      <c r="AR51" s="266"/>
      <c r="AS51" s="266"/>
      <c r="AT51" s="266"/>
      <c r="AU51" s="266"/>
      <c r="AV51" s="266"/>
      <c r="AW51" s="266"/>
      <c r="AX51" s="266"/>
    </row>
    <row r="52" spans="2:50" customFormat="1">
      <c r="D52" s="157" t="s">
        <v>972</v>
      </c>
      <c r="E52" s="157"/>
      <c r="AX52" s="266"/>
    </row>
    <row r="53" spans="2:50" customFormat="1">
      <c r="E53" s="157" t="s">
        <v>936</v>
      </c>
      <c r="G53" s="157" t="s">
        <v>844</v>
      </c>
      <c r="AJ53" s="531"/>
      <c r="AK53" s="531"/>
      <c r="AL53" s="531"/>
      <c r="AM53" s="531"/>
      <c r="AN53" s="531"/>
      <c r="AO53" s="531"/>
      <c r="AP53" s="531"/>
      <c r="AQ53" s="531">
        <v>4</v>
      </c>
      <c r="AR53" s="531">
        <v>4</v>
      </c>
      <c r="AS53" s="531">
        <v>4</v>
      </c>
      <c r="AT53" s="531"/>
      <c r="AU53" s="531"/>
      <c r="AV53" s="531"/>
      <c r="AW53" s="531"/>
      <c r="AX53" s="266"/>
    </row>
    <row r="54" spans="2:50" customFormat="1">
      <c r="E54" s="157" t="s">
        <v>940</v>
      </c>
      <c r="G54" s="157" t="s">
        <v>844</v>
      </c>
      <c r="AJ54" s="541"/>
      <c r="AK54" s="541"/>
      <c r="AL54" s="541"/>
      <c r="AM54" s="541"/>
      <c r="AN54" s="541"/>
      <c r="AO54" s="541"/>
      <c r="AP54" s="541"/>
      <c r="AQ54" s="541">
        <f t="shared" ref="AQ54:AS54" si="3">AVERAGE(AQ53,AQ55)</f>
        <v>2</v>
      </c>
      <c r="AR54" s="541">
        <f t="shared" si="3"/>
        <v>2</v>
      </c>
      <c r="AS54" s="541">
        <f t="shared" si="3"/>
        <v>2</v>
      </c>
      <c r="AT54" s="541"/>
      <c r="AU54" s="541"/>
      <c r="AV54" s="541"/>
      <c r="AW54" s="541"/>
      <c r="AX54" s="266"/>
    </row>
    <row r="55" spans="2:50" ht="12.75" customHeight="1">
      <c r="D55"/>
      <c r="E55" s="157" t="s">
        <v>937</v>
      </c>
      <c r="F55"/>
      <c r="G55" s="157" t="s">
        <v>844</v>
      </c>
      <c r="H55"/>
      <c r="I55"/>
      <c r="J55"/>
      <c r="K55"/>
      <c r="L55"/>
      <c r="M55"/>
      <c r="N55"/>
      <c r="O55"/>
      <c r="P55"/>
      <c r="Q55"/>
      <c r="R55"/>
      <c r="S55"/>
      <c r="T55"/>
      <c r="U55"/>
      <c r="V55"/>
      <c r="W55"/>
      <c r="X55"/>
      <c r="Y55"/>
      <c r="Z55"/>
      <c r="AA55"/>
      <c r="AB55"/>
      <c r="AC55"/>
      <c r="AD55"/>
      <c r="AE55"/>
      <c r="AF55"/>
      <c r="AG55"/>
      <c r="AH55"/>
      <c r="AI55"/>
      <c r="AJ55" s="531"/>
      <c r="AK55" s="531"/>
      <c r="AL55" s="531"/>
      <c r="AM55" s="531"/>
      <c r="AN55" s="531"/>
      <c r="AO55" s="531"/>
      <c r="AP55" s="531"/>
      <c r="AQ55" s="531">
        <v>0</v>
      </c>
      <c r="AR55" s="531">
        <v>0</v>
      </c>
      <c r="AS55" s="531">
        <v>0</v>
      </c>
      <c r="AT55" s="531"/>
      <c r="AU55" s="531"/>
      <c r="AV55" s="531"/>
      <c r="AW55" s="531"/>
    </row>
    <row r="56" spans="2:50" ht="12.75" customHeight="1"/>
    <row r="57" spans="2:50" customFormat="1">
      <c r="B57" s="195"/>
      <c r="C57" s="195"/>
      <c r="D57" s="157" t="s">
        <v>941</v>
      </c>
      <c r="E57" s="157"/>
      <c r="AJ57" s="266"/>
      <c r="AK57" s="266"/>
      <c r="AL57" s="266"/>
      <c r="AM57" s="266"/>
      <c r="AN57" s="266"/>
      <c r="AO57" s="266"/>
      <c r="AP57" s="266"/>
      <c r="AQ57" s="266"/>
      <c r="AR57" s="266"/>
      <c r="AS57" s="266"/>
      <c r="AT57" s="195"/>
      <c r="AU57" s="195"/>
      <c r="AV57" s="195"/>
      <c r="AW57" s="195"/>
      <c r="AX57" s="266"/>
    </row>
    <row r="58" spans="2:50" customFormat="1">
      <c r="B58" s="195"/>
      <c r="C58" s="195"/>
      <c r="D58" s="498"/>
      <c r="E58" s="157" t="s">
        <v>508</v>
      </c>
      <c r="G58" t="s">
        <v>971</v>
      </c>
      <c r="AJ58" s="534"/>
      <c r="AK58" s="534"/>
      <c r="AL58" s="534"/>
      <c r="AM58" s="534"/>
      <c r="AN58" s="534"/>
      <c r="AO58" s="534"/>
      <c r="AP58" s="534"/>
      <c r="AQ58" s="534">
        <v>0</v>
      </c>
      <c r="AR58" s="534">
        <v>0</v>
      </c>
      <c r="AS58" s="534">
        <v>0</v>
      </c>
      <c r="AT58" s="534"/>
      <c r="AU58" s="534"/>
      <c r="AV58" s="534"/>
      <c r="AW58" s="534"/>
      <c r="AX58" s="266"/>
    </row>
    <row r="59" spans="2:50" customFormat="1">
      <c r="B59" s="195"/>
      <c r="C59" s="195"/>
      <c r="D59" s="498"/>
      <c r="E59" s="157" t="s">
        <v>507</v>
      </c>
      <c r="G59" t="s">
        <v>971</v>
      </c>
      <c r="AJ59" s="534"/>
      <c r="AK59" s="534"/>
      <c r="AL59" s="534"/>
      <c r="AM59" s="534"/>
      <c r="AN59" s="534"/>
      <c r="AO59" s="534"/>
      <c r="AP59" s="534"/>
      <c r="AQ59" s="534">
        <f t="shared" ref="AQ59:AS59" si="4">AVERAGE(AQ58,AQ60)</f>
        <v>-8.0000000000000002E-3</v>
      </c>
      <c r="AR59" s="534">
        <f t="shared" si="4"/>
        <v>-8.0000000000000002E-3</v>
      </c>
      <c r="AS59" s="534">
        <f t="shared" si="4"/>
        <v>-8.0000000000000002E-3</v>
      </c>
      <c r="AT59" s="534"/>
      <c r="AU59" s="534"/>
      <c r="AV59" s="534"/>
      <c r="AW59" s="534"/>
      <c r="AX59" s="266"/>
    </row>
    <row r="60" spans="2:50" customFormat="1">
      <c r="B60" s="195"/>
      <c r="C60" s="195"/>
      <c r="D60" s="498"/>
      <c r="E60" s="157" t="s">
        <v>509</v>
      </c>
      <c r="G60" t="s">
        <v>971</v>
      </c>
      <c r="AJ60" s="534"/>
      <c r="AK60" s="534"/>
      <c r="AL60" s="534"/>
      <c r="AM60" s="534"/>
      <c r="AN60" s="534"/>
      <c r="AO60" s="534"/>
      <c r="AP60" s="534"/>
      <c r="AQ60" s="534">
        <v>-1.6E-2</v>
      </c>
      <c r="AR60" s="534">
        <v>-1.6E-2</v>
      </c>
      <c r="AS60" s="534">
        <v>-1.6E-2</v>
      </c>
      <c r="AT60" s="534"/>
      <c r="AU60" s="534"/>
      <c r="AV60" s="534"/>
      <c r="AW60" s="534"/>
      <c r="AX60" s="266"/>
    </row>
    <row r="61" spans="2:50" customFormat="1">
      <c r="C61" s="195"/>
      <c r="E61" s="529"/>
      <c r="AJ61" s="266"/>
      <c r="AK61" s="532"/>
      <c r="AL61" s="266"/>
      <c r="AM61" s="266"/>
      <c r="AN61" s="266"/>
      <c r="AO61" s="266"/>
      <c r="AP61" s="266"/>
      <c r="AQ61" s="266"/>
      <c r="AR61" s="266"/>
      <c r="AS61" s="266"/>
      <c r="AT61" s="266"/>
      <c r="AU61" s="266"/>
      <c r="AV61" s="266"/>
      <c r="AW61" s="266"/>
      <c r="AX61" s="266"/>
    </row>
    <row r="62" spans="2:50" customFormat="1">
      <c r="C62" s="195"/>
      <c r="D62" s="157" t="s">
        <v>802</v>
      </c>
      <c r="E62" s="157"/>
      <c r="F62" s="195"/>
      <c r="G62" s="195"/>
      <c r="AJ62" s="532"/>
      <c r="AK62" s="266"/>
      <c r="AL62" s="266"/>
      <c r="AM62" s="266"/>
      <c r="AN62" s="266"/>
      <c r="AO62" s="266"/>
      <c r="AP62" s="266"/>
      <c r="AQ62" s="266"/>
      <c r="AR62" s="266"/>
      <c r="AS62" s="266"/>
      <c r="AT62" s="266"/>
      <c r="AU62" s="266"/>
      <c r="AV62" s="266"/>
      <c r="AW62" s="266"/>
      <c r="AX62" s="266"/>
    </row>
    <row r="63" spans="2:50" customFormat="1">
      <c r="C63" s="195"/>
      <c r="E63" s="157" t="s">
        <v>508</v>
      </c>
      <c r="F63" s="195"/>
      <c r="G63" t="s">
        <v>971</v>
      </c>
      <c r="AJ63" s="534"/>
      <c r="AK63" s="534"/>
      <c r="AL63" s="534"/>
      <c r="AM63" s="534"/>
      <c r="AN63" s="534"/>
      <c r="AO63" s="534"/>
      <c r="AP63" s="534"/>
      <c r="AQ63" s="534">
        <v>2.3E-3</v>
      </c>
      <c r="AR63" s="534">
        <v>2.3E-3</v>
      </c>
      <c r="AS63" s="534">
        <v>2.3E-3</v>
      </c>
      <c r="AT63" s="534"/>
      <c r="AU63" s="534"/>
      <c r="AV63" s="534"/>
      <c r="AW63" s="534"/>
      <c r="AX63" s="266"/>
    </row>
    <row r="64" spans="2:50" customFormat="1">
      <c r="C64" s="195"/>
      <c r="E64" s="157" t="s">
        <v>507</v>
      </c>
      <c r="F64" s="195"/>
      <c r="G64" t="s">
        <v>971</v>
      </c>
      <c r="AJ64" s="534"/>
      <c r="AK64" s="534"/>
      <c r="AL64" s="534"/>
      <c r="AM64" s="534"/>
      <c r="AN64" s="534"/>
      <c r="AO64" s="534"/>
      <c r="AP64" s="534"/>
      <c r="AQ64" s="534">
        <f t="shared" ref="AQ64:AS64" si="5">AVERAGE(AQ63,AQ65)</f>
        <v>-1.4499999999999999E-3</v>
      </c>
      <c r="AR64" s="534">
        <f t="shared" si="5"/>
        <v>-1.4499999999999999E-3</v>
      </c>
      <c r="AS64" s="534">
        <f t="shared" si="5"/>
        <v>-1.4499999999999999E-3</v>
      </c>
      <c r="AT64" s="534"/>
      <c r="AU64" s="534"/>
      <c r="AV64" s="534"/>
      <c r="AW64" s="534"/>
      <c r="AX64" s="266"/>
    </row>
    <row r="65" spans="1:51" customFormat="1">
      <c r="C65" s="195"/>
      <c r="E65" s="157" t="s">
        <v>509</v>
      </c>
      <c r="F65" s="195"/>
      <c r="G65" t="s">
        <v>971</v>
      </c>
      <c r="AJ65" s="534"/>
      <c r="AK65" s="534"/>
      <c r="AL65" s="534"/>
      <c r="AM65" s="534"/>
      <c r="AN65" s="534"/>
      <c r="AO65" s="534"/>
      <c r="AP65" s="534"/>
      <c r="AQ65" s="534">
        <v>-5.1999999999999998E-3</v>
      </c>
      <c r="AR65" s="534">
        <v>-5.1999999999999998E-3</v>
      </c>
      <c r="AS65" s="534">
        <v>-5.1999999999999998E-3</v>
      </c>
      <c r="AT65" s="534"/>
      <c r="AU65" s="534"/>
      <c r="AV65" s="534"/>
      <c r="AW65" s="534"/>
      <c r="AX65" s="266"/>
    </row>
    <row r="66" spans="1:51" customFormat="1">
      <c r="C66" s="195"/>
      <c r="E66" s="157"/>
      <c r="F66" s="195"/>
      <c r="G66" s="157"/>
      <c r="AJ66" s="534"/>
      <c r="AK66" s="534"/>
      <c r="AL66" s="534"/>
      <c r="AM66" s="534"/>
      <c r="AN66" s="534"/>
      <c r="AO66" s="534"/>
      <c r="AP66" s="534"/>
      <c r="AQ66" s="534"/>
      <c r="AR66" s="534"/>
      <c r="AS66" s="534"/>
      <c r="AT66" s="534"/>
      <c r="AU66" s="534"/>
      <c r="AV66" s="534"/>
      <c r="AW66" s="534"/>
      <c r="AX66" s="266"/>
    </row>
    <row r="67" spans="1:51" s="498" customFormat="1">
      <c r="A67"/>
      <c r="B67"/>
      <c r="C67" s="195"/>
      <c r="D67" s="157" t="s">
        <v>942</v>
      </c>
      <c r="E67" s="157"/>
      <c r="H67"/>
      <c r="I67"/>
      <c r="J67"/>
      <c r="K67"/>
      <c r="L67"/>
      <c r="M67"/>
      <c r="N67"/>
      <c r="O67"/>
      <c r="P67"/>
      <c r="Q67"/>
      <c r="R67"/>
      <c r="S67"/>
      <c r="T67"/>
      <c r="U67"/>
      <c r="V67"/>
      <c r="W67"/>
      <c r="X67"/>
      <c r="Y67"/>
      <c r="Z67"/>
      <c r="AA67"/>
      <c r="AB67"/>
      <c r="AC67"/>
      <c r="AD67"/>
      <c r="AE67"/>
      <c r="AF67"/>
      <c r="AG67"/>
      <c r="AH67"/>
      <c r="AI67"/>
      <c r="AJ67" s="532"/>
      <c r="AK67" s="532"/>
      <c r="AL67" s="532"/>
      <c r="AM67" s="532"/>
      <c r="AN67" s="532"/>
      <c r="AO67" s="532"/>
      <c r="AP67" s="532"/>
      <c r="AQ67" s="532"/>
      <c r="AR67" s="532"/>
      <c r="AS67" s="532"/>
      <c r="AT67" s="532"/>
      <c r="AU67" s="532"/>
      <c r="AV67" s="532"/>
      <c r="AW67" s="532"/>
      <c r="AX67" s="147"/>
    </row>
    <row r="68" spans="1:51" s="498" customFormat="1">
      <c r="A68"/>
      <c r="B68"/>
      <c r="C68" s="195"/>
      <c r="E68" s="157" t="s">
        <v>508</v>
      </c>
      <c r="G68" t="s">
        <v>49</v>
      </c>
      <c r="H68"/>
      <c r="I68"/>
      <c r="J68"/>
      <c r="K68"/>
      <c r="L68"/>
      <c r="M68"/>
      <c r="N68"/>
      <c r="O68"/>
      <c r="P68"/>
      <c r="Q68"/>
      <c r="R68"/>
      <c r="S68"/>
      <c r="T68"/>
      <c r="U68"/>
      <c r="V68"/>
      <c r="W68"/>
      <c r="X68"/>
      <c r="Y68"/>
      <c r="Z68"/>
      <c r="AA68"/>
      <c r="AB68"/>
      <c r="AC68"/>
      <c r="AD68"/>
      <c r="AE68"/>
      <c r="AF68"/>
      <c r="AG68"/>
      <c r="AH68"/>
      <c r="AI68"/>
      <c r="AJ68" s="534"/>
      <c r="AK68" s="534"/>
      <c r="AL68" s="534"/>
      <c r="AM68" s="534"/>
      <c r="AN68" s="534"/>
      <c r="AO68" s="534"/>
      <c r="AP68" s="534"/>
      <c r="AQ68" s="534">
        <f t="shared" ref="AQ68:AS68" si="6">2.5%*AQ33</f>
        <v>2.5000000000000005E-3</v>
      </c>
      <c r="AR68" s="534">
        <f t="shared" si="6"/>
        <v>2.5000000000000005E-3</v>
      </c>
      <c r="AS68" s="534">
        <f t="shared" si="6"/>
        <v>2.5000000000000005E-3</v>
      </c>
      <c r="AT68" s="534"/>
      <c r="AU68" s="534"/>
      <c r="AV68" s="534"/>
      <c r="AW68" s="534"/>
      <c r="AX68" s="147"/>
    </row>
    <row r="69" spans="1:51" s="498" customFormat="1">
      <c r="A69"/>
      <c r="B69"/>
      <c r="C69" s="195"/>
      <c r="E69" s="157" t="s">
        <v>507</v>
      </c>
      <c r="G69" t="s">
        <v>49</v>
      </c>
      <c r="H69"/>
      <c r="I69"/>
      <c r="J69"/>
      <c r="K69"/>
      <c r="L69"/>
      <c r="M69"/>
      <c r="N69"/>
      <c r="O69"/>
      <c r="P69"/>
      <c r="Q69"/>
      <c r="R69"/>
      <c r="S69"/>
      <c r="T69"/>
      <c r="U69"/>
      <c r="V69"/>
      <c r="W69"/>
      <c r="X69"/>
      <c r="Y69"/>
      <c r="Z69"/>
      <c r="AA69"/>
      <c r="AB69"/>
      <c r="AC69"/>
      <c r="AD69"/>
      <c r="AE69"/>
      <c r="AF69"/>
      <c r="AG69"/>
      <c r="AH69"/>
      <c r="AI69"/>
      <c r="AJ69" s="534"/>
      <c r="AK69" s="534"/>
      <c r="AL69" s="534"/>
      <c r="AM69" s="534"/>
      <c r="AN69" s="534"/>
      <c r="AO69" s="534"/>
      <c r="AP69" s="534"/>
      <c r="AQ69" s="534">
        <f t="shared" ref="AQ69:AS69" si="7">AVERAGE(AQ68,AQ70)</f>
        <v>0</v>
      </c>
      <c r="AR69" s="534">
        <f t="shared" si="7"/>
        <v>0</v>
      </c>
      <c r="AS69" s="534">
        <f t="shared" si="7"/>
        <v>0</v>
      </c>
      <c r="AT69" s="534"/>
      <c r="AU69" s="534"/>
      <c r="AV69" s="534"/>
      <c r="AW69" s="534"/>
      <c r="AX69" s="147"/>
    </row>
    <row r="70" spans="1:51" s="498" customFormat="1">
      <c r="A70"/>
      <c r="B70"/>
      <c r="C70" s="195"/>
      <c r="E70" s="157" t="s">
        <v>509</v>
      </c>
      <c r="G70" t="s">
        <v>49</v>
      </c>
      <c r="H70"/>
      <c r="I70"/>
      <c r="J70"/>
      <c r="K70"/>
      <c r="L70"/>
      <c r="M70"/>
      <c r="N70"/>
      <c r="O70"/>
      <c r="P70"/>
      <c r="Q70"/>
      <c r="R70"/>
      <c r="S70"/>
      <c r="T70"/>
      <c r="U70"/>
      <c r="V70"/>
      <c r="W70"/>
      <c r="X70"/>
      <c r="Y70"/>
      <c r="Z70"/>
      <c r="AA70"/>
      <c r="AB70"/>
      <c r="AC70"/>
      <c r="AD70"/>
      <c r="AE70"/>
      <c r="AF70"/>
      <c r="AG70"/>
      <c r="AH70"/>
      <c r="AI70"/>
      <c r="AJ70" s="534"/>
      <c r="AK70" s="534"/>
      <c r="AL70" s="534"/>
      <c r="AM70" s="534"/>
      <c r="AN70" s="534"/>
      <c r="AO70" s="534"/>
      <c r="AP70" s="534"/>
      <c r="AQ70" s="534">
        <f t="shared" ref="AQ70:AS70" si="8">2.5%*AQ35</f>
        <v>-2.5000000000000005E-3</v>
      </c>
      <c r="AR70" s="534">
        <f t="shared" si="8"/>
        <v>-2.5000000000000005E-3</v>
      </c>
      <c r="AS70" s="534">
        <f t="shared" si="8"/>
        <v>-2.5000000000000005E-3</v>
      </c>
      <c r="AT70" s="534"/>
      <c r="AU70" s="534"/>
      <c r="AV70" s="534"/>
      <c r="AW70" s="534"/>
      <c r="AX70" s="147"/>
    </row>
    <row r="71" spans="1:51" s="498" customFormat="1">
      <c r="A71"/>
      <c r="B71"/>
      <c r="C71" s="195"/>
      <c r="E71" s="157"/>
      <c r="G71" s="157"/>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s="147"/>
    </row>
    <row r="72" spans="1:51" s="498" customFormat="1">
      <c r="A72"/>
      <c r="B72"/>
      <c r="C72" s="195"/>
      <c r="D72" s="157" t="s">
        <v>943</v>
      </c>
      <c r="E72" s="157"/>
      <c r="H72"/>
      <c r="I72"/>
      <c r="J72"/>
      <c r="K72"/>
      <c r="L72"/>
      <c r="M72"/>
      <c r="N72"/>
      <c r="O72"/>
      <c r="P72"/>
      <c r="Q72"/>
      <c r="R72"/>
      <c r="S72"/>
      <c r="T72"/>
      <c r="U72"/>
      <c r="V72"/>
      <c r="W72"/>
      <c r="X72"/>
      <c r="Y72"/>
      <c r="Z72"/>
      <c r="AA72"/>
      <c r="AB72"/>
      <c r="AC72"/>
      <c r="AD72"/>
      <c r="AE72"/>
      <c r="AF72"/>
      <c r="AG72"/>
      <c r="AH72"/>
      <c r="AI72"/>
      <c r="AJ72" s="266"/>
      <c r="AK72" s="266"/>
      <c r="AL72" s="266"/>
      <c r="AM72" s="266"/>
      <c r="AN72" s="266"/>
      <c r="AO72" s="266"/>
      <c r="AP72" s="266"/>
      <c r="AQ72" s="266"/>
      <c r="AR72" s="266"/>
      <c r="AS72" s="266"/>
      <c r="AT72" s="266"/>
      <c r="AU72" s="266"/>
      <c r="AV72" s="266"/>
      <c r="AW72" s="266"/>
      <c r="AX72" s="147"/>
    </row>
    <row r="73" spans="1:51" s="157" customFormat="1">
      <c r="A73"/>
      <c r="B73"/>
      <c r="C73" s="195"/>
      <c r="D73" s="498"/>
      <c r="E73" s="157" t="s">
        <v>508</v>
      </c>
      <c r="G73" t="s">
        <v>971</v>
      </c>
      <c r="H73"/>
      <c r="I73"/>
      <c r="J73"/>
      <c r="K73"/>
      <c r="L73"/>
      <c r="M73"/>
      <c r="N73"/>
      <c r="O73"/>
      <c r="P73"/>
      <c r="Q73"/>
      <c r="R73"/>
      <c r="S73"/>
      <c r="T73"/>
      <c r="U73"/>
      <c r="V73"/>
      <c r="W73"/>
      <c r="X73"/>
      <c r="Y73"/>
      <c r="Z73"/>
      <c r="AA73"/>
      <c r="AB73"/>
      <c r="AC73"/>
      <c r="AD73"/>
      <c r="AE73"/>
      <c r="AF73"/>
      <c r="AG73"/>
      <c r="AH73"/>
      <c r="AI73"/>
      <c r="AJ73" s="534"/>
      <c r="AK73" s="534"/>
      <c r="AL73" s="534"/>
      <c r="AM73" s="534"/>
      <c r="AN73" s="534"/>
      <c r="AO73" s="534"/>
      <c r="AP73" s="534"/>
      <c r="AQ73" s="534">
        <f t="shared" ref="AQ73:AS73" si="9">0.86%</f>
        <v>8.6E-3</v>
      </c>
      <c r="AR73" s="534">
        <f t="shared" si="9"/>
        <v>8.6E-3</v>
      </c>
      <c r="AS73" s="534">
        <f t="shared" si="9"/>
        <v>8.6E-3</v>
      </c>
      <c r="AT73" s="534"/>
      <c r="AU73" s="534"/>
      <c r="AV73" s="534"/>
      <c r="AW73" s="534"/>
    </row>
    <row r="74" spans="1:51" s="157" customFormat="1">
      <c r="A74"/>
      <c r="B74"/>
      <c r="C74" s="195"/>
      <c r="D74" s="498"/>
      <c r="E74" s="157" t="s">
        <v>507</v>
      </c>
      <c r="G74" t="s">
        <v>971</v>
      </c>
      <c r="H74"/>
      <c r="I74"/>
      <c r="J74"/>
      <c r="K74"/>
      <c r="L74"/>
      <c r="M74"/>
      <c r="N74"/>
      <c r="O74"/>
      <c r="P74"/>
      <c r="Q74"/>
      <c r="R74"/>
      <c r="S74"/>
      <c r="T74"/>
      <c r="U74"/>
      <c r="V74"/>
      <c r="W74"/>
      <c r="X74"/>
      <c r="Y74"/>
      <c r="Z74"/>
      <c r="AA74"/>
      <c r="AB74"/>
      <c r="AC74"/>
      <c r="AD74"/>
      <c r="AE74"/>
      <c r="AF74"/>
      <c r="AG74"/>
      <c r="AH74"/>
      <c r="AI74"/>
      <c r="AJ74" s="534"/>
      <c r="AK74" s="534"/>
      <c r="AL74" s="534"/>
      <c r="AM74" s="534"/>
      <c r="AN74" s="534"/>
      <c r="AO74" s="534"/>
      <c r="AP74" s="534"/>
      <c r="AQ74" s="534">
        <f t="shared" ref="AQ74:AS74" si="10">AVERAGE(AQ73,AQ75)</f>
        <v>0</v>
      </c>
      <c r="AR74" s="534">
        <f t="shared" si="10"/>
        <v>0</v>
      </c>
      <c r="AS74" s="534">
        <f t="shared" si="10"/>
        <v>0</v>
      </c>
      <c r="AT74" s="534"/>
      <c r="AU74" s="534"/>
      <c r="AV74" s="534"/>
      <c r="AW74" s="534"/>
    </row>
    <row r="75" spans="1:51" s="498" customFormat="1">
      <c r="A75"/>
      <c r="B75"/>
      <c r="C75" s="195"/>
      <c r="E75" s="157" t="s">
        <v>509</v>
      </c>
      <c r="G75" t="s">
        <v>971</v>
      </c>
      <c r="H75"/>
      <c r="I75"/>
      <c r="J75"/>
      <c r="K75"/>
      <c r="L75"/>
      <c r="M75"/>
      <c r="N75"/>
      <c r="O75"/>
      <c r="P75"/>
      <c r="Q75"/>
      <c r="R75"/>
      <c r="S75"/>
      <c r="T75"/>
      <c r="U75"/>
      <c r="V75"/>
      <c r="W75"/>
      <c r="X75"/>
      <c r="Y75"/>
      <c r="Z75"/>
      <c r="AA75"/>
      <c r="AB75"/>
      <c r="AC75"/>
      <c r="AD75"/>
      <c r="AE75"/>
      <c r="AF75"/>
      <c r="AG75"/>
      <c r="AH75"/>
      <c r="AI75"/>
      <c r="AJ75" s="534"/>
      <c r="AK75" s="534"/>
      <c r="AL75" s="534"/>
      <c r="AM75" s="534"/>
      <c r="AN75" s="534"/>
      <c r="AO75" s="534"/>
      <c r="AP75" s="534"/>
      <c r="AQ75" s="534">
        <f t="shared" ref="AQ75:AS75" si="11">-AQ73</f>
        <v>-8.6E-3</v>
      </c>
      <c r="AR75" s="534">
        <f t="shared" si="11"/>
        <v>-8.6E-3</v>
      </c>
      <c r="AS75" s="534">
        <f t="shared" si="11"/>
        <v>-8.6E-3</v>
      </c>
      <c r="AT75" s="534"/>
      <c r="AU75" s="534"/>
      <c r="AV75" s="534"/>
      <c r="AW75" s="534"/>
      <c r="AX75" s="147"/>
    </row>
    <row r="76" spans="1:51" s="498" customFormat="1" ht="11.25" customHeight="1">
      <c r="A76"/>
      <c r="B76"/>
      <c r="C76"/>
      <c r="E76" s="529"/>
      <c r="G76" s="157"/>
      <c r="H76"/>
      <c r="I76" s="424"/>
      <c r="J76"/>
      <c r="K76"/>
      <c r="L76"/>
      <c r="M76"/>
      <c r="N76"/>
      <c r="O76"/>
      <c r="P76"/>
      <c r="Q76"/>
      <c r="R76"/>
      <c r="S76"/>
      <c r="T76"/>
      <c r="U76"/>
      <c r="V76"/>
      <c r="W76"/>
      <c r="X76"/>
      <c r="Y76"/>
      <c r="Z76"/>
      <c r="AA76"/>
      <c r="AB76"/>
      <c r="AC76"/>
      <c r="AD76"/>
      <c r="AE76"/>
      <c r="AF76"/>
      <c r="AG76"/>
      <c r="AH76"/>
      <c r="AI76"/>
      <c r="AJ76" s="266"/>
      <c r="AK76" s="266"/>
      <c r="AL76" s="266"/>
      <c r="AM76" s="266"/>
      <c r="AN76" s="266"/>
      <c r="AO76" s="266"/>
      <c r="AP76" s="266"/>
      <c r="AQ76" s="266"/>
      <c r="AR76" s="266"/>
      <c r="AS76" s="266"/>
      <c r="AT76" s="147"/>
      <c r="AU76" s="147"/>
      <c r="AV76" s="147"/>
      <c r="AW76" s="147"/>
      <c r="AX76" s="147"/>
    </row>
    <row r="77" spans="1:51" s="498" customFormat="1">
      <c r="A77"/>
      <c r="B77" s="334" t="s">
        <v>973</v>
      </c>
      <c r="C77" s="334"/>
      <c r="D77" s="334"/>
      <c r="E77" s="334"/>
      <c r="F77" s="334"/>
      <c r="G77" s="334"/>
      <c r="H77" s="334"/>
      <c r="I77" s="334"/>
      <c r="J77" s="334"/>
      <c r="K77" s="334"/>
      <c r="L77" s="334"/>
      <c r="M77" s="334"/>
      <c r="N77" s="334"/>
      <c r="O77" s="334"/>
      <c r="P77" s="334"/>
      <c r="Q77" s="334"/>
      <c r="R77" s="334"/>
      <c r="S77" s="334"/>
      <c r="T77" s="334"/>
      <c r="U77" s="334"/>
      <c r="V77" s="334"/>
      <c r="W77" s="334"/>
      <c r="X77" s="334"/>
      <c r="Y77" s="334"/>
      <c r="Z77" s="334"/>
      <c r="AA77" s="334"/>
      <c r="AB77" s="334"/>
      <c r="AC77" s="334"/>
      <c r="AD77" s="334"/>
      <c r="AE77" s="334"/>
      <c r="AF77" s="334"/>
      <c r="AG77" s="334"/>
      <c r="AH77" s="334"/>
      <c r="AI77" s="334"/>
      <c r="AJ77" s="334"/>
      <c r="AK77" s="334"/>
      <c r="AL77" s="334"/>
      <c r="AM77" s="334"/>
      <c r="AN77" s="334"/>
      <c r="AO77" s="334"/>
      <c r="AP77" s="334"/>
      <c r="AQ77" s="334"/>
      <c r="AR77" s="334"/>
      <c r="AS77" s="334"/>
      <c r="AT77" s="334"/>
      <c r="AU77" s="334"/>
      <c r="AV77" s="334"/>
      <c r="AW77" s="334"/>
      <c r="AX77" s="334"/>
      <c r="AY77" s="334"/>
    </row>
    <row r="78" spans="1:51" s="498" customFormat="1" ht="11.25" customHeight="1">
      <c r="A78"/>
      <c r="B78"/>
      <c r="C78"/>
      <c r="E78" s="529"/>
      <c r="G78" s="157"/>
      <c r="H78"/>
      <c r="I78" s="424"/>
      <c r="J78"/>
      <c r="K78"/>
      <c r="L78"/>
      <c r="M78"/>
      <c r="N78"/>
      <c r="O78"/>
      <c r="P78"/>
      <c r="Q78"/>
      <c r="R78"/>
      <c r="S78"/>
      <c r="T78"/>
      <c r="U78"/>
      <c r="V78"/>
      <c r="W78"/>
      <c r="X78"/>
      <c r="Y78"/>
      <c r="Z78"/>
      <c r="AA78"/>
      <c r="AB78"/>
      <c r="AC78"/>
      <c r="AD78"/>
      <c r="AE78"/>
      <c r="AF78"/>
      <c r="AG78"/>
      <c r="AH78"/>
      <c r="AI78"/>
      <c r="AJ78" s="266"/>
      <c r="AK78" s="266"/>
      <c r="AL78" s="266"/>
      <c r="AM78" s="266"/>
      <c r="AN78" s="266"/>
      <c r="AO78" s="266"/>
      <c r="AP78" s="266"/>
      <c r="AQ78" s="266"/>
      <c r="AR78" s="266"/>
      <c r="AS78" s="266"/>
      <c r="AT78" s="147"/>
      <c r="AU78" s="147"/>
      <c r="AV78" s="147"/>
      <c r="AW78" s="147"/>
      <c r="AX78" s="147"/>
    </row>
    <row r="79" spans="1:51">
      <c r="A79"/>
      <c r="B79"/>
      <c r="C79" s="332" t="s">
        <v>514</v>
      </c>
      <c r="D79" s="332"/>
      <c r="E79" s="332"/>
      <c r="F79" s="332"/>
      <c r="G79" s="332"/>
      <c r="H79" s="332"/>
      <c r="I79" s="332"/>
      <c r="J79" s="332"/>
      <c r="K79" s="332"/>
      <c r="L79" s="332"/>
      <c r="M79" s="332"/>
      <c r="N79" s="332"/>
      <c r="O79" s="332"/>
      <c r="P79" s="332"/>
      <c r="Q79" s="332"/>
      <c r="R79" s="332"/>
      <c r="S79" s="332"/>
      <c r="T79" s="332"/>
      <c r="U79" s="332"/>
      <c r="V79" s="332"/>
      <c r="W79" s="332"/>
      <c r="X79" s="332"/>
      <c r="Y79" s="332"/>
      <c r="Z79" s="332"/>
      <c r="AA79" s="332"/>
      <c r="AB79" s="332"/>
      <c r="AC79" s="332"/>
      <c r="AD79" s="332"/>
      <c r="AE79" s="332"/>
      <c r="AF79" s="332"/>
      <c r="AG79" s="332"/>
      <c r="AH79" s="332"/>
      <c r="AI79" s="332"/>
      <c r="AJ79" s="354"/>
      <c r="AK79" s="354"/>
      <c r="AL79" s="354"/>
      <c r="AM79" s="354"/>
      <c r="AN79" s="354"/>
      <c r="AO79" s="354"/>
      <c r="AP79" s="354"/>
      <c r="AQ79" s="354"/>
      <c r="AR79" s="354"/>
      <c r="AS79" s="354"/>
      <c r="AT79" s="354"/>
      <c r="AU79" s="354"/>
      <c r="AV79" s="354"/>
      <c r="AW79" s="354"/>
      <c r="AX79" s="354"/>
      <c r="AY79" s="354"/>
    </row>
    <row r="80" spans="1:51" s="498" customFormat="1" ht="11.25" customHeight="1">
      <c r="A80"/>
      <c r="B80"/>
      <c r="C80"/>
      <c r="E80" s="529"/>
      <c r="G80" s="157"/>
      <c r="H80"/>
      <c r="I80" s="424"/>
      <c r="J80"/>
      <c r="K80"/>
      <c r="L80"/>
      <c r="M80"/>
      <c r="N80"/>
      <c r="O80"/>
      <c r="P80"/>
      <c r="Q80"/>
      <c r="R80"/>
      <c r="S80"/>
      <c r="T80"/>
      <c r="U80"/>
      <c r="V80"/>
      <c r="W80"/>
      <c r="X80"/>
      <c r="Y80"/>
      <c r="Z80"/>
      <c r="AA80"/>
      <c r="AB80"/>
      <c r="AC80"/>
      <c r="AD80"/>
      <c r="AE80"/>
      <c r="AF80"/>
      <c r="AG80"/>
      <c r="AH80"/>
      <c r="AI80"/>
      <c r="AJ80" s="266"/>
      <c r="AK80" s="266"/>
      <c r="AL80" s="266"/>
      <c r="AM80" s="266"/>
      <c r="AN80" s="266"/>
      <c r="AO80" s="266"/>
      <c r="AP80" s="266"/>
      <c r="AQ80" s="266"/>
      <c r="AR80" s="266"/>
      <c r="AS80" s="266"/>
      <c r="AT80" s="147"/>
      <c r="AU80" s="147"/>
      <c r="AV80" s="147"/>
      <c r="AW80" s="147"/>
      <c r="AX80" s="147"/>
    </row>
    <row r="81" spans="1:51" s="498" customFormat="1" ht="11.25" customHeight="1">
      <c r="A81"/>
      <c r="B81"/>
      <c r="C81"/>
      <c r="E81" s="158" t="s">
        <v>974</v>
      </c>
      <c r="G81" s="157" t="s">
        <v>844</v>
      </c>
      <c r="H81"/>
      <c r="I81" s="424"/>
      <c r="J81"/>
      <c r="K81"/>
      <c r="L81"/>
      <c r="M81"/>
      <c r="N81"/>
      <c r="O81"/>
      <c r="P81"/>
      <c r="Q81"/>
      <c r="R81"/>
      <c r="S81"/>
      <c r="T81"/>
      <c r="U81"/>
      <c r="V81"/>
      <c r="W81"/>
      <c r="X81"/>
      <c r="Y81"/>
      <c r="Z81"/>
      <c r="AA81"/>
      <c r="AB81"/>
      <c r="AC81"/>
      <c r="AD81"/>
      <c r="AE81"/>
      <c r="AF81"/>
      <c r="AG81"/>
      <c r="AH81"/>
      <c r="AI81"/>
      <c r="AJ81" s="543"/>
      <c r="AK81" s="543"/>
      <c r="AL81" s="543"/>
      <c r="AM81" s="543"/>
      <c r="AN81" s="543"/>
      <c r="AO81" s="543"/>
      <c r="AP81" s="543"/>
      <c r="AQ81" s="543">
        <f ca="1">OFFSET(SavedResults!$O$86,(AQ$15-1)*LiveResults!$F$11,)*AVERAGE(Input!$AJ$49:$AQ$49)</f>
        <v>1023.6513980830297</v>
      </c>
      <c r="AR81" s="543">
        <f ca="1">OFFSET(SavedResults!$O$86,(AR$15-1)*LiveResults!$F$11,)*AVERAGE(Input!$AJ$49:$AQ$49)</f>
        <v>1034.1225147618902</v>
      </c>
      <c r="AS81" s="543">
        <f ca="1">OFFSET(SavedResults!$O$86,(AS$15-1)*LiveResults!$F$11,)*AVERAGE(Input!$AJ$49:$AQ$49)</f>
        <v>1556.5882475996834</v>
      </c>
      <c r="AT81" s="543"/>
      <c r="AU81" s="543"/>
      <c r="AV81" s="543"/>
      <c r="AW81" s="543"/>
      <c r="AX81" s="147"/>
    </row>
    <row r="82" spans="1:51" s="498" customFormat="1" ht="11.25" customHeight="1">
      <c r="A82"/>
      <c r="B82"/>
      <c r="C82"/>
      <c r="E82" s="158" t="s">
        <v>975</v>
      </c>
      <c r="G82" s="157" t="s">
        <v>844</v>
      </c>
      <c r="H82"/>
      <c r="I82" s="424"/>
      <c r="J82"/>
      <c r="K82"/>
      <c r="L82"/>
      <c r="M82"/>
      <c r="N82"/>
      <c r="O82"/>
      <c r="P82"/>
      <c r="Q82"/>
      <c r="R82"/>
      <c r="S82"/>
      <c r="T82"/>
      <c r="U82"/>
      <c r="V82"/>
      <c r="W82"/>
      <c r="X82"/>
      <c r="Y82"/>
      <c r="Z82"/>
      <c r="AA82"/>
      <c r="AB82"/>
      <c r="AC82"/>
      <c r="AD82"/>
      <c r="AE82"/>
      <c r="AF82"/>
      <c r="AG82"/>
      <c r="AH82"/>
      <c r="AI82"/>
      <c r="AJ82" s="543"/>
      <c r="AK82" s="543"/>
      <c r="AL82" s="543"/>
      <c r="AM82" s="543"/>
      <c r="AN82" s="543"/>
      <c r="AO82" s="543"/>
      <c r="AP82" s="543"/>
      <c r="AQ82" s="543">
        <f ca="1">OFFSET(SavedResults!$O$90,(AQ$15-1)*LiveResults!$F$11,)</f>
        <v>551.19690666009285</v>
      </c>
      <c r="AR82" s="543">
        <f ca="1">OFFSET(SavedResults!$O$90,(AR$15-1)*LiveResults!$F$11,)</f>
        <v>556.83520025640246</v>
      </c>
      <c r="AS82" s="543">
        <f ca="1">OFFSET(SavedResults!$O$90,(AS$15-1)*LiveResults!$F$11,)</f>
        <v>838.16290255367539</v>
      </c>
      <c r="AT82" s="543"/>
      <c r="AU82" s="543"/>
      <c r="AV82" s="543"/>
      <c r="AW82" s="543"/>
      <c r="AX82" s="147"/>
    </row>
    <row r="83" spans="1:51" s="498" customFormat="1" ht="11.25" customHeight="1">
      <c r="A83"/>
      <c r="B83"/>
      <c r="C83"/>
      <c r="E83" s="158" t="s">
        <v>976</v>
      </c>
      <c r="G83" s="157" t="s">
        <v>844</v>
      </c>
      <c r="H83"/>
      <c r="I83" s="424"/>
      <c r="J83"/>
      <c r="K83"/>
      <c r="L83"/>
      <c r="M83"/>
      <c r="N83"/>
      <c r="O83"/>
      <c r="P83"/>
      <c r="Q83"/>
      <c r="R83"/>
      <c r="S83"/>
      <c r="T83"/>
      <c r="U83"/>
      <c r="V83"/>
      <c r="W83"/>
      <c r="X83"/>
      <c r="Y83"/>
      <c r="Z83"/>
      <c r="AA83"/>
      <c r="AB83"/>
      <c r="AC83"/>
      <c r="AD83"/>
      <c r="AE83"/>
      <c r="AF83"/>
      <c r="AG83"/>
      <c r="AH83"/>
      <c r="AI83"/>
      <c r="AJ83" s="543"/>
      <c r="AK83" s="543"/>
      <c r="AL83" s="543"/>
      <c r="AM83" s="543"/>
      <c r="AN83" s="543"/>
      <c r="AO83" s="543"/>
      <c r="AP83" s="543"/>
      <c r="AQ83" s="543">
        <f ca="1">AQ81*AVERAGE(Input!$AJ$47:$AQ$47)</f>
        <v>27.843318027858405</v>
      </c>
      <c r="AR83" s="543">
        <f ca="1">AR81*AVERAGE(Input!$AJ$47:$AQ$47)</f>
        <v>28.128132401523413</v>
      </c>
      <c r="AS83" s="543">
        <f ca="1">AS81*AVERAGE(Input!$AJ$47:$AQ$47)</f>
        <v>42.339200334711386</v>
      </c>
      <c r="AT83" s="543"/>
      <c r="AU83" s="543"/>
      <c r="AV83" s="543"/>
      <c r="AW83" s="543"/>
      <c r="AX83" s="147"/>
    </row>
    <row r="84" spans="1:51" s="498" customFormat="1" ht="11.25" customHeight="1">
      <c r="A84"/>
      <c r="B84"/>
      <c r="C84"/>
      <c r="E84" s="158" t="s">
        <v>977</v>
      </c>
      <c r="G84" s="157" t="s">
        <v>844</v>
      </c>
      <c r="H84"/>
      <c r="I84" s="424"/>
      <c r="J84"/>
      <c r="K84"/>
      <c r="L84"/>
      <c r="M84"/>
      <c r="N84"/>
      <c r="O84"/>
      <c r="P84"/>
      <c r="Q84"/>
      <c r="R84"/>
      <c r="S84"/>
      <c r="T84"/>
      <c r="U84"/>
      <c r="V84"/>
      <c r="W84"/>
      <c r="X84"/>
      <c r="Y84"/>
      <c r="Z84"/>
      <c r="AA84"/>
      <c r="AB84"/>
      <c r="AC84"/>
      <c r="AD84"/>
      <c r="AE84"/>
      <c r="AF84"/>
      <c r="AG84"/>
      <c r="AH84"/>
      <c r="AI84"/>
      <c r="AJ84" s="543"/>
      <c r="AK84" s="543"/>
      <c r="AL84" s="543"/>
      <c r="AM84" s="543"/>
      <c r="AN84" s="543"/>
      <c r="AO84" s="543"/>
      <c r="AP84" s="543"/>
      <c r="AQ84" s="543">
        <f ca="1">OFFSET(SavedResults!$O$51,(AQ$15-1)*LiveResults!$F$11,)-AQ83</f>
        <v>33.071814399605572</v>
      </c>
      <c r="AR84" s="543">
        <f ca="1">OFFSET(SavedResults!$O$51,(AR$15-1)*LiveResults!$F$11,)-AR83</f>
        <v>33.410112015384129</v>
      </c>
      <c r="AS84" s="543">
        <f ca="1">OFFSET(SavedResults!$O$51,(AS$15-1)*LiveResults!$F$11,)-AS83</f>
        <v>50.289774153220542</v>
      </c>
      <c r="AT84" s="543"/>
      <c r="AU84" s="543"/>
      <c r="AV84" s="543"/>
      <c r="AW84" s="543"/>
      <c r="AX84" s="147"/>
    </row>
    <row r="85" spans="1:51" s="498" customFormat="1" ht="11.25" customHeight="1">
      <c r="A85"/>
      <c r="B85"/>
      <c r="C85"/>
      <c r="E85" s="158" t="s">
        <v>978</v>
      </c>
      <c r="G85" s="158" t="s">
        <v>49</v>
      </c>
      <c r="H85"/>
      <c r="I85" s="424"/>
      <c r="J85"/>
      <c r="K85"/>
      <c r="L85"/>
      <c r="M85"/>
      <c r="N85"/>
      <c r="O85"/>
      <c r="P85"/>
      <c r="Q85"/>
      <c r="R85"/>
      <c r="S85"/>
      <c r="T85"/>
      <c r="U85"/>
      <c r="V85"/>
      <c r="W85"/>
      <c r="X85"/>
      <c r="Y85"/>
      <c r="Z85"/>
      <c r="AA85"/>
      <c r="AB85"/>
      <c r="AC85"/>
      <c r="AD85"/>
      <c r="AE85"/>
      <c r="AF85"/>
      <c r="AG85"/>
      <c r="AH85"/>
      <c r="AI85"/>
      <c r="AJ85" s="544"/>
      <c r="AK85" s="544"/>
      <c r="AL85" s="544"/>
      <c r="AM85" s="544"/>
      <c r="AN85" s="544"/>
      <c r="AO85" s="544"/>
      <c r="AP85" s="544"/>
      <c r="AQ85" s="544">
        <f t="shared" ref="AQ85:AS85" ca="1" si="12">AQ84 / AQ82</f>
        <v>0.06</v>
      </c>
      <c r="AR85" s="544">
        <f t="shared" ca="1" si="12"/>
        <v>5.999999999999997E-2</v>
      </c>
      <c r="AS85" s="544">
        <f t="shared" ca="1" si="12"/>
        <v>6.0000000000000019E-2</v>
      </c>
      <c r="AT85" s="544"/>
      <c r="AU85" s="544"/>
      <c r="AV85" s="544"/>
      <c r="AW85" s="544"/>
      <c r="AX85" s="147"/>
    </row>
    <row r="86" spans="1:51" s="498" customFormat="1" ht="11.25" customHeight="1">
      <c r="A86"/>
      <c r="B86"/>
      <c r="C86"/>
      <c r="E86" s="529"/>
      <c r="G86" s="157"/>
      <c r="H86"/>
      <c r="I86" s="424"/>
      <c r="J86"/>
      <c r="K86"/>
      <c r="L86"/>
      <c r="M86"/>
      <c r="N86"/>
      <c r="O86"/>
      <c r="P86"/>
      <c r="Q86"/>
      <c r="R86"/>
      <c r="S86"/>
      <c r="T86"/>
      <c r="U86"/>
      <c r="V86"/>
      <c r="W86"/>
      <c r="X86"/>
      <c r="Y86"/>
      <c r="Z86"/>
      <c r="AA86"/>
      <c r="AB86"/>
      <c r="AC86"/>
      <c r="AD86"/>
      <c r="AE86"/>
      <c r="AF86"/>
      <c r="AG86"/>
      <c r="AH86"/>
      <c r="AI86"/>
      <c r="AJ86" s="266"/>
      <c r="AK86" s="266"/>
      <c r="AL86" s="266"/>
      <c r="AM86" s="266"/>
      <c r="AN86" s="266"/>
      <c r="AO86" s="266"/>
      <c r="AP86" s="266"/>
      <c r="AQ86" s="266"/>
      <c r="AR86" s="266"/>
      <c r="AS86" s="266"/>
      <c r="AT86" s="147"/>
      <c r="AU86" s="147"/>
      <c r="AV86" s="147"/>
      <c r="AW86" s="147"/>
      <c r="AX86" s="147"/>
    </row>
    <row r="87" spans="1:51">
      <c r="A87"/>
      <c r="B87"/>
      <c r="C87" s="332" t="s">
        <v>979</v>
      </c>
      <c r="D87" s="332"/>
      <c r="E87" s="332"/>
      <c r="F87" s="332"/>
      <c r="G87" s="332"/>
      <c r="H87" s="332"/>
      <c r="I87" s="332"/>
      <c r="J87" s="332"/>
      <c r="K87" s="332"/>
      <c r="L87" s="332"/>
      <c r="M87" s="332"/>
      <c r="N87" s="332"/>
      <c r="O87" s="332"/>
      <c r="P87" s="332"/>
      <c r="Q87" s="332"/>
      <c r="R87" s="332"/>
      <c r="S87" s="332"/>
      <c r="T87" s="332"/>
      <c r="U87" s="332"/>
      <c r="V87" s="332"/>
      <c r="W87" s="332"/>
      <c r="X87" s="332"/>
      <c r="Y87" s="332"/>
      <c r="Z87" s="332"/>
      <c r="AA87" s="332"/>
      <c r="AB87" s="332"/>
      <c r="AC87" s="332"/>
      <c r="AD87" s="332"/>
      <c r="AE87" s="332"/>
      <c r="AF87" s="332"/>
      <c r="AG87" s="332"/>
      <c r="AH87" s="332"/>
      <c r="AI87" s="332"/>
      <c r="AJ87" s="354"/>
      <c r="AK87" s="354"/>
      <c r="AL87" s="354"/>
      <c r="AM87" s="354"/>
      <c r="AN87" s="354"/>
      <c r="AO87" s="354"/>
      <c r="AP87" s="354"/>
      <c r="AQ87" s="354"/>
      <c r="AR87" s="354"/>
      <c r="AS87" s="354"/>
      <c r="AT87" s="354"/>
      <c r="AU87" s="354"/>
      <c r="AV87" s="354"/>
      <c r="AW87" s="354"/>
      <c r="AX87" s="354"/>
      <c r="AY87" s="354"/>
    </row>
    <row r="88" spans="1:51">
      <c r="A88" s="429"/>
      <c r="B88" s="429"/>
      <c r="C88" s="449"/>
      <c r="D88" s="449"/>
      <c r="E88" s="449"/>
      <c r="F88" s="449"/>
      <c r="G88" s="449"/>
      <c r="H88" s="449"/>
      <c r="I88" s="449"/>
      <c r="J88" s="449"/>
      <c r="K88" s="449"/>
      <c r="L88" s="449"/>
      <c r="M88" s="449"/>
      <c r="N88" s="449"/>
      <c r="O88" s="449"/>
      <c r="P88" s="449"/>
      <c r="Q88" s="449"/>
      <c r="R88" s="449"/>
      <c r="S88" s="449"/>
      <c r="T88" s="449"/>
      <c r="U88" s="449"/>
      <c r="V88" s="449"/>
      <c r="W88" s="449"/>
      <c r="X88" s="449"/>
      <c r="Y88" s="449"/>
      <c r="Z88" s="449"/>
      <c r="AA88" s="449"/>
      <c r="AB88" s="449"/>
      <c r="AC88" s="449"/>
      <c r="AD88" s="449"/>
      <c r="AE88" s="449"/>
      <c r="AF88" s="449"/>
      <c r="AG88" s="449"/>
      <c r="AH88" s="449"/>
      <c r="AI88" s="449"/>
      <c r="AJ88" s="446"/>
      <c r="AK88" s="446"/>
      <c r="AL88" s="446"/>
      <c r="AM88" s="446"/>
      <c r="AN88" s="446"/>
      <c r="AO88" s="446"/>
      <c r="AP88" s="446"/>
      <c r="AQ88" s="446"/>
      <c r="AR88" s="446"/>
      <c r="AS88" s="446"/>
      <c r="AT88" s="446"/>
      <c r="AU88" s="446"/>
      <c r="AV88" s="446"/>
      <c r="AW88" s="446"/>
      <c r="AX88" s="446"/>
      <c r="AY88" s="446"/>
    </row>
    <row r="89" spans="1:51">
      <c r="A89" s="429"/>
      <c r="B89" s="429"/>
      <c r="C89" s="449"/>
      <c r="D89" s="449"/>
      <c r="E89" s="529" t="s">
        <v>980</v>
      </c>
      <c r="F89" s="449"/>
      <c r="G89" s="157" t="s">
        <v>944</v>
      </c>
      <c r="H89" s="449"/>
      <c r="I89" s="449"/>
      <c r="J89" s="449"/>
      <c r="K89" s="449"/>
      <c r="L89" s="449"/>
      <c r="M89" s="449"/>
      <c r="N89" s="449"/>
      <c r="O89" s="449"/>
      <c r="P89" s="449"/>
      <c r="Q89" s="449"/>
      <c r="R89" s="449"/>
      <c r="S89" s="449"/>
      <c r="T89" s="449"/>
      <c r="U89" s="449"/>
      <c r="V89" s="449"/>
      <c r="W89" s="449"/>
      <c r="X89" s="449"/>
      <c r="Y89" s="449"/>
      <c r="Z89" s="449"/>
      <c r="AA89" s="449"/>
      <c r="AB89" s="449"/>
      <c r="AC89" s="449"/>
      <c r="AD89" s="449"/>
      <c r="AE89" s="449"/>
      <c r="AF89" s="449"/>
      <c r="AG89" s="449"/>
      <c r="AH89" s="449"/>
      <c r="AI89" s="449"/>
      <c r="AJ89" s="217"/>
      <c r="AK89" s="217"/>
      <c r="AL89" s="217"/>
      <c r="AM89" s="217"/>
      <c r="AN89" s="217"/>
      <c r="AO89" s="217"/>
      <c r="AP89" s="217"/>
      <c r="AQ89" s="217">
        <f t="shared" ref="AQ89:AS89" ca="1" si="13">(AQ29*(1-AQ23))/AQ$19</f>
        <v>0</v>
      </c>
      <c r="AR89" s="217">
        <f t="shared" ca="1" si="13"/>
        <v>0</v>
      </c>
      <c r="AS89" s="217">
        <f t="shared" ca="1" si="13"/>
        <v>0</v>
      </c>
      <c r="AT89" s="217"/>
      <c r="AU89" s="217"/>
      <c r="AV89" s="217"/>
      <c r="AW89" s="217"/>
      <c r="AX89" s="446"/>
      <c r="AY89" s="446"/>
    </row>
    <row r="90" spans="1:51">
      <c r="A90"/>
      <c r="B90"/>
      <c r="C90"/>
      <c r="D90"/>
      <c r="E90" s="157" t="s">
        <v>69</v>
      </c>
      <c r="F90"/>
      <c r="G90" s="157" t="s">
        <v>944</v>
      </c>
      <c r="H90"/>
      <c r="I90"/>
      <c r="J90"/>
      <c r="K90"/>
      <c r="L90"/>
      <c r="M90"/>
      <c r="N90"/>
      <c r="O90"/>
      <c r="P90"/>
      <c r="Q90"/>
      <c r="R90"/>
      <c r="S90"/>
      <c r="T90"/>
      <c r="U90"/>
      <c r="V90"/>
      <c r="W90"/>
      <c r="X90"/>
      <c r="Y90"/>
      <c r="Z90"/>
      <c r="AA90"/>
      <c r="AB90"/>
      <c r="AC90"/>
      <c r="AD90"/>
      <c r="AE90"/>
      <c r="AF90"/>
      <c r="AG90"/>
      <c r="AH90"/>
      <c r="AI90"/>
      <c r="AJ90" s="533"/>
      <c r="AK90" s="533"/>
      <c r="AL90" s="533"/>
      <c r="AM90" s="533"/>
      <c r="AN90" s="533"/>
      <c r="AO90" s="533"/>
      <c r="AP90" s="533"/>
      <c r="AQ90" s="533">
        <f t="shared" ref="AQ90:AS90" ca="1" si="14">(AQ34*AQ17*AQ25)/AQ19</f>
        <v>0</v>
      </c>
      <c r="AR90" s="533">
        <f t="shared" ca="1" si="14"/>
        <v>0</v>
      </c>
      <c r="AS90" s="533">
        <f t="shared" ca="1" si="14"/>
        <v>0</v>
      </c>
      <c r="AT90" s="533"/>
      <c r="AU90" s="533"/>
      <c r="AV90" s="533"/>
      <c r="AW90" s="533"/>
    </row>
    <row r="91" spans="1:51">
      <c r="A91" s="429"/>
      <c r="B91" s="429"/>
      <c r="C91" s="449"/>
      <c r="D91" s="449"/>
      <c r="E91" s="529" t="s">
        <v>616</v>
      </c>
      <c r="F91" s="449"/>
      <c r="G91" s="157" t="s">
        <v>944</v>
      </c>
      <c r="H91" s="449"/>
      <c r="I91" s="449"/>
      <c r="J91" s="449"/>
      <c r="K91" s="449"/>
      <c r="L91" s="449"/>
      <c r="M91" s="449"/>
      <c r="N91" s="449"/>
      <c r="O91" s="449"/>
      <c r="P91" s="449"/>
      <c r="Q91" s="449"/>
      <c r="R91" s="449"/>
      <c r="S91" s="449"/>
      <c r="T91" s="449"/>
      <c r="U91" s="449"/>
      <c r="V91" s="449"/>
      <c r="W91" s="449"/>
      <c r="X91" s="449"/>
      <c r="Y91" s="449"/>
      <c r="Z91" s="449"/>
      <c r="AA91" s="449"/>
      <c r="AB91" s="449"/>
      <c r="AC91" s="449"/>
      <c r="AD91" s="449"/>
      <c r="AE91" s="449"/>
      <c r="AF91" s="449"/>
      <c r="AG91" s="449"/>
      <c r="AH91" s="449"/>
      <c r="AI91" s="449"/>
      <c r="AJ91" s="217"/>
      <c r="AK91" s="217"/>
      <c r="AL91" s="217"/>
      <c r="AM91" s="217"/>
      <c r="AN91" s="217"/>
      <c r="AO91" s="217"/>
      <c r="AP91" s="217"/>
      <c r="AQ91" s="217">
        <f t="shared" ref="AQ91:AS91" ca="1" si="15">(AQ$39*AQ18*(1-AQ$23))/AQ$19</f>
        <v>0</v>
      </c>
      <c r="AR91" s="217">
        <f t="shared" ca="1" si="15"/>
        <v>0</v>
      </c>
      <c r="AS91" s="217">
        <f t="shared" ca="1" si="15"/>
        <v>0</v>
      </c>
      <c r="AT91" s="217"/>
      <c r="AU91" s="217"/>
      <c r="AV91" s="217"/>
      <c r="AW91" s="217"/>
      <c r="AX91" s="446"/>
      <c r="AY91" s="446"/>
    </row>
    <row r="92" spans="1:51">
      <c r="A92"/>
      <c r="B92"/>
      <c r="C92"/>
      <c r="D92"/>
      <c r="E92" s="157" t="s">
        <v>938</v>
      </c>
      <c r="F92"/>
      <c r="G92" s="157" t="s">
        <v>944</v>
      </c>
      <c r="H92"/>
      <c r="I92"/>
      <c r="J92"/>
      <c r="K92"/>
      <c r="L92"/>
      <c r="M92"/>
      <c r="N92"/>
      <c r="O92"/>
      <c r="P92"/>
      <c r="Q92"/>
      <c r="R92"/>
      <c r="S92"/>
      <c r="T92"/>
      <c r="U92"/>
      <c r="V92"/>
      <c r="W92"/>
      <c r="X92"/>
      <c r="Y92"/>
      <c r="Z92"/>
      <c r="AA92"/>
      <c r="AB92"/>
      <c r="AC92"/>
      <c r="AD92"/>
      <c r="AE92"/>
      <c r="AF92"/>
      <c r="AG92"/>
      <c r="AH92"/>
      <c r="AI92"/>
      <c r="AJ92" s="533"/>
      <c r="AK92" s="533"/>
      <c r="AL92" s="533"/>
      <c r="AM92" s="533"/>
      <c r="AN92" s="533"/>
      <c r="AO92" s="533"/>
      <c r="AP92" s="533"/>
      <c r="AQ92" s="533">
        <f t="shared" ref="AQ92:AS92" si="16">AQ44*AQ25*(1-AQ$23)</f>
        <v>0</v>
      </c>
      <c r="AR92" s="533">
        <f t="shared" si="16"/>
        <v>0</v>
      </c>
      <c r="AS92" s="533">
        <f t="shared" si="16"/>
        <v>0</v>
      </c>
      <c r="AT92" s="533"/>
      <c r="AU92" s="533"/>
      <c r="AV92" s="533"/>
      <c r="AW92" s="533"/>
    </row>
    <row r="93" spans="1:51">
      <c r="A93"/>
      <c r="B93"/>
      <c r="C93"/>
      <c r="D93"/>
      <c r="E93" s="157" t="s">
        <v>945</v>
      </c>
      <c r="F93"/>
      <c r="G93" s="157" t="s">
        <v>944</v>
      </c>
      <c r="H93"/>
      <c r="I93"/>
      <c r="J93"/>
      <c r="K93"/>
      <c r="L93"/>
      <c r="M93"/>
      <c r="N93"/>
      <c r="O93"/>
      <c r="P93"/>
      <c r="Q93"/>
      <c r="R93"/>
      <c r="S93"/>
      <c r="T93"/>
      <c r="U93"/>
      <c r="V93"/>
      <c r="W93"/>
      <c r="X93"/>
      <c r="Y93"/>
      <c r="Z93"/>
      <c r="AA93"/>
      <c r="AB93"/>
      <c r="AC93"/>
      <c r="AD93"/>
      <c r="AE93"/>
      <c r="AF93"/>
      <c r="AG93"/>
      <c r="AH93"/>
      <c r="AI93"/>
      <c r="AJ93" s="533"/>
      <c r="AK93" s="533"/>
      <c r="AL93" s="533"/>
      <c r="AM93" s="533"/>
      <c r="AN93" s="533"/>
      <c r="AO93" s="533"/>
      <c r="AP93" s="533"/>
      <c r="AQ93" s="533">
        <f t="shared" ref="AQ93:AS93" ca="1" si="17">(AQ$49*(1-AQ$23))/AQ$19</f>
        <v>2.9027739101349379E-3</v>
      </c>
      <c r="AR93" s="533">
        <f t="shared" ca="1" si="17"/>
        <v>2.8733815665088307E-3</v>
      </c>
      <c r="AS93" s="533">
        <f t="shared" ca="1" si="17"/>
        <v>1.9089367891673506E-3</v>
      </c>
      <c r="AT93" s="533"/>
      <c r="AU93" s="533"/>
      <c r="AV93" s="533"/>
      <c r="AW93" s="533"/>
    </row>
    <row r="94" spans="1:51">
      <c r="A94"/>
      <c r="B94"/>
      <c r="C94"/>
      <c r="D94"/>
      <c r="E94" s="157" t="s">
        <v>972</v>
      </c>
      <c r="F94"/>
      <c r="G94" s="157" t="s">
        <v>944</v>
      </c>
      <c r="H94"/>
      <c r="I94"/>
      <c r="J94"/>
      <c r="K94"/>
      <c r="L94"/>
      <c r="M94"/>
      <c r="N94"/>
      <c r="O94"/>
      <c r="P94"/>
      <c r="Q94"/>
      <c r="R94"/>
      <c r="S94"/>
      <c r="T94"/>
      <c r="U94"/>
      <c r="V94"/>
      <c r="W94"/>
      <c r="X94"/>
      <c r="Y94"/>
      <c r="Z94"/>
      <c r="AA94"/>
      <c r="AB94"/>
      <c r="AC94"/>
      <c r="AD94"/>
      <c r="AE94"/>
      <c r="AF94"/>
      <c r="AG94"/>
      <c r="AH94"/>
      <c r="AI94"/>
      <c r="AJ94" s="533"/>
      <c r="AK94" s="533"/>
      <c r="AL94" s="533"/>
      <c r="AM94" s="533"/>
      <c r="AN94" s="533"/>
      <c r="AO94" s="533"/>
      <c r="AP94" s="533"/>
      <c r="AQ94" s="533">
        <f t="shared" ref="AQ94:AS94" ca="1" si="18">(AQ$54*(1-AQ23))/AQ$19</f>
        <v>2.9027739101349379E-3</v>
      </c>
      <c r="AR94" s="533">
        <f t="shared" ca="1" si="18"/>
        <v>2.8733815665088307E-3</v>
      </c>
      <c r="AS94" s="533">
        <f t="shared" ca="1" si="18"/>
        <v>1.9089367891673506E-3</v>
      </c>
      <c r="AT94" s="533"/>
      <c r="AU94" s="533"/>
      <c r="AV94" s="533"/>
      <c r="AW94" s="533"/>
    </row>
    <row r="95" spans="1:51">
      <c r="A95"/>
      <c r="B95"/>
      <c r="C95"/>
      <c r="D95"/>
      <c r="E95" s="157" t="s">
        <v>941</v>
      </c>
      <c r="F95"/>
      <c r="G95" s="157" t="s">
        <v>944</v>
      </c>
      <c r="H95"/>
      <c r="I95"/>
      <c r="J95"/>
      <c r="K95"/>
      <c r="L95"/>
      <c r="M95"/>
      <c r="N95"/>
      <c r="O95"/>
      <c r="P95"/>
      <c r="Q95"/>
      <c r="R95"/>
      <c r="S95"/>
      <c r="T95"/>
      <c r="U95"/>
      <c r="V95"/>
      <c r="W95"/>
      <c r="X95"/>
      <c r="Y95"/>
      <c r="Z95"/>
      <c r="AA95"/>
      <c r="AB95"/>
      <c r="AC95"/>
      <c r="AD95"/>
      <c r="AE95"/>
      <c r="AF95"/>
      <c r="AG95"/>
      <c r="AH95"/>
      <c r="AI95"/>
      <c r="AJ95" s="533"/>
      <c r="AK95" s="533"/>
      <c r="AL95" s="533"/>
      <c r="AM95" s="533"/>
      <c r="AN95" s="533"/>
      <c r="AO95" s="533"/>
      <c r="AP95" s="533"/>
      <c r="AQ95" s="533">
        <f t="shared" ref="AQ95:AS95" si="19">(AQ$59*(1-AQ$23))</f>
        <v>-6.4000000000000003E-3</v>
      </c>
      <c r="AR95" s="533">
        <f t="shared" si="19"/>
        <v>-6.4000000000000003E-3</v>
      </c>
      <c r="AS95" s="533">
        <f t="shared" si="19"/>
        <v>-6.4000000000000003E-3</v>
      </c>
      <c r="AT95" s="533"/>
      <c r="AU95" s="533"/>
      <c r="AV95" s="533"/>
      <c r="AW95" s="533"/>
    </row>
    <row r="96" spans="1:51">
      <c r="A96"/>
      <c r="B96"/>
      <c r="C96"/>
      <c r="D96"/>
      <c r="E96" s="157" t="s">
        <v>802</v>
      </c>
      <c r="F96"/>
      <c r="G96" s="157" t="s">
        <v>944</v>
      </c>
      <c r="H96"/>
      <c r="I96"/>
      <c r="J96"/>
      <c r="K96"/>
      <c r="L96"/>
      <c r="M96"/>
      <c r="N96"/>
      <c r="O96"/>
      <c r="P96"/>
      <c r="Q96"/>
      <c r="R96"/>
      <c r="S96"/>
      <c r="T96"/>
      <c r="U96"/>
      <c r="V96"/>
      <c r="W96"/>
      <c r="X96"/>
      <c r="Y96"/>
      <c r="Z96"/>
      <c r="AA96"/>
      <c r="AB96"/>
      <c r="AC96"/>
      <c r="AD96"/>
      <c r="AE96"/>
      <c r="AF96"/>
      <c r="AG96"/>
      <c r="AH96"/>
      <c r="AI96"/>
      <c r="AJ96" s="533"/>
      <c r="AK96" s="533"/>
      <c r="AL96" s="533"/>
      <c r="AM96" s="533"/>
      <c r="AN96" s="533"/>
      <c r="AO96" s="533"/>
      <c r="AP96" s="533"/>
      <c r="AQ96" s="533">
        <f t="shared" ref="AQ96:AS96" si="20">(AQ$64*(1-AQ$23))</f>
        <v>-1.16E-3</v>
      </c>
      <c r="AR96" s="533">
        <f t="shared" si="20"/>
        <v>-1.16E-3</v>
      </c>
      <c r="AS96" s="533">
        <f t="shared" si="20"/>
        <v>-1.16E-3</v>
      </c>
      <c r="AT96" s="533"/>
      <c r="AU96" s="533"/>
      <c r="AV96" s="533"/>
      <c r="AW96" s="533"/>
    </row>
    <row r="97" spans="1:51">
      <c r="A97"/>
      <c r="B97"/>
      <c r="C97"/>
      <c r="D97"/>
      <c r="E97" s="157" t="s">
        <v>942</v>
      </c>
      <c r="F97"/>
      <c r="G97" s="157" t="s">
        <v>944</v>
      </c>
      <c r="H97"/>
      <c r="I97"/>
      <c r="J97"/>
      <c r="K97"/>
      <c r="L97"/>
      <c r="M97"/>
      <c r="N97"/>
      <c r="O97"/>
      <c r="P97"/>
      <c r="Q97"/>
      <c r="R97"/>
      <c r="S97"/>
      <c r="T97"/>
      <c r="U97"/>
      <c r="V97"/>
      <c r="W97"/>
      <c r="X97"/>
      <c r="Y97"/>
      <c r="Z97"/>
      <c r="AA97"/>
      <c r="AB97"/>
      <c r="AC97"/>
      <c r="AD97"/>
      <c r="AE97"/>
      <c r="AF97"/>
      <c r="AG97"/>
      <c r="AH97"/>
      <c r="AI97"/>
      <c r="AJ97" s="533"/>
      <c r="AK97" s="533"/>
      <c r="AL97" s="533"/>
      <c r="AM97" s="533"/>
      <c r="AN97" s="533"/>
      <c r="AO97" s="533"/>
      <c r="AP97" s="533"/>
      <c r="AQ97" s="533">
        <f t="shared" ref="AQ97:AS97" ca="1" si="21">(AQ$69*AQ17*(1-AQ$23))/AQ$19</f>
        <v>0</v>
      </c>
      <c r="AR97" s="533">
        <f t="shared" ca="1" si="21"/>
        <v>0</v>
      </c>
      <c r="AS97" s="533">
        <f t="shared" ca="1" si="21"/>
        <v>0</v>
      </c>
      <c r="AT97" s="533"/>
      <c r="AU97" s="533"/>
      <c r="AV97" s="533"/>
      <c r="AW97" s="533"/>
    </row>
    <row r="98" spans="1:51">
      <c r="A98"/>
      <c r="B98"/>
      <c r="C98"/>
      <c r="D98"/>
      <c r="E98" s="157" t="s">
        <v>943</v>
      </c>
      <c r="F98"/>
      <c r="G98" s="157" t="s">
        <v>944</v>
      </c>
      <c r="H98"/>
      <c r="I98"/>
      <c r="J98"/>
      <c r="K98"/>
      <c r="L98"/>
      <c r="M98"/>
      <c r="N98"/>
      <c r="O98"/>
      <c r="P98"/>
      <c r="Q98"/>
      <c r="R98"/>
      <c r="S98"/>
      <c r="T98"/>
      <c r="U98"/>
      <c r="V98"/>
      <c r="W98"/>
      <c r="X98"/>
      <c r="Y98"/>
      <c r="Z98"/>
      <c r="AA98"/>
      <c r="AB98"/>
      <c r="AC98"/>
      <c r="AD98"/>
      <c r="AE98"/>
      <c r="AF98"/>
      <c r="AG98"/>
      <c r="AH98"/>
      <c r="AI98"/>
      <c r="AJ98" s="545"/>
      <c r="AK98" s="545"/>
      <c r="AL98" s="545"/>
      <c r="AM98" s="545"/>
      <c r="AN98" s="545"/>
      <c r="AO98" s="545"/>
      <c r="AP98" s="545"/>
      <c r="AQ98" s="545">
        <f t="shared" ref="AQ98:AS98" si="22">(AQ$74*(1-AQ$23))</f>
        <v>0</v>
      </c>
      <c r="AR98" s="545">
        <f t="shared" si="22"/>
        <v>0</v>
      </c>
      <c r="AS98" s="545">
        <f t="shared" si="22"/>
        <v>0</v>
      </c>
      <c r="AT98" s="545"/>
      <c r="AU98" s="545"/>
      <c r="AV98" s="545"/>
      <c r="AW98" s="545"/>
    </row>
    <row r="99" spans="1:51">
      <c r="A99"/>
      <c r="B99"/>
      <c r="C99"/>
      <c r="D99"/>
      <c r="E99" s="158" t="s">
        <v>981</v>
      </c>
      <c r="F99"/>
      <c r="G99" s="157"/>
      <c r="H99"/>
      <c r="I99"/>
      <c r="J99"/>
      <c r="K99"/>
      <c r="L99"/>
      <c r="M99"/>
      <c r="N99"/>
      <c r="O99"/>
      <c r="P99"/>
      <c r="Q99"/>
      <c r="R99"/>
      <c r="S99"/>
      <c r="T99"/>
      <c r="U99"/>
      <c r="V99"/>
      <c r="W99"/>
      <c r="X99"/>
      <c r="Y99"/>
      <c r="Z99"/>
      <c r="AA99"/>
      <c r="AB99"/>
      <c r="AC99"/>
      <c r="AD99"/>
      <c r="AE99"/>
      <c r="AF99"/>
      <c r="AG99"/>
      <c r="AH99"/>
      <c r="AI99"/>
      <c r="AJ99" s="544"/>
      <c r="AK99" s="544"/>
      <c r="AL99" s="544"/>
      <c r="AM99" s="544"/>
      <c r="AN99" s="544"/>
      <c r="AO99" s="544"/>
      <c r="AP99" s="544"/>
      <c r="AQ99" s="544">
        <f t="shared" ref="AQ99:AS99" ca="1" si="23">SUM(AQ89:AQ98)</f>
        <v>-1.7544521797301245E-3</v>
      </c>
      <c r="AR99" s="544">
        <f t="shared" ca="1" si="23"/>
        <v>-1.813236866982339E-3</v>
      </c>
      <c r="AS99" s="544">
        <f t="shared" ca="1" si="23"/>
        <v>-3.7421264216652992E-3</v>
      </c>
      <c r="AT99" s="544"/>
      <c r="AU99" s="544"/>
      <c r="AV99" s="544"/>
      <c r="AW99" s="544"/>
    </row>
    <row r="100" spans="1:51">
      <c r="A100"/>
      <c r="B100"/>
      <c r="C100"/>
      <c r="D100"/>
      <c r="E100" s="157"/>
      <c r="F100"/>
      <c r="G100" s="157"/>
      <c r="H100"/>
      <c r="I100"/>
      <c r="J100"/>
      <c r="K100"/>
      <c r="L100"/>
      <c r="M100"/>
      <c r="N100"/>
      <c r="O100"/>
      <c r="P100"/>
      <c r="Q100"/>
      <c r="R100"/>
      <c r="S100"/>
      <c r="T100"/>
      <c r="U100"/>
      <c r="V100"/>
      <c r="W100"/>
      <c r="X100"/>
      <c r="Y100"/>
      <c r="Z100"/>
      <c r="AA100"/>
      <c r="AB100"/>
      <c r="AC100"/>
      <c r="AD100"/>
      <c r="AE100"/>
      <c r="AF100"/>
      <c r="AG100"/>
      <c r="AH100"/>
      <c r="AI100"/>
      <c r="AJ100" s="533"/>
      <c r="AK100" s="533"/>
      <c r="AL100" s="533"/>
      <c r="AM100" s="533"/>
      <c r="AN100" s="533"/>
      <c r="AO100" s="533"/>
      <c r="AP100" s="533"/>
      <c r="AQ100" s="533"/>
      <c r="AR100" s="533"/>
      <c r="AS100" s="533"/>
      <c r="AT100" s="533"/>
      <c r="AU100" s="533"/>
      <c r="AV100" s="533"/>
      <c r="AW100" s="533"/>
    </row>
    <row r="101" spans="1:51">
      <c r="A101"/>
      <c r="B101"/>
      <c r="C101" s="332" t="s">
        <v>982</v>
      </c>
      <c r="D101" s="332"/>
      <c r="E101" s="332"/>
      <c r="F101" s="332"/>
      <c r="G101" s="332"/>
      <c r="H101" s="332"/>
      <c r="I101" s="332"/>
      <c r="J101" s="332"/>
      <c r="K101" s="332"/>
      <c r="L101" s="332"/>
      <c r="M101" s="332"/>
      <c r="N101" s="332"/>
      <c r="O101" s="332"/>
      <c r="P101" s="332"/>
      <c r="Q101" s="332"/>
      <c r="R101" s="332"/>
      <c r="S101" s="332"/>
      <c r="T101" s="332"/>
      <c r="U101" s="332"/>
      <c r="V101" s="332"/>
      <c r="W101" s="332"/>
      <c r="X101" s="332"/>
      <c r="Y101" s="332"/>
      <c r="Z101" s="332"/>
      <c r="AA101" s="332"/>
      <c r="AB101" s="332"/>
      <c r="AC101" s="332"/>
      <c r="AD101" s="332"/>
      <c r="AE101" s="332"/>
      <c r="AF101" s="332"/>
      <c r="AG101" s="332"/>
      <c r="AH101" s="332"/>
      <c r="AI101" s="332"/>
      <c r="AJ101" s="354"/>
      <c r="AK101" s="354"/>
      <c r="AL101" s="354"/>
      <c r="AM101" s="354"/>
      <c r="AN101" s="354"/>
      <c r="AO101" s="354"/>
      <c r="AP101" s="354"/>
      <c r="AQ101" s="354"/>
      <c r="AR101" s="354"/>
      <c r="AS101" s="354"/>
      <c r="AT101" s="354"/>
      <c r="AU101" s="354"/>
      <c r="AV101" s="354"/>
      <c r="AW101" s="354"/>
      <c r="AX101" s="354"/>
      <c r="AY101" s="354"/>
    </row>
    <row r="102" spans="1:51">
      <c r="A102"/>
      <c r="B102"/>
      <c r="C102"/>
      <c r="D102"/>
      <c r="E102" s="157"/>
      <c r="F102"/>
      <c r="G102" s="157"/>
      <c r="H102"/>
      <c r="I102"/>
      <c r="J102"/>
      <c r="K102"/>
      <c r="L102"/>
      <c r="M102"/>
      <c r="N102"/>
      <c r="O102"/>
      <c r="P102"/>
      <c r="Q102"/>
      <c r="R102"/>
      <c r="S102"/>
      <c r="T102"/>
      <c r="U102"/>
      <c r="V102"/>
      <c r="W102"/>
      <c r="X102"/>
      <c r="Y102"/>
      <c r="Z102"/>
      <c r="AA102"/>
      <c r="AB102"/>
      <c r="AC102"/>
      <c r="AD102"/>
      <c r="AE102"/>
      <c r="AF102"/>
      <c r="AG102"/>
      <c r="AH102"/>
      <c r="AI102"/>
      <c r="AJ102" s="533"/>
      <c r="AK102" s="533"/>
      <c r="AL102" s="533"/>
      <c r="AM102" s="533"/>
      <c r="AN102" s="533"/>
      <c r="AO102" s="533"/>
      <c r="AP102" s="533"/>
      <c r="AQ102" s="533"/>
      <c r="AR102" s="533"/>
      <c r="AS102" s="533"/>
      <c r="AT102" s="533"/>
      <c r="AU102" s="533"/>
      <c r="AV102" s="533"/>
      <c r="AW102" s="533"/>
    </row>
    <row r="103" spans="1:51">
      <c r="A103"/>
      <c r="B103"/>
      <c r="C103"/>
      <c r="D103"/>
      <c r="E103" s="158" t="s">
        <v>514</v>
      </c>
      <c r="F103"/>
      <c r="G103" s="157" t="s">
        <v>944</v>
      </c>
      <c r="H103"/>
      <c r="I103"/>
      <c r="J103"/>
      <c r="K103"/>
      <c r="L103"/>
      <c r="M103"/>
      <c r="N103"/>
      <c r="O103"/>
      <c r="P103"/>
      <c r="Q103"/>
      <c r="R103"/>
      <c r="S103"/>
      <c r="T103"/>
      <c r="U103"/>
      <c r="V103"/>
      <c r="W103"/>
      <c r="X103"/>
      <c r="Y103"/>
      <c r="Z103"/>
      <c r="AA103"/>
      <c r="AB103"/>
      <c r="AC103"/>
      <c r="AD103"/>
      <c r="AE103"/>
      <c r="AF103"/>
      <c r="AG103"/>
      <c r="AH103"/>
      <c r="AI103"/>
      <c r="AJ103" s="533"/>
      <c r="AK103" s="533"/>
      <c r="AL103" s="533"/>
      <c r="AM103" s="533"/>
      <c r="AN103" s="533"/>
      <c r="AO103" s="533"/>
      <c r="AP103" s="533"/>
      <c r="AQ103" s="533">
        <f t="shared" ref="AQ103:AS103" ca="1" si="24">AQ85</f>
        <v>0.06</v>
      </c>
      <c r="AR103" s="533">
        <f t="shared" ca="1" si="24"/>
        <v>5.999999999999997E-2</v>
      </c>
      <c r="AS103" s="533">
        <f t="shared" ca="1" si="24"/>
        <v>6.0000000000000019E-2</v>
      </c>
      <c r="AT103" s="533"/>
      <c r="AU103" s="533"/>
      <c r="AV103" s="533"/>
      <c r="AW103" s="533"/>
    </row>
    <row r="104" spans="1:51">
      <c r="A104"/>
      <c r="B104"/>
      <c r="C104"/>
      <c r="D104"/>
      <c r="E104" s="158" t="s">
        <v>981</v>
      </c>
      <c r="F104"/>
      <c r="G104" s="157" t="s">
        <v>944</v>
      </c>
      <c r="H104"/>
      <c r="I104"/>
      <c r="J104"/>
      <c r="K104"/>
      <c r="L104"/>
      <c r="M104"/>
      <c r="N104"/>
      <c r="O104"/>
      <c r="P104"/>
      <c r="Q104"/>
      <c r="R104"/>
      <c r="S104"/>
      <c r="T104"/>
      <c r="U104"/>
      <c r="V104"/>
      <c r="W104"/>
      <c r="X104"/>
      <c r="Y104"/>
      <c r="Z104"/>
      <c r="AA104"/>
      <c r="AB104"/>
      <c r="AC104"/>
      <c r="AD104"/>
      <c r="AE104"/>
      <c r="AF104"/>
      <c r="AG104"/>
      <c r="AH104"/>
      <c r="AI104"/>
      <c r="AJ104" s="546"/>
      <c r="AK104" s="546"/>
      <c r="AL104" s="546"/>
      <c r="AM104" s="546"/>
      <c r="AN104" s="546"/>
      <c r="AO104" s="546"/>
      <c r="AP104" s="546"/>
      <c r="AQ104" s="546">
        <f t="shared" ref="AQ104:AS104" ca="1" si="25">AQ99</f>
        <v>-1.7544521797301245E-3</v>
      </c>
      <c r="AR104" s="546">
        <f t="shared" ca="1" si="25"/>
        <v>-1.813236866982339E-3</v>
      </c>
      <c r="AS104" s="546">
        <f t="shared" ca="1" si="25"/>
        <v>-3.7421264216652992E-3</v>
      </c>
      <c r="AT104" s="546"/>
      <c r="AU104" s="546"/>
      <c r="AV104" s="546"/>
      <c r="AW104" s="546"/>
    </row>
    <row r="105" spans="1:51">
      <c r="A105"/>
      <c r="B105"/>
      <c r="C105"/>
      <c r="D105"/>
      <c r="E105" s="158" t="s">
        <v>982</v>
      </c>
      <c r="F105"/>
      <c r="G105" s="157" t="s">
        <v>944</v>
      </c>
      <c r="H105"/>
      <c r="I105"/>
      <c r="J105"/>
      <c r="K105"/>
      <c r="L105"/>
      <c r="M105"/>
      <c r="N105"/>
      <c r="O105"/>
      <c r="P105"/>
      <c r="Q105"/>
      <c r="R105"/>
      <c r="S105"/>
      <c r="T105"/>
      <c r="U105"/>
      <c r="V105"/>
      <c r="W105"/>
      <c r="X105"/>
      <c r="Y105"/>
      <c r="Z105"/>
      <c r="AA105"/>
      <c r="AB105"/>
      <c r="AC105"/>
      <c r="AD105"/>
      <c r="AE105"/>
      <c r="AF105"/>
      <c r="AG105"/>
      <c r="AH105"/>
      <c r="AI105"/>
      <c r="AJ105" s="547"/>
      <c r="AK105" s="547"/>
      <c r="AL105" s="547"/>
      <c r="AM105" s="547"/>
      <c r="AN105" s="547"/>
      <c r="AO105" s="547"/>
      <c r="AP105" s="547"/>
      <c r="AQ105" s="547">
        <f t="shared" ref="AQ105:AS105" ca="1" si="26">AQ103 + AQ104</f>
        <v>5.8245547820269875E-2</v>
      </c>
      <c r="AR105" s="547">
        <f t="shared" ca="1" si="26"/>
        <v>5.8186763133017634E-2</v>
      </c>
      <c r="AS105" s="547">
        <f t="shared" ca="1" si="26"/>
        <v>5.625787357833472E-2</v>
      </c>
      <c r="AT105" s="547"/>
      <c r="AU105" s="547"/>
      <c r="AV105" s="547"/>
      <c r="AW105" s="547"/>
    </row>
    <row r="106" spans="1:51">
      <c r="A106"/>
      <c r="B106"/>
      <c r="C106"/>
      <c r="D106"/>
      <c r="E106" s="157"/>
      <c r="F106"/>
      <c r="G106" s="157"/>
      <c r="H106"/>
      <c r="I106"/>
      <c r="J106"/>
      <c r="K106"/>
      <c r="L106"/>
      <c r="M106"/>
      <c r="N106"/>
      <c r="O106"/>
      <c r="P106"/>
      <c r="Q106"/>
      <c r="R106"/>
      <c r="S106"/>
      <c r="T106"/>
      <c r="U106"/>
      <c r="V106"/>
      <c r="W106"/>
      <c r="X106"/>
      <c r="Y106"/>
      <c r="Z106"/>
      <c r="AA106"/>
      <c r="AB106"/>
      <c r="AC106"/>
      <c r="AD106"/>
      <c r="AE106"/>
      <c r="AF106"/>
      <c r="AG106"/>
      <c r="AH106"/>
      <c r="AI106"/>
      <c r="AJ106" s="533"/>
      <c r="AK106" s="533"/>
      <c r="AL106" s="533"/>
      <c r="AM106" s="533"/>
      <c r="AN106" s="533"/>
      <c r="AO106" s="533"/>
      <c r="AP106" s="533"/>
      <c r="AQ106" s="533"/>
      <c r="AR106" s="533"/>
      <c r="AS106" s="533"/>
      <c r="AT106" s="533"/>
      <c r="AU106" s="533"/>
      <c r="AV106" s="533"/>
      <c r="AW106" s="533"/>
    </row>
    <row r="107" spans="1:51" s="498" customFormat="1">
      <c r="A107"/>
      <c r="B107" s="334" t="s">
        <v>983</v>
      </c>
      <c r="C107" s="334"/>
      <c r="D107" s="334"/>
      <c r="E107" s="334"/>
      <c r="F107" s="334"/>
      <c r="G107" s="334"/>
      <c r="H107" s="334"/>
      <c r="I107" s="334"/>
      <c r="J107" s="334"/>
      <c r="K107" s="334"/>
      <c r="L107" s="334"/>
      <c r="M107" s="334"/>
      <c r="N107" s="334"/>
      <c r="O107" s="334"/>
      <c r="P107" s="334"/>
      <c r="Q107" s="334"/>
      <c r="R107" s="334"/>
      <c r="S107" s="334"/>
      <c r="T107" s="334"/>
      <c r="U107" s="334"/>
      <c r="V107" s="334"/>
      <c r="W107" s="334"/>
      <c r="X107" s="334"/>
      <c r="Y107" s="334"/>
      <c r="Z107" s="334"/>
      <c r="AA107" s="334"/>
      <c r="AB107" s="334"/>
      <c r="AC107" s="334"/>
      <c r="AD107" s="334"/>
      <c r="AE107" s="334"/>
      <c r="AF107" s="334"/>
      <c r="AG107" s="334"/>
      <c r="AH107" s="334"/>
      <c r="AI107" s="334"/>
      <c r="AJ107" s="334"/>
      <c r="AK107" s="334"/>
      <c r="AL107" s="334"/>
      <c r="AM107" s="334"/>
      <c r="AN107" s="334"/>
      <c r="AO107" s="334"/>
      <c r="AP107" s="334"/>
      <c r="AQ107" s="334"/>
      <c r="AR107" s="334"/>
      <c r="AS107" s="334"/>
      <c r="AT107" s="334"/>
      <c r="AU107" s="334"/>
      <c r="AV107" s="334"/>
      <c r="AW107" s="334"/>
      <c r="AX107" s="334"/>
      <c r="AY107" s="334"/>
    </row>
    <row r="108" spans="1:51">
      <c r="A108"/>
      <c r="B108"/>
      <c r="C108"/>
      <c r="D108"/>
      <c r="E108" s="157"/>
      <c r="F108"/>
      <c r="G108" s="157"/>
      <c r="H108"/>
      <c r="I108"/>
      <c r="J108"/>
      <c r="K108"/>
      <c r="L108"/>
      <c r="M108"/>
      <c r="N108"/>
      <c r="O108"/>
      <c r="P108"/>
      <c r="Q108"/>
      <c r="R108"/>
      <c r="S108"/>
      <c r="T108"/>
      <c r="U108"/>
      <c r="V108"/>
      <c r="W108"/>
      <c r="X108"/>
      <c r="Y108"/>
      <c r="Z108"/>
      <c r="AA108"/>
      <c r="AB108"/>
      <c r="AC108"/>
      <c r="AD108"/>
      <c r="AE108"/>
      <c r="AF108"/>
      <c r="AG108"/>
      <c r="AH108"/>
      <c r="AI108"/>
      <c r="AJ108" s="533"/>
      <c r="AK108" s="533"/>
      <c r="AL108" s="533"/>
      <c r="AM108" s="533"/>
      <c r="AN108" s="533"/>
      <c r="AO108" s="533"/>
      <c r="AP108" s="533"/>
      <c r="AQ108" s="533"/>
      <c r="AR108" s="533"/>
      <c r="AS108" s="533"/>
      <c r="AT108" s="533"/>
      <c r="AU108" s="533"/>
      <c r="AV108" s="533"/>
      <c r="AW108" s="533"/>
    </row>
    <row r="109" spans="1:51">
      <c r="A109"/>
      <c r="B109"/>
      <c r="C109"/>
      <c r="D109"/>
      <c r="E109" s="157"/>
      <c r="F109"/>
      <c r="G109"/>
      <c r="H109"/>
      <c r="I109"/>
      <c r="J109"/>
      <c r="K109"/>
      <c r="L109"/>
      <c r="M109"/>
      <c r="N109"/>
      <c r="O109"/>
      <c r="P109"/>
      <c r="Q109"/>
      <c r="R109"/>
      <c r="S109"/>
      <c r="T109"/>
      <c r="U109"/>
      <c r="V109"/>
      <c r="W109"/>
      <c r="X109"/>
      <c r="Y109"/>
      <c r="Z109"/>
      <c r="AA109"/>
      <c r="AB109"/>
      <c r="AC109"/>
      <c r="AD109"/>
      <c r="AE109"/>
      <c r="AF109"/>
      <c r="AG109"/>
      <c r="AH109"/>
      <c r="AI109"/>
      <c r="AJ109" s="266"/>
      <c r="AK109" s="266"/>
      <c r="AL109" s="266"/>
      <c r="AM109" s="266"/>
      <c r="AN109" s="266"/>
      <c r="AO109" s="266"/>
      <c r="AP109" s="266"/>
      <c r="AQ109" s="266"/>
      <c r="AR109" s="266"/>
      <c r="AS109" s="266"/>
    </row>
    <row r="110" spans="1:51">
      <c r="A110"/>
      <c r="B110"/>
      <c r="C110" s="332" t="s">
        <v>984</v>
      </c>
      <c r="D110" s="332"/>
      <c r="E110" s="332"/>
      <c r="F110" s="332"/>
      <c r="G110" s="332"/>
      <c r="H110" s="332"/>
      <c r="I110" s="332"/>
      <c r="J110" s="332"/>
      <c r="K110" s="332"/>
      <c r="L110" s="332"/>
      <c r="M110" s="332"/>
      <c r="N110" s="332"/>
      <c r="O110" s="332"/>
      <c r="P110" s="332"/>
      <c r="Q110" s="332"/>
      <c r="R110" s="332"/>
      <c r="S110" s="332"/>
      <c r="T110" s="332"/>
      <c r="U110" s="332"/>
      <c r="V110" s="332"/>
      <c r="W110" s="332"/>
      <c r="X110" s="332"/>
      <c r="Y110" s="332"/>
      <c r="Z110" s="332"/>
      <c r="AA110" s="332"/>
      <c r="AB110" s="332"/>
      <c r="AC110" s="332"/>
      <c r="AD110" s="332"/>
      <c r="AE110" s="332"/>
      <c r="AF110" s="332"/>
      <c r="AG110" s="332"/>
      <c r="AH110" s="332"/>
      <c r="AI110" s="332"/>
      <c r="AJ110" s="354"/>
      <c r="AK110" s="354"/>
      <c r="AL110" s="354"/>
      <c r="AM110" s="354"/>
      <c r="AN110" s="354"/>
      <c r="AO110" s="354"/>
      <c r="AP110" s="354"/>
      <c r="AQ110" s="354"/>
      <c r="AR110" s="354"/>
      <c r="AS110" s="354"/>
      <c r="AT110" s="354"/>
      <c r="AU110" s="354"/>
      <c r="AV110" s="354"/>
      <c r="AW110" s="354"/>
      <c r="AX110" s="354"/>
      <c r="AY110" s="354"/>
    </row>
    <row r="111" spans="1:51">
      <c r="A111" s="429"/>
      <c r="B111" s="429"/>
      <c r="C111" s="449"/>
      <c r="D111" s="449"/>
      <c r="E111" s="529" t="s">
        <v>980</v>
      </c>
      <c r="F111" s="449"/>
      <c r="G111" s="157" t="s">
        <v>944</v>
      </c>
      <c r="H111" s="449"/>
      <c r="I111" s="449"/>
      <c r="J111" s="449"/>
      <c r="K111" s="449"/>
      <c r="L111" s="449"/>
      <c r="M111" s="449"/>
      <c r="N111" s="449"/>
      <c r="O111" s="449"/>
      <c r="P111" s="449"/>
      <c r="Q111" s="449"/>
      <c r="R111" s="449"/>
      <c r="S111" s="449"/>
      <c r="T111" s="449"/>
      <c r="U111" s="449"/>
      <c r="V111" s="449"/>
      <c r="W111" s="449"/>
      <c r="X111" s="449"/>
      <c r="Y111" s="449"/>
      <c r="Z111" s="449"/>
      <c r="AA111" s="449"/>
      <c r="AB111" s="449"/>
      <c r="AC111" s="449"/>
      <c r="AD111" s="449"/>
      <c r="AE111" s="449"/>
      <c r="AF111" s="449"/>
      <c r="AG111" s="449"/>
      <c r="AH111" s="449"/>
      <c r="AI111" s="449"/>
      <c r="AJ111" s="217"/>
      <c r="AK111" s="217"/>
      <c r="AL111" s="217"/>
      <c r="AM111" s="217"/>
      <c r="AN111" s="217"/>
      <c r="AO111" s="217"/>
      <c r="AP111" s="217"/>
      <c r="AQ111" s="217">
        <f t="shared" ref="AQ111:AS111" ca="1" si="27">((AQ$28-AQ$29)*(1-AQ23))/AQ$19</f>
        <v>0</v>
      </c>
      <c r="AR111" s="217">
        <f t="shared" ca="1" si="27"/>
        <v>0</v>
      </c>
      <c r="AS111" s="217">
        <f t="shared" ca="1" si="27"/>
        <v>0</v>
      </c>
      <c r="AT111" s="217"/>
      <c r="AU111" s="217"/>
      <c r="AV111" s="217"/>
      <c r="AW111" s="217"/>
      <c r="AX111" s="446"/>
      <c r="AY111" s="446"/>
    </row>
    <row r="112" spans="1:51">
      <c r="A112"/>
      <c r="B112"/>
      <c r="C112"/>
      <c r="D112"/>
      <c r="E112" s="157" t="s">
        <v>69</v>
      </c>
      <c r="F112"/>
      <c r="G112" s="157" t="s">
        <v>944</v>
      </c>
      <c r="H112"/>
      <c r="I112"/>
      <c r="J112"/>
      <c r="K112"/>
      <c r="L112"/>
      <c r="M112"/>
      <c r="N112"/>
      <c r="O112"/>
      <c r="P112"/>
      <c r="Q112"/>
      <c r="R112"/>
      <c r="S112"/>
      <c r="T112"/>
      <c r="U112"/>
      <c r="V112"/>
      <c r="W112"/>
      <c r="X112"/>
      <c r="Y112"/>
      <c r="Z112"/>
      <c r="AA112"/>
      <c r="AB112"/>
      <c r="AC112"/>
      <c r="AD112"/>
      <c r="AE112"/>
      <c r="AF112"/>
      <c r="AG112"/>
      <c r="AH112"/>
      <c r="AI112"/>
      <c r="AJ112" s="533"/>
      <c r="AK112" s="533"/>
      <c r="AL112" s="533"/>
      <c r="AM112" s="533"/>
      <c r="AN112" s="533"/>
      <c r="AO112" s="533"/>
      <c r="AP112" s="533"/>
      <c r="AQ112" s="533">
        <f t="shared" ref="AQ112:AS112" ca="1" si="28">(((AQ$33-AQ34)*AQ$25*AQ$17)/AQ$19)-ABS(AQ126)</f>
        <v>0</v>
      </c>
      <c r="AR112" s="533">
        <f t="shared" ca="1" si="28"/>
        <v>0</v>
      </c>
      <c r="AS112" s="533">
        <f t="shared" ca="1" si="28"/>
        <v>0</v>
      </c>
      <c r="AT112" s="533"/>
      <c r="AU112" s="533"/>
      <c r="AV112" s="533"/>
      <c r="AW112" s="533"/>
    </row>
    <row r="113" spans="1:51">
      <c r="A113" s="429"/>
      <c r="B113" s="429"/>
      <c r="C113" s="449"/>
      <c r="D113" s="449"/>
      <c r="E113" s="529" t="s">
        <v>616</v>
      </c>
      <c r="F113" s="449"/>
      <c r="G113" s="157" t="s">
        <v>944</v>
      </c>
      <c r="H113" s="449"/>
      <c r="I113" s="449"/>
      <c r="J113" s="449"/>
      <c r="K113" s="449"/>
      <c r="L113" s="449"/>
      <c r="M113" s="449"/>
      <c r="N113" s="449"/>
      <c r="O113" s="449"/>
      <c r="P113" s="449"/>
      <c r="Q113" s="449"/>
      <c r="R113" s="449"/>
      <c r="S113" s="449"/>
      <c r="T113" s="449"/>
      <c r="U113" s="449"/>
      <c r="V113" s="449"/>
      <c r="W113" s="449"/>
      <c r="X113" s="449"/>
      <c r="Y113" s="449"/>
      <c r="Z113" s="449"/>
      <c r="AA113" s="449"/>
      <c r="AB113" s="449"/>
      <c r="AC113" s="449"/>
      <c r="AD113" s="449"/>
      <c r="AE113" s="449"/>
      <c r="AF113" s="449"/>
      <c r="AG113" s="449"/>
      <c r="AH113" s="449"/>
      <c r="AI113" s="449"/>
      <c r="AJ113" s="217"/>
      <c r="AK113" s="217"/>
      <c r="AL113" s="217"/>
      <c r="AM113" s="217"/>
      <c r="AN113" s="217"/>
      <c r="AO113" s="217"/>
      <c r="AP113" s="217"/>
      <c r="AQ113" s="217">
        <f t="shared" ref="AQ113:AS113" ca="1" si="29">((AQ$38-AQ$39)*AQ$18*(1-AQ$23))/AQ$19</f>
        <v>1.94942520434694E-3</v>
      </c>
      <c r="AR113" s="217">
        <f t="shared" ca="1" si="29"/>
        <v>1.686740389237726E-3</v>
      </c>
      <c r="AS113" s="217">
        <f t="shared" ca="1" si="29"/>
        <v>1.697935534891525E-3</v>
      </c>
      <c r="AT113" s="217"/>
      <c r="AU113" s="217"/>
      <c r="AV113" s="217"/>
      <c r="AW113" s="217"/>
      <c r="AX113" s="446"/>
      <c r="AY113" s="446"/>
    </row>
    <row r="114" spans="1:51">
      <c r="A114"/>
      <c r="B114"/>
      <c r="C114"/>
      <c r="D114"/>
      <c r="E114" s="157" t="s">
        <v>938</v>
      </c>
      <c r="F114"/>
      <c r="G114" s="157" t="s">
        <v>944</v>
      </c>
      <c r="H114"/>
      <c r="I114"/>
      <c r="J114"/>
      <c r="K114"/>
      <c r="L114"/>
      <c r="M114"/>
      <c r="N114"/>
      <c r="O114"/>
      <c r="P114"/>
      <c r="Q114"/>
      <c r="R114"/>
      <c r="S114"/>
      <c r="T114"/>
      <c r="U114"/>
      <c r="V114"/>
      <c r="W114"/>
      <c r="X114"/>
      <c r="Y114"/>
      <c r="Z114"/>
      <c r="AA114"/>
      <c r="AB114"/>
      <c r="AC114"/>
      <c r="AD114"/>
      <c r="AE114"/>
      <c r="AF114"/>
      <c r="AG114"/>
      <c r="AH114"/>
      <c r="AI114"/>
      <c r="AJ114" s="533"/>
      <c r="AK114" s="533"/>
      <c r="AL114" s="533"/>
      <c r="AM114" s="533"/>
      <c r="AN114" s="533"/>
      <c r="AO114" s="533"/>
      <c r="AP114" s="533"/>
      <c r="AQ114" s="533">
        <f t="shared" ref="AQ114:AS114" si="30">((AQ$43-AQ44)*AQ$25*(1-AQ$23))</f>
        <v>0</v>
      </c>
      <c r="AR114" s="533">
        <f t="shared" si="30"/>
        <v>0</v>
      </c>
      <c r="AS114" s="533">
        <f t="shared" si="30"/>
        <v>0</v>
      </c>
      <c r="AT114" s="533"/>
      <c r="AU114" s="533"/>
      <c r="AV114" s="533"/>
      <c r="AW114" s="533"/>
    </row>
    <row r="115" spans="1:51">
      <c r="A115"/>
      <c r="B115"/>
      <c r="C115"/>
      <c r="D115"/>
      <c r="E115" s="157" t="s">
        <v>945</v>
      </c>
      <c r="F115"/>
      <c r="G115" s="157" t="s">
        <v>944</v>
      </c>
      <c r="H115"/>
      <c r="I115"/>
      <c r="J115"/>
      <c r="K115"/>
      <c r="L115"/>
      <c r="M115"/>
      <c r="N115"/>
      <c r="O115"/>
      <c r="P115"/>
      <c r="Q115"/>
      <c r="R115"/>
      <c r="S115"/>
      <c r="T115"/>
      <c r="U115"/>
      <c r="V115"/>
      <c r="W115"/>
      <c r="X115"/>
      <c r="Y115"/>
      <c r="Z115"/>
      <c r="AA115"/>
      <c r="AB115"/>
      <c r="AC115"/>
      <c r="AD115"/>
      <c r="AE115"/>
      <c r="AF115"/>
      <c r="AG115"/>
      <c r="AH115"/>
      <c r="AI115"/>
      <c r="AJ115" s="533"/>
      <c r="AK115" s="533"/>
      <c r="AL115" s="533"/>
      <c r="AM115" s="533"/>
      <c r="AN115" s="533"/>
      <c r="AO115" s="533"/>
      <c r="AP115" s="533"/>
      <c r="AQ115" s="533">
        <f t="shared" ref="AQ115:AS115" ca="1" si="31">((AQ$48-AQ49)*(1-AQ$23))/AQ$19</f>
        <v>2.9027739101349379E-3</v>
      </c>
      <c r="AR115" s="533">
        <f t="shared" ca="1" si="31"/>
        <v>2.8733815665088307E-3</v>
      </c>
      <c r="AS115" s="533">
        <f t="shared" ca="1" si="31"/>
        <v>1.9089367891673506E-3</v>
      </c>
      <c r="AT115" s="533"/>
      <c r="AU115" s="533"/>
      <c r="AV115" s="533"/>
      <c r="AW115" s="533"/>
    </row>
    <row r="116" spans="1:51">
      <c r="A116"/>
      <c r="B116"/>
      <c r="C116"/>
      <c r="D116"/>
      <c r="E116" s="157" t="s">
        <v>972</v>
      </c>
      <c r="F116"/>
      <c r="G116" s="157" t="s">
        <v>944</v>
      </c>
      <c r="H116"/>
      <c r="I116"/>
      <c r="J116"/>
      <c r="K116"/>
      <c r="L116"/>
      <c r="M116"/>
      <c r="N116"/>
      <c r="O116"/>
      <c r="P116"/>
      <c r="Q116"/>
      <c r="R116"/>
      <c r="S116"/>
      <c r="T116"/>
      <c r="U116"/>
      <c r="V116"/>
      <c r="W116"/>
      <c r="X116"/>
      <c r="Y116"/>
      <c r="Z116"/>
      <c r="AA116"/>
      <c r="AB116"/>
      <c r="AC116"/>
      <c r="AD116"/>
      <c r="AE116"/>
      <c r="AF116"/>
      <c r="AG116"/>
      <c r="AH116"/>
      <c r="AI116"/>
      <c r="AJ116" s="533"/>
      <c r="AK116" s="533"/>
      <c r="AL116" s="533"/>
      <c r="AM116" s="533"/>
      <c r="AN116" s="533"/>
      <c r="AO116" s="533"/>
      <c r="AP116" s="533"/>
      <c r="AQ116" s="533">
        <f t="shared" ref="AQ116:AS116" ca="1" si="32">((AQ$53-AQ54)*(1-AQ23))/AQ$19</f>
        <v>2.9027739101349379E-3</v>
      </c>
      <c r="AR116" s="533">
        <f t="shared" ca="1" si="32"/>
        <v>2.8733815665088307E-3</v>
      </c>
      <c r="AS116" s="533">
        <f t="shared" ca="1" si="32"/>
        <v>1.9089367891673506E-3</v>
      </c>
      <c r="AT116" s="533"/>
      <c r="AU116" s="533"/>
      <c r="AV116" s="533"/>
      <c r="AW116" s="533"/>
    </row>
    <row r="117" spans="1:51">
      <c r="A117"/>
      <c r="B117"/>
      <c r="C117"/>
      <c r="D117"/>
      <c r="E117" s="157" t="s">
        <v>941</v>
      </c>
      <c r="F117"/>
      <c r="G117" s="157" t="s">
        <v>944</v>
      </c>
      <c r="H117"/>
      <c r="I117"/>
      <c r="J117"/>
      <c r="K117"/>
      <c r="L117"/>
      <c r="M117"/>
      <c r="N117"/>
      <c r="O117"/>
      <c r="P117"/>
      <c r="Q117"/>
      <c r="R117"/>
      <c r="S117"/>
      <c r="T117"/>
      <c r="U117"/>
      <c r="V117"/>
      <c r="W117"/>
      <c r="X117"/>
      <c r="Y117"/>
      <c r="Z117"/>
      <c r="AA117"/>
      <c r="AB117"/>
      <c r="AC117"/>
      <c r="AD117"/>
      <c r="AE117"/>
      <c r="AF117"/>
      <c r="AG117"/>
      <c r="AH117"/>
      <c r="AI117"/>
      <c r="AJ117" s="533"/>
      <c r="AK117" s="533"/>
      <c r="AL117" s="533"/>
      <c r="AM117" s="533"/>
      <c r="AN117" s="533"/>
      <c r="AO117" s="533"/>
      <c r="AP117" s="533"/>
      <c r="AQ117" s="533">
        <f t="shared" ref="AQ117:AS117" si="33">((AQ$58-AQ59)*(1-AQ$23))</f>
        <v>6.4000000000000003E-3</v>
      </c>
      <c r="AR117" s="533">
        <f t="shared" si="33"/>
        <v>6.4000000000000003E-3</v>
      </c>
      <c r="AS117" s="533">
        <f t="shared" si="33"/>
        <v>6.4000000000000003E-3</v>
      </c>
      <c r="AT117" s="533"/>
      <c r="AU117" s="533"/>
      <c r="AV117" s="533"/>
      <c r="AW117" s="533"/>
    </row>
    <row r="118" spans="1:51">
      <c r="A118"/>
      <c r="B118"/>
      <c r="C118"/>
      <c r="D118"/>
      <c r="E118" s="157" t="s">
        <v>802</v>
      </c>
      <c r="F118"/>
      <c r="G118" s="157" t="s">
        <v>944</v>
      </c>
      <c r="H118"/>
      <c r="I118"/>
      <c r="J118"/>
      <c r="K118"/>
      <c r="L118"/>
      <c r="M118"/>
      <c r="N118"/>
      <c r="O118"/>
      <c r="P118"/>
      <c r="Q118"/>
      <c r="R118"/>
      <c r="S118"/>
      <c r="T118"/>
      <c r="U118"/>
      <c r="V118"/>
      <c r="W118"/>
      <c r="X118"/>
      <c r="Y118"/>
      <c r="Z118"/>
      <c r="AA118"/>
      <c r="AB118"/>
      <c r="AC118"/>
      <c r="AD118"/>
      <c r="AE118"/>
      <c r="AF118"/>
      <c r="AG118"/>
      <c r="AH118"/>
      <c r="AI118"/>
      <c r="AJ118" s="533"/>
      <c r="AK118" s="533"/>
      <c r="AL118" s="533"/>
      <c r="AM118" s="533"/>
      <c r="AN118" s="533"/>
      <c r="AO118" s="533"/>
      <c r="AP118" s="533"/>
      <c r="AQ118" s="533">
        <f t="shared" ref="AQ118:AS118" si="34">((AQ$63-AQ64)*(1-AQ$23))</f>
        <v>3.0000000000000001E-3</v>
      </c>
      <c r="AR118" s="533">
        <f t="shared" si="34"/>
        <v>3.0000000000000001E-3</v>
      </c>
      <c r="AS118" s="533">
        <f t="shared" si="34"/>
        <v>3.0000000000000001E-3</v>
      </c>
      <c r="AT118" s="533"/>
      <c r="AU118" s="533"/>
      <c r="AV118" s="533"/>
      <c r="AW118" s="533"/>
    </row>
    <row r="119" spans="1:51">
      <c r="A119"/>
      <c r="B119"/>
      <c r="C119"/>
      <c r="D119"/>
      <c r="E119" s="157" t="s">
        <v>942</v>
      </c>
      <c r="F119"/>
      <c r="G119" s="157" t="s">
        <v>944</v>
      </c>
      <c r="H119"/>
      <c r="I119"/>
      <c r="J119"/>
      <c r="K119"/>
      <c r="L119"/>
      <c r="M119"/>
      <c r="N119"/>
      <c r="O119"/>
      <c r="P119"/>
      <c r="Q119"/>
      <c r="R119"/>
      <c r="S119"/>
      <c r="T119"/>
      <c r="U119"/>
      <c r="V119"/>
      <c r="W119"/>
      <c r="X119"/>
      <c r="Y119"/>
      <c r="Z119"/>
      <c r="AA119"/>
      <c r="AB119"/>
      <c r="AC119"/>
      <c r="AD119"/>
      <c r="AE119"/>
      <c r="AF119"/>
      <c r="AG119"/>
      <c r="AH119"/>
      <c r="AI119"/>
      <c r="AJ119" s="533"/>
      <c r="AK119" s="533"/>
      <c r="AL119" s="533"/>
      <c r="AM119" s="533"/>
      <c r="AN119" s="533"/>
      <c r="AO119" s="533"/>
      <c r="AP119" s="533"/>
      <c r="AQ119" s="533">
        <f t="shared" ref="AQ119:AS119" ca="1" si="35">((AQ$68-AQ69)*AQ$17*(1-AQ$23))/AQ$19</f>
        <v>8.8935500353421902E-4</v>
      </c>
      <c r="AR119" s="533">
        <f t="shared" ca="1" si="35"/>
        <v>8.3860197918995071E-4</v>
      </c>
      <c r="AS119" s="533">
        <f t="shared" ca="1" si="35"/>
        <v>8.2903249180118447E-4</v>
      </c>
      <c r="AT119" s="533"/>
      <c r="AU119" s="533"/>
      <c r="AV119" s="533"/>
      <c r="AW119" s="533"/>
    </row>
    <row r="120" spans="1:51">
      <c r="A120"/>
      <c r="B120"/>
      <c r="C120"/>
      <c r="D120"/>
      <c r="E120" s="157" t="s">
        <v>943</v>
      </c>
      <c r="F120"/>
      <c r="G120" s="157" t="s">
        <v>944</v>
      </c>
      <c r="H120"/>
      <c r="I120"/>
      <c r="J120"/>
      <c r="K120"/>
      <c r="L120"/>
      <c r="M120"/>
      <c r="N120"/>
      <c r="O120"/>
      <c r="P120"/>
      <c r="Q120"/>
      <c r="R120"/>
      <c r="S120"/>
      <c r="T120"/>
      <c r="U120"/>
      <c r="V120"/>
      <c r="W120"/>
      <c r="X120"/>
      <c r="Y120"/>
      <c r="Z120"/>
      <c r="AA120"/>
      <c r="AB120"/>
      <c r="AC120"/>
      <c r="AD120"/>
      <c r="AE120"/>
      <c r="AF120"/>
      <c r="AG120"/>
      <c r="AH120"/>
      <c r="AI120"/>
      <c r="AJ120" s="545"/>
      <c r="AK120" s="545"/>
      <c r="AL120" s="545"/>
      <c r="AM120" s="545"/>
      <c r="AN120" s="545"/>
      <c r="AO120" s="545"/>
      <c r="AP120" s="545"/>
      <c r="AQ120" s="545">
        <f t="shared" ref="AQ120:AS120" si="36">((AQ$73-AQ74)*(1-AQ$23))</f>
        <v>6.8800000000000007E-3</v>
      </c>
      <c r="AR120" s="545">
        <f t="shared" si="36"/>
        <v>6.8800000000000007E-3</v>
      </c>
      <c r="AS120" s="545">
        <f t="shared" si="36"/>
        <v>6.8800000000000007E-3</v>
      </c>
      <c r="AT120" s="545"/>
      <c r="AU120" s="545"/>
      <c r="AV120" s="545"/>
      <c r="AW120" s="545"/>
    </row>
    <row r="121" spans="1:51">
      <c r="A121"/>
      <c r="B121"/>
      <c r="C121"/>
      <c r="D121"/>
      <c r="E121" s="158" t="s">
        <v>985</v>
      </c>
      <c r="F121"/>
      <c r="G121" s="157" t="s">
        <v>944</v>
      </c>
      <c r="H121"/>
      <c r="I121"/>
      <c r="J121"/>
      <c r="K121"/>
      <c r="L121"/>
      <c r="M121"/>
      <c r="N121"/>
      <c r="O121"/>
      <c r="P121"/>
      <c r="Q121"/>
      <c r="R121"/>
      <c r="S121"/>
      <c r="T121"/>
      <c r="U121"/>
      <c r="V121"/>
      <c r="W121"/>
      <c r="X121"/>
      <c r="Y121"/>
      <c r="Z121"/>
      <c r="AA121"/>
      <c r="AB121"/>
      <c r="AC121"/>
      <c r="AD121"/>
      <c r="AE121"/>
      <c r="AF121"/>
      <c r="AG121"/>
      <c r="AH121"/>
      <c r="AI121"/>
      <c r="AJ121" s="544"/>
      <c r="AK121" s="544"/>
      <c r="AL121" s="544"/>
      <c r="AM121" s="544"/>
      <c r="AN121" s="544"/>
      <c r="AO121" s="544"/>
      <c r="AP121" s="544"/>
      <c r="AQ121" s="544">
        <f t="shared" ref="AQ121:AS121" ca="1" si="37">SUM(AQ111:AQ120)</f>
        <v>2.4924328028151036E-2</v>
      </c>
      <c r="AR121" s="544">
        <f t="shared" ca="1" si="37"/>
        <v>2.4552105501445338E-2</v>
      </c>
      <c r="AS121" s="544">
        <f t="shared" ca="1" si="37"/>
        <v>2.262484160502741E-2</v>
      </c>
      <c r="AT121" s="544"/>
      <c r="AU121" s="544"/>
      <c r="AV121" s="544"/>
      <c r="AW121" s="544"/>
    </row>
    <row r="122" spans="1:51">
      <c r="A122"/>
      <c r="B122"/>
      <c r="C122"/>
      <c r="D122"/>
      <c r="E122" s="158" t="s">
        <v>982</v>
      </c>
      <c r="F122"/>
      <c r="G122" s="157" t="s">
        <v>944</v>
      </c>
      <c r="H122"/>
      <c r="I122"/>
      <c r="J122"/>
      <c r="K122"/>
      <c r="L122"/>
      <c r="M122"/>
      <c r="N122"/>
      <c r="O122"/>
      <c r="P122"/>
      <c r="Q122"/>
      <c r="R122"/>
      <c r="S122"/>
      <c r="T122"/>
      <c r="U122"/>
      <c r="V122"/>
      <c r="W122"/>
      <c r="X122"/>
      <c r="Y122"/>
      <c r="Z122"/>
      <c r="AA122"/>
      <c r="AB122"/>
      <c r="AC122"/>
      <c r="AD122"/>
      <c r="AE122"/>
      <c r="AF122"/>
      <c r="AG122"/>
      <c r="AH122"/>
      <c r="AI122"/>
      <c r="AJ122" s="548"/>
      <c r="AK122" s="548"/>
      <c r="AL122" s="548"/>
      <c r="AM122" s="548"/>
      <c r="AN122" s="548"/>
      <c r="AO122" s="548"/>
      <c r="AP122" s="548"/>
      <c r="AQ122" s="548">
        <f t="shared" ref="AQ122:AS122" ca="1" si="38">AQ$105</f>
        <v>5.8245547820269875E-2</v>
      </c>
      <c r="AR122" s="548">
        <f t="shared" ca="1" si="38"/>
        <v>5.8186763133017634E-2</v>
      </c>
      <c r="AS122" s="548">
        <f t="shared" ca="1" si="38"/>
        <v>5.625787357833472E-2</v>
      </c>
      <c r="AT122" s="548"/>
      <c r="AU122" s="548"/>
      <c r="AV122" s="548"/>
      <c r="AW122" s="548"/>
    </row>
    <row r="123" spans="1:51">
      <c r="A123"/>
      <c r="B123"/>
      <c r="C123"/>
      <c r="D123"/>
      <c r="E123" s="158" t="s">
        <v>986</v>
      </c>
      <c r="F123"/>
      <c r="G123" s="157" t="s">
        <v>944</v>
      </c>
      <c r="H123"/>
      <c r="I123"/>
      <c r="J123"/>
      <c r="K123"/>
      <c r="L123"/>
      <c r="M123"/>
      <c r="N123"/>
      <c r="O123"/>
      <c r="P123"/>
      <c r="Q123"/>
      <c r="R123"/>
      <c r="S123"/>
      <c r="T123"/>
      <c r="U123"/>
      <c r="V123"/>
      <c r="W123"/>
      <c r="X123"/>
      <c r="Y123"/>
      <c r="Z123"/>
      <c r="AA123"/>
      <c r="AB123"/>
      <c r="AC123"/>
      <c r="AD123"/>
      <c r="AE123"/>
      <c r="AF123"/>
      <c r="AG123"/>
      <c r="AH123"/>
      <c r="AI123"/>
      <c r="AJ123" s="260"/>
      <c r="AK123" s="260"/>
      <c r="AL123" s="260"/>
      <c r="AM123" s="260"/>
      <c r="AN123" s="260"/>
      <c r="AO123" s="260"/>
      <c r="AP123" s="260"/>
      <c r="AQ123" s="260">
        <f t="shared" ref="AQ123:AS123" ca="1" si="39">AQ121 + AQ122</f>
        <v>8.3169875848420907E-2</v>
      </c>
      <c r="AR123" s="260">
        <f t="shared" ca="1" si="39"/>
        <v>8.2738868634462975E-2</v>
      </c>
      <c r="AS123" s="260">
        <f t="shared" ca="1" si="39"/>
        <v>7.8882715183362123E-2</v>
      </c>
      <c r="AT123" s="260"/>
      <c r="AU123" s="260"/>
      <c r="AV123" s="260"/>
      <c r="AW123" s="260"/>
    </row>
    <row r="124" spans="1:51">
      <c r="A124"/>
      <c r="B124"/>
      <c r="D124"/>
      <c r="E124" s="157"/>
      <c r="F124"/>
      <c r="G124"/>
      <c r="H124"/>
      <c r="I124"/>
      <c r="J124"/>
      <c r="K124"/>
      <c r="L124"/>
      <c r="M124"/>
      <c r="N124"/>
      <c r="O124"/>
      <c r="P124"/>
      <c r="Q124"/>
      <c r="R124"/>
      <c r="S124"/>
      <c r="T124"/>
      <c r="U124"/>
      <c r="V124"/>
      <c r="W124"/>
      <c r="X124"/>
      <c r="Y124"/>
      <c r="Z124"/>
      <c r="AA124"/>
      <c r="AB124"/>
      <c r="AC124"/>
      <c r="AD124"/>
      <c r="AE124"/>
      <c r="AF124"/>
      <c r="AG124"/>
      <c r="AH124"/>
      <c r="AI124"/>
      <c r="AJ124" s="424"/>
      <c r="AK124"/>
      <c r="AL124"/>
      <c r="AM124"/>
      <c r="AN124"/>
      <c r="AO124"/>
      <c r="AP124"/>
      <c r="AQ124"/>
      <c r="AR124"/>
      <c r="AS124"/>
    </row>
    <row r="125" spans="1:51">
      <c r="A125"/>
      <c r="B125"/>
      <c r="C125" s="332" t="s">
        <v>987</v>
      </c>
      <c r="D125" s="332"/>
      <c r="E125" s="332"/>
      <c r="F125" s="332"/>
      <c r="G125" s="332"/>
      <c r="H125" s="332"/>
      <c r="I125" s="332"/>
      <c r="J125" s="332"/>
      <c r="K125" s="332"/>
      <c r="L125" s="332"/>
      <c r="M125" s="332"/>
      <c r="N125" s="332"/>
      <c r="O125" s="332"/>
      <c r="P125" s="332"/>
      <c r="Q125" s="332"/>
      <c r="R125" s="332"/>
      <c r="S125" s="332"/>
      <c r="T125" s="332"/>
      <c r="U125" s="332"/>
      <c r="V125" s="332"/>
      <c r="W125" s="332"/>
      <c r="X125" s="332"/>
      <c r="Y125" s="332"/>
      <c r="Z125" s="332"/>
      <c r="AA125" s="332"/>
      <c r="AB125" s="332"/>
      <c r="AC125" s="332"/>
      <c r="AD125" s="332"/>
      <c r="AE125" s="332"/>
      <c r="AF125" s="332"/>
      <c r="AG125" s="332"/>
      <c r="AH125" s="332"/>
      <c r="AI125" s="332"/>
      <c r="AJ125" s="332"/>
      <c r="AK125" s="332"/>
      <c r="AL125" s="332"/>
      <c r="AM125" s="332"/>
      <c r="AN125" s="332"/>
      <c r="AO125" s="332"/>
      <c r="AP125" s="332"/>
      <c r="AQ125" s="332"/>
      <c r="AR125" s="332"/>
      <c r="AS125" s="332"/>
      <c r="AT125" s="332"/>
      <c r="AU125" s="332"/>
      <c r="AV125" s="332"/>
      <c r="AW125" s="332"/>
      <c r="AX125" s="354"/>
      <c r="AY125" s="354"/>
    </row>
    <row r="126" spans="1:51">
      <c r="A126" s="429"/>
      <c r="B126" s="429"/>
      <c r="C126" s="449"/>
      <c r="D126" s="449"/>
      <c r="E126" s="529" t="s">
        <v>980</v>
      </c>
      <c r="F126" s="449"/>
      <c r="G126" s="157" t="s">
        <v>944</v>
      </c>
      <c r="H126" s="449"/>
      <c r="I126" s="449"/>
      <c r="J126" s="449"/>
      <c r="K126" s="449"/>
      <c r="L126" s="449"/>
      <c r="M126" s="449"/>
      <c r="N126" s="449"/>
      <c r="O126" s="449"/>
      <c r="P126" s="449"/>
      <c r="Q126" s="449"/>
      <c r="R126" s="449"/>
      <c r="S126" s="449"/>
      <c r="T126" s="449"/>
      <c r="U126" s="449"/>
      <c r="V126" s="449"/>
      <c r="W126" s="449"/>
      <c r="X126" s="449"/>
      <c r="Y126" s="449"/>
      <c r="Z126" s="449"/>
      <c r="AA126" s="449"/>
      <c r="AB126" s="449"/>
      <c r="AC126" s="449"/>
      <c r="AD126" s="449"/>
      <c r="AE126" s="449"/>
      <c r="AF126" s="449"/>
      <c r="AG126" s="449"/>
      <c r="AH126" s="449"/>
      <c r="AI126" s="449"/>
      <c r="AJ126" s="217"/>
      <c r="AK126" s="217"/>
      <c r="AL126" s="217"/>
      <c r="AM126" s="217"/>
      <c r="AN126" s="217"/>
      <c r="AO126" s="217"/>
      <c r="AP126" s="217"/>
      <c r="AQ126" s="217">
        <f t="shared" ref="AQ126:AS126" ca="1" si="40">((AQ$30-AQ29)*(1-AQ23))/AQ$19</f>
        <v>0</v>
      </c>
      <c r="AR126" s="217">
        <f t="shared" ca="1" si="40"/>
        <v>0</v>
      </c>
      <c r="AS126" s="217">
        <f t="shared" ca="1" si="40"/>
        <v>0</v>
      </c>
      <c r="AT126" s="217"/>
      <c r="AU126" s="217"/>
      <c r="AV126" s="217"/>
      <c r="AW126" s="217"/>
      <c r="AX126" s="446"/>
      <c r="AY126" s="446"/>
    </row>
    <row r="127" spans="1:51">
      <c r="A127"/>
      <c r="B127"/>
      <c r="C127"/>
      <c r="D127"/>
      <c r="E127" s="157" t="s">
        <v>69</v>
      </c>
      <c r="F127"/>
      <c r="G127" s="157" t="s">
        <v>944</v>
      </c>
      <c r="H127"/>
      <c r="I127" s="449"/>
      <c r="J127"/>
      <c r="K127"/>
      <c r="L127"/>
      <c r="M127"/>
      <c r="N127"/>
      <c r="O127"/>
      <c r="P127"/>
      <c r="Q127"/>
      <c r="R127"/>
      <c r="S127"/>
      <c r="T127"/>
      <c r="U127"/>
      <c r="V127"/>
      <c r="W127"/>
      <c r="X127"/>
      <c r="Y127"/>
      <c r="Z127"/>
      <c r="AA127"/>
      <c r="AB127"/>
      <c r="AC127"/>
      <c r="AD127"/>
      <c r="AE127"/>
      <c r="AF127"/>
      <c r="AG127"/>
      <c r="AH127"/>
      <c r="AI127"/>
      <c r="AJ127" s="533"/>
      <c r="AK127" s="533"/>
      <c r="AL127" s="533"/>
      <c r="AM127" s="533"/>
      <c r="AN127" s="533"/>
      <c r="AO127" s="533"/>
      <c r="AP127" s="533"/>
      <c r="AQ127" s="533">
        <f t="shared" ref="AQ127:AS127" ca="1" si="41">(((AQ$35-AQ34)*AQ$25*AQ$17)/AQ$19)+AQ111</f>
        <v>0</v>
      </c>
      <c r="AR127" s="533">
        <f t="shared" ca="1" si="41"/>
        <v>0</v>
      </c>
      <c r="AS127" s="533">
        <f t="shared" ca="1" si="41"/>
        <v>0</v>
      </c>
      <c r="AT127" s="533"/>
      <c r="AU127" s="533"/>
      <c r="AV127" s="533"/>
      <c r="AW127" s="533"/>
    </row>
    <row r="128" spans="1:51">
      <c r="A128" s="429"/>
      <c r="B128" s="429"/>
      <c r="C128" s="449"/>
      <c r="D128" s="449"/>
      <c r="E128" s="529" t="s">
        <v>616</v>
      </c>
      <c r="F128" s="449"/>
      <c r="G128" s="157" t="s">
        <v>944</v>
      </c>
      <c r="H128" s="449"/>
      <c r="I128" s="449"/>
      <c r="J128" s="449"/>
      <c r="K128" s="449"/>
      <c r="L128" s="449"/>
      <c r="M128" s="449"/>
      <c r="N128" s="449"/>
      <c r="O128" s="449"/>
      <c r="P128" s="449"/>
      <c r="Q128" s="449"/>
      <c r="R128" s="449"/>
      <c r="S128" s="449"/>
      <c r="T128" s="449"/>
      <c r="U128" s="449"/>
      <c r="V128" s="449"/>
      <c r="W128" s="449"/>
      <c r="X128" s="449"/>
      <c r="Y128" s="449"/>
      <c r="Z128" s="449"/>
      <c r="AA128" s="449"/>
      <c r="AB128" s="449"/>
      <c r="AC128" s="449"/>
      <c r="AD128" s="449"/>
      <c r="AE128" s="449"/>
      <c r="AF128" s="449"/>
      <c r="AG128" s="449"/>
      <c r="AH128" s="449"/>
      <c r="AI128" s="449"/>
      <c r="AJ128" s="217"/>
      <c r="AK128" s="217"/>
      <c r="AL128" s="217"/>
      <c r="AM128" s="217"/>
      <c r="AN128" s="217"/>
      <c r="AO128" s="217"/>
      <c r="AP128" s="217"/>
      <c r="AQ128" s="217">
        <f t="shared" ref="AQ128:AS128" ca="1" si="42">((AQ$40-AQ39)*AQ$18*(1-AQ$23))/AQ$19</f>
        <v>-1.94942520434694E-3</v>
      </c>
      <c r="AR128" s="217">
        <f t="shared" ca="1" si="42"/>
        <v>-1.686740389237726E-3</v>
      </c>
      <c r="AS128" s="217">
        <f t="shared" ca="1" si="42"/>
        <v>-1.697935534891525E-3</v>
      </c>
      <c r="AT128" s="217"/>
      <c r="AU128" s="217"/>
      <c r="AV128" s="217"/>
      <c r="AW128" s="217"/>
      <c r="AX128" s="446"/>
      <c r="AY128" s="446"/>
    </row>
    <row r="129" spans="1:49">
      <c r="A129"/>
      <c r="B129"/>
      <c r="C129"/>
      <c r="D129"/>
      <c r="E129" s="157" t="s">
        <v>938</v>
      </c>
      <c r="F129"/>
      <c r="G129" s="157" t="s">
        <v>944</v>
      </c>
      <c r="H129"/>
      <c r="I129" s="449"/>
      <c r="J129"/>
      <c r="K129"/>
      <c r="L129"/>
      <c r="M129"/>
      <c r="N129"/>
      <c r="O129"/>
      <c r="P129"/>
      <c r="Q129"/>
      <c r="R129"/>
      <c r="S129"/>
      <c r="T129"/>
      <c r="U129"/>
      <c r="V129"/>
      <c r="W129"/>
      <c r="X129"/>
      <c r="Y129"/>
      <c r="Z129"/>
      <c r="AA129"/>
      <c r="AB129"/>
      <c r="AC129"/>
      <c r="AD129"/>
      <c r="AE129"/>
      <c r="AF129"/>
      <c r="AG129"/>
      <c r="AH129"/>
      <c r="AI129"/>
      <c r="AJ129" s="533"/>
      <c r="AK129" s="533"/>
      <c r="AL129" s="533"/>
      <c r="AM129" s="533"/>
      <c r="AN129" s="533"/>
      <c r="AO129" s="533"/>
      <c r="AP129" s="533"/>
      <c r="AQ129" s="533">
        <f t="shared" ref="AQ129:AS129" si="43">((AQ$45-AQ44)*AQ$25*(1-AQ$23))</f>
        <v>0</v>
      </c>
      <c r="AR129" s="533">
        <f t="shared" si="43"/>
        <v>0</v>
      </c>
      <c r="AS129" s="533">
        <f t="shared" si="43"/>
        <v>0</v>
      </c>
      <c r="AT129" s="533"/>
      <c r="AU129" s="533"/>
      <c r="AV129" s="533"/>
      <c r="AW129" s="533"/>
    </row>
    <row r="130" spans="1:49">
      <c r="A130"/>
      <c r="B130"/>
      <c r="C130"/>
      <c r="D130"/>
      <c r="E130" s="157" t="s">
        <v>945</v>
      </c>
      <c r="F130"/>
      <c r="G130" s="157" t="s">
        <v>944</v>
      </c>
      <c r="H130"/>
      <c r="I130" s="449"/>
      <c r="J130"/>
      <c r="K130"/>
      <c r="L130"/>
      <c r="M130"/>
      <c r="N130"/>
      <c r="O130"/>
      <c r="P130"/>
      <c r="Q130"/>
      <c r="R130"/>
      <c r="S130"/>
      <c r="T130"/>
      <c r="U130"/>
      <c r="V130"/>
      <c r="W130"/>
      <c r="X130"/>
      <c r="Y130"/>
      <c r="Z130"/>
      <c r="AA130"/>
      <c r="AB130"/>
      <c r="AC130"/>
      <c r="AD130"/>
      <c r="AE130"/>
      <c r="AF130"/>
      <c r="AG130"/>
      <c r="AH130"/>
      <c r="AI130"/>
      <c r="AJ130" s="533"/>
      <c r="AK130" s="533"/>
      <c r="AL130" s="533"/>
      <c r="AM130" s="533"/>
      <c r="AN130" s="533"/>
      <c r="AO130" s="533"/>
      <c r="AP130" s="533"/>
      <c r="AQ130" s="533">
        <f t="shared" ref="AQ130:AS130" ca="1" si="44">(AQ$50-AQ49)/AQ$19*(1-AQ$23)</f>
        <v>-2.9027739101349379E-3</v>
      </c>
      <c r="AR130" s="533">
        <f t="shared" ca="1" si="44"/>
        <v>-2.8733815665088307E-3</v>
      </c>
      <c r="AS130" s="533">
        <f t="shared" ca="1" si="44"/>
        <v>-1.9089367891673506E-3</v>
      </c>
      <c r="AT130" s="533"/>
      <c r="AU130" s="533"/>
      <c r="AV130" s="533"/>
      <c r="AW130" s="533"/>
    </row>
    <row r="131" spans="1:49">
      <c r="A131"/>
      <c r="B131"/>
      <c r="C131"/>
      <c r="D131"/>
      <c r="E131" s="157" t="s">
        <v>972</v>
      </c>
      <c r="F131"/>
      <c r="G131" s="157" t="s">
        <v>944</v>
      </c>
      <c r="H131"/>
      <c r="I131" s="449"/>
      <c r="J131"/>
      <c r="K131"/>
      <c r="L131"/>
      <c r="M131"/>
      <c r="N131"/>
      <c r="O131"/>
      <c r="P131"/>
      <c r="Q131"/>
      <c r="R131"/>
      <c r="S131"/>
      <c r="T131"/>
      <c r="U131"/>
      <c r="V131"/>
      <c r="W131"/>
      <c r="X131"/>
      <c r="Y131"/>
      <c r="Z131"/>
      <c r="AA131"/>
      <c r="AB131"/>
      <c r="AC131"/>
      <c r="AD131"/>
      <c r="AE131"/>
      <c r="AF131"/>
      <c r="AG131"/>
      <c r="AH131"/>
      <c r="AI131"/>
      <c r="AJ131" s="533"/>
      <c r="AK131" s="533"/>
      <c r="AL131" s="533"/>
      <c r="AM131" s="533"/>
      <c r="AN131" s="533"/>
      <c r="AO131" s="533"/>
      <c r="AP131" s="533"/>
      <c r="AQ131" s="533">
        <f t="shared" ref="AQ131:AS131" ca="1" si="45">((AQ$55-AQ54)*(1-AQ23))/AQ$19</f>
        <v>-2.9027739101349379E-3</v>
      </c>
      <c r="AR131" s="533">
        <f t="shared" ca="1" si="45"/>
        <v>-2.8733815665088307E-3</v>
      </c>
      <c r="AS131" s="533">
        <f t="shared" ca="1" si="45"/>
        <v>-1.9089367891673506E-3</v>
      </c>
      <c r="AT131" s="533"/>
      <c r="AU131" s="533"/>
      <c r="AV131" s="533"/>
      <c r="AW131" s="533"/>
    </row>
    <row r="132" spans="1:49">
      <c r="A132"/>
      <c r="B132"/>
      <c r="C132"/>
      <c r="D132"/>
      <c r="E132" s="157" t="s">
        <v>941</v>
      </c>
      <c r="F132"/>
      <c r="G132" s="157" t="s">
        <v>944</v>
      </c>
      <c r="H132"/>
      <c r="I132" s="449"/>
      <c r="J132"/>
      <c r="K132"/>
      <c r="L132"/>
      <c r="M132"/>
      <c r="N132"/>
      <c r="O132"/>
      <c r="P132"/>
      <c r="Q132"/>
      <c r="R132"/>
      <c r="S132"/>
      <c r="T132"/>
      <c r="U132"/>
      <c r="V132"/>
      <c r="W132"/>
      <c r="X132"/>
      <c r="Y132"/>
      <c r="Z132"/>
      <c r="AA132"/>
      <c r="AB132"/>
      <c r="AC132"/>
      <c r="AD132"/>
      <c r="AE132"/>
      <c r="AF132"/>
      <c r="AG132"/>
      <c r="AH132"/>
      <c r="AI132"/>
      <c r="AJ132" s="533"/>
      <c r="AK132" s="533"/>
      <c r="AL132" s="533"/>
      <c r="AM132" s="533"/>
      <c r="AN132" s="533"/>
      <c r="AO132" s="533"/>
      <c r="AP132" s="533"/>
      <c r="AQ132" s="533">
        <f t="shared" ref="AQ132:AS132" si="46">((AQ$60-AQ59)*(1-AQ$23))</f>
        <v>-6.4000000000000003E-3</v>
      </c>
      <c r="AR132" s="533">
        <f t="shared" si="46"/>
        <v>-6.4000000000000003E-3</v>
      </c>
      <c r="AS132" s="533">
        <f t="shared" si="46"/>
        <v>-6.4000000000000003E-3</v>
      </c>
      <c r="AT132" s="533"/>
      <c r="AU132" s="533"/>
      <c r="AV132" s="533"/>
      <c r="AW132" s="533"/>
    </row>
    <row r="133" spans="1:49">
      <c r="A133"/>
      <c r="B133"/>
      <c r="C133"/>
      <c r="D133"/>
      <c r="E133" s="157" t="s">
        <v>802</v>
      </c>
      <c r="F133"/>
      <c r="G133" s="157" t="s">
        <v>944</v>
      </c>
      <c r="H133"/>
      <c r="I133" s="449"/>
      <c r="J133"/>
      <c r="K133"/>
      <c r="L133"/>
      <c r="M133"/>
      <c r="N133"/>
      <c r="O133"/>
      <c r="P133"/>
      <c r="Q133"/>
      <c r="R133"/>
      <c r="S133"/>
      <c r="T133"/>
      <c r="U133"/>
      <c r="V133"/>
      <c r="W133"/>
      <c r="X133"/>
      <c r="Y133"/>
      <c r="Z133"/>
      <c r="AA133"/>
      <c r="AB133"/>
      <c r="AC133"/>
      <c r="AD133"/>
      <c r="AE133"/>
      <c r="AF133"/>
      <c r="AG133"/>
      <c r="AH133"/>
      <c r="AI133"/>
      <c r="AJ133" s="533"/>
      <c r="AK133" s="533"/>
      <c r="AL133" s="533"/>
      <c r="AM133" s="533"/>
      <c r="AN133" s="533"/>
      <c r="AO133" s="533"/>
      <c r="AP133" s="533"/>
      <c r="AQ133" s="533">
        <f t="shared" ref="AQ133:AS133" si="47">((AQ$65-AQ64)*(1-AQ$23))</f>
        <v>-3.0000000000000001E-3</v>
      </c>
      <c r="AR133" s="533">
        <f t="shared" si="47"/>
        <v>-3.0000000000000001E-3</v>
      </c>
      <c r="AS133" s="533">
        <f t="shared" si="47"/>
        <v>-3.0000000000000001E-3</v>
      </c>
      <c r="AT133" s="533"/>
      <c r="AU133" s="533"/>
      <c r="AV133" s="533"/>
      <c r="AW133" s="533"/>
    </row>
    <row r="134" spans="1:49">
      <c r="A134"/>
      <c r="B134"/>
      <c r="C134"/>
      <c r="D134"/>
      <c r="E134" s="157" t="s">
        <v>942</v>
      </c>
      <c r="F134"/>
      <c r="G134" s="157" t="s">
        <v>944</v>
      </c>
      <c r="H134"/>
      <c r="I134" s="404"/>
      <c r="J134"/>
      <c r="K134"/>
      <c r="L134"/>
      <c r="M134"/>
      <c r="N134"/>
      <c r="O134"/>
      <c r="P134"/>
      <c r="Q134"/>
      <c r="R134"/>
      <c r="S134"/>
      <c r="T134"/>
      <c r="U134"/>
      <c r="V134"/>
      <c r="W134"/>
      <c r="X134"/>
      <c r="Y134"/>
      <c r="Z134"/>
      <c r="AA134"/>
      <c r="AB134"/>
      <c r="AC134"/>
      <c r="AD134"/>
      <c r="AE134"/>
      <c r="AF134"/>
      <c r="AG134"/>
      <c r="AH134"/>
      <c r="AI134"/>
      <c r="AJ134" s="533"/>
      <c r="AK134" s="533"/>
      <c r="AL134" s="533"/>
      <c r="AM134" s="533"/>
      <c r="AN134" s="533"/>
      <c r="AO134" s="533"/>
      <c r="AP134" s="533"/>
      <c r="AQ134" s="533">
        <f t="shared" ref="AQ134:AS134" ca="1" si="48">((AQ$70-AQ69)*AQ$17*(1-AQ$23))/AQ$19</f>
        <v>-8.8935500353421902E-4</v>
      </c>
      <c r="AR134" s="533">
        <f t="shared" ca="1" si="48"/>
        <v>-8.3860197918995071E-4</v>
      </c>
      <c r="AS134" s="533">
        <f t="shared" ca="1" si="48"/>
        <v>-8.2903249180118447E-4</v>
      </c>
      <c r="AT134" s="533"/>
      <c r="AU134" s="533"/>
      <c r="AV134" s="533"/>
      <c r="AW134" s="533"/>
    </row>
    <row r="135" spans="1:49">
      <c r="A135"/>
      <c r="B135"/>
      <c r="C135"/>
      <c r="D135"/>
      <c r="E135" s="157" t="s">
        <v>943</v>
      </c>
      <c r="F135"/>
      <c r="G135" s="157" t="s">
        <v>944</v>
      </c>
      <c r="H135"/>
      <c r="I135" s="449"/>
      <c r="J135"/>
      <c r="K135"/>
      <c r="L135"/>
      <c r="M135"/>
      <c r="N135"/>
      <c r="O135"/>
      <c r="P135"/>
      <c r="Q135"/>
      <c r="R135"/>
      <c r="S135"/>
      <c r="T135"/>
      <c r="U135"/>
      <c r="V135"/>
      <c r="W135"/>
      <c r="X135"/>
      <c r="Y135"/>
      <c r="Z135"/>
      <c r="AA135"/>
      <c r="AB135"/>
      <c r="AC135"/>
      <c r="AD135"/>
      <c r="AE135"/>
      <c r="AF135"/>
      <c r="AG135"/>
      <c r="AH135"/>
      <c r="AI135"/>
      <c r="AJ135" s="545"/>
      <c r="AK135" s="545"/>
      <c r="AL135" s="545"/>
      <c r="AM135" s="545"/>
      <c r="AN135" s="545"/>
      <c r="AO135" s="545"/>
      <c r="AP135" s="545"/>
      <c r="AQ135" s="545">
        <f t="shared" ref="AQ135:AS135" si="49">((AQ$75-AQ74)*(1-AQ$23))</f>
        <v>-6.8800000000000007E-3</v>
      </c>
      <c r="AR135" s="545">
        <f t="shared" si="49"/>
        <v>-6.8800000000000007E-3</v>
      </c>
      <c r="AS135" s="545">
        <f t="shared" si="49"/>
        <v>-6.8800000000000007E-3</v>
      </c>
      <c r="AT135" s="545"/>
      <c r="AU135" s="545"/>
      <c r="AV135" s="545"/>
      <c r="AW135" s="545"/>
    </row>
    <row r="136" spans="1:49">
      <c r="A136"/>
      <c r="B136"/>
      <c r="C136"/>
      <c r="D136"/>
      <c r="E136" s="158" t="s">
        <v>988</v>
      </c>
      <c r="F136"/>
      <c r="G136" s="157" t="s">
        <v>944</v>
      </c>
      <c r="H136"/>
      <c r="I136" s="449"/>
      <c r="J136"/>
      <c r="K136"/>
      <c r="L136"/>
      <c r="M136"/>
      <c r="N136"/>
      <c r="O136"/>
      <c r="P136"/>
      <c r="Q136"/>
      <c r="R136"/>
      <c r="S136"/>
      <c r="T136"/>
      <c r="U136"/>
      <c r="V136"/>
      <c r="W136"/>
      <c r="X136"/>
      <c r="Y136"/>
      <c r="Z136"/>
      <c r="AA136"/>
      <c r="AB136"/>
      <c r="AC136"/>
      <c r="AD136"/>
      <c r="AE136"/>
      <c r="AF136"/>
      <c r="AG136"/>
      <c r="AH136"/>
      <c r="AI136"/>
      <c r="AJ136" s="544"/>
      <c r="AK136" s="544"/>
      <c r="AL136" s="544"/>
      <c r="AM136" s="544"/>
      <c r="AN136" s="544"/>
      <c r="AO136" s="544"/>
      <c r="AP136" s="544"/>
      <c r="AQ136" s="544">
        <f t="shared" ref="AQ136:AS136" ca="1" si="50">SUM(AQ126:AQ135)</f>
        <v>-2.4924328028151036E-2</v>
      </c>
      <c r="AR136" s="544">
        <f t="shared" ca="1" si="50"/>
        <v>-2.4552105501445338E-2</v>
      </c>
      <c r="AS136" s="544">
        <f t="shared" ca="1" si="50"/>
        <v>-2.262484160502741E-2</v>
      </c>
      <c r="AT136" s="544"/>
      <c r="AU136" s="544"/>
      <c r="AV136" s="544"/>
      <c r="AW136" s="544"/>
    </row>
    <row r="137" spans="1:49">
      <c r="A137"/>
      <c r="B137"/>
      <c r="C137"/>
      <c r="D137"/>
      <c r="E137" s="158" t="s">
        <v>982</v>
      </c>
      <c r="F137"/>
      <c r="G137" s="157" t="s">
        <v>944</v>
      </c>
      <c r="H137"/>
      <c r="I137" s="449"/>
      <c r="J137"/>
      <c r="K137"/>
      <c r="L137"/>
      <c r="M137"/>
      <c r="N137"/>
      <c r="O137"/>
      <c r="P137"/>
      <c r="Q137"/>
      <c r="R137"/>
      <c r="S137"/>
      <c r="T137"/>
      <c r="U137"/>
      <c r="V137"/>
      <c r="W137"/>
      <c r="X137"/>
      <c r="Y137"/>
      <c r="Z137"/>
      <c r="AA137"/>
      <c r="AB137"/>
      <c r="AC137"/>
      <c r="AD137"/>
      <c r="AE137"/>
      <c r="AF137"/>
      <c r="AG137"/>
      <c r="AH137"/>
      <c r="AI137"/>
      <c r="AJ137" s="548"/>
      <c r="AK137" s="548"/>
      <c r="AL137" s="548"/>
      <c r="AM137" s="548"/>
      <c r="AN137" s="548"/>
      <c r="AO137" s="548"/>
      <c r="AP137" s="548"/>
      <c r="AQ137" s="548">
        <f t="shared" ref="AQ137:AS137" ca="1" si="51">AQ$105</f>
        <v>5.8245547820269875E-2</v>
      </c>
      <c r="AR137" s="548">
        <f t="shared" ca="1" si="51"/>
        <v>5.8186763133017634E-2</v>
      </c>
      <c r="AS137" s="548">
        <f t="shared" ca="1" si="51"/>
        <v>5.625787357833472E-2</v>
      </c>
      <c r="AT137" s="548"/>
      <c r="AU137" s="548"/>
      <c r="AV137" s="548"/>
      <c r="AW137" s="548"/>
    </row>
    <row r="138" spans="1:49">
      <c r="A138"/>
      <c r="B138"/>
      <c r="C138"/>
      <c r="D138"/>
      <c r="E138" s="158" t="s">
        <v>989</v>
      </c>
      <c r="F138"/>
      <c r="G138" s="157" t="s">
        <v>944</v>
      </c>
      <c r="H138"/>
      <c r="I138" s="449"/>
      <c r="J138"/>
      <c r="K138"/>
      <c r="L138"/>
      <c r="M138"/>
      <c r="N138"/>
      <c r="O138"/>
      <c r="P138"/>
      <c r="Q138"/>
      <c r="R138"/>
      <c r="S138"/>
      <c r="T138"/>
      <c r="U138"/>
      <c r="V138"/>
      <c r="W138"/>
      <c r="X138"/>
      <c r="Y138"/>
      <c r="Z138"/>
      <c r="AA138"/>
      <c r="AB138"/>
      <c r="AC138"/>
      <c r="AD138"/>
      <c r="AE138"/>
      <c r="AF138"/>
      <c r="AG138"/>
      <c r="AH138"/>
      <c r="AI138"/>
      <c r="AJ138" s="260"/>
      <c r="AK138" s="260"/>
      <c r="AL138" s="260"/>
      <c r="AM138" s="260"/>
      <c r="AN138" s="260"/>
      <c r="AO138" s="260"/>
      <c r="AP138" s="260"/>
      <c r="AQ138" s="260">
        <f t="shared" ref="AQ138:AS138" ca="1" si="52">AQ136 + AQ137</f>
        <v>3.3321219792118842E-2</v>
      </c>
      <c r="AR138" s="260">
        <f t="shared" ca="1" si="52"/>
        <v>3.3634657631572293E-2</v>
      </c>
      <c r="AS138" s="260">
        <f t="shared" ca="1" si="52"/>
        <v>3.363303197330731E-2</v>
      </c>
      <c r="AT138" s="260"/>
      <c r="AU138" s="260"/>
      <c r="AV138" s="260"/>
      <c r="AW138" s="260"/>
    </row>
    <row r="139" spans="1:49">
      <c r="A139"/>
      <c r="B139"/>
      <c r="C139"/>
      <c r="D139"/>
      <c r="E139" s="157"/>
      <c r="F139"/>
      <c r="G139"/>
      <c r="H139"/>
      <c r="I139"/>
      <c r="J139"/>
      <c r="K139"/>
      <c r="L139"/>
      <c r="M139"/>
      <c r="N139"/>
      <c r="O139"/>
      <c r="P139"/>
      <c r="Q139"/>
      <c r="R139"/>
      <c r="S139"/>
      <c r="T139"/>
      <c r="U139"/>
      <c r="V139"/>
      <c r="W139"/>
      <c r="X139"/>
      <c r="Y139"/>
      <c r="Z139"/>
      <c r="AA139"/>
      <c r="AB139"/>
      <c r="AC139"/>
      <c r="AD139"/>
      <c r="AE139"/>
      <c r="AF139"/>
      <c r="AG139"/>
      <c r="AH139"/>
      <c r="AI139"/>
      <c r="AJ139" s="266"/>
      <c r="AK139" s="266"/>
      <c r="AL139" s="266"/>
      <c r="AM139" s="266"/>
      <c r="AN139" s="266"/>
      <c r="AO139" s="266"/>
      <c r="AP139" s="266"/>
      <c r="AQ139" s="266"/>
      <c r="AR139" s="266"/>
      <c r="AS139" s="266"/>
    </row>
    <row r="140" spans="1:49">
      <c r="A140"/>
      <c r="B140"/>
      <c r="C140"/>
      <c r="D140"/>
      <c r="E140" s="157"/>
      <c r="F140"/>
      <c r="G140"/>
      <c r="H140"/>
      <c r="I140"/>
      <c r="J140"/>
      <c r="K140"/>
      <c r="L140"/>
      <c r="M140"/>
      <c r="N140"/>
      <c r="O140"/>
      <c r="P140"/>
      <c r="Q140"/>
      <c r="R140"/>
      <c r="S140"/>
      <c r="T140"/>
      <c r="U140"/>
      <c r="V140"/>
      <c r="W140"/>
      <c r="X140"/>
      <c r="Y140"/>
      <c r="Z140"/>
      <c r="AA140"/>
      <c r="AB140"/>
      <c r="AC140"/>
      <c r="AD140"/>
      <c r="AE140"/>
      <c r="AF140"/>
      <c r="AG140"/>
      <c r="AH140"/>
      <c r="AI140"/>
      <c r="AJ140" s="266"/>
      <c r="AK140" s="266"/>
      <c r="AL140" s="266"/>
      <c r="AM140" s="266"/>
      <c r="AN140" s="266"/>
      <c r="AO140" s="266"/>
      <c r="AP140" s="266"/>
      <c r="AQ140" s="266"/>
      <c r="AR140" s="266"/>
      <c r="AS140" s="266"/>
    </row>
    <row r="141" spans="1:49">
      <c r="A141"/>
      <c r="B141"/>
      <c r="C141"/>
      <c r="D141"/>
      <c r="E141" s="157"/>
      <c r="F141"/>
      <c r="G141"/>
      <c r="H141"/>
      <c r="I141"/>
      <c r="J141"/>
      <c r="K141"/>
      <c r="L141"/>
      <c r="M141"/>
      <c r="N141"/>
      <c r="O141"/>
      <c r="P141"/>
      <c r="Q141"/>
      <c r="R141"/>
      <c r="S141"/>
      <c r="T141"/>
      <c r="U141"/>
      <c r="V141"/>
      <c r="W141"/>
      <c r="X141"/>
      <c r="Y141"/>
      <c r="Z141"/>
      <c r="AA141"/>
      <c r="AB141"/>
      <c r="AC141"/>
      <c r="AD141"/>
      <c r="AE141"/>
      <c r="AF141"/>
      <c r="AG141"/>
      <c r="AH141"/>
      <c r="AI141"/>
      <c r="AJ141" s="266"/>
      <c r="AK141" s="266"/>
      <c r="AL141" s="266"/>
      <c r="AM141" s="266"/>
      <c r="AN141" s="266"/>
      <c r="AO141" s="266"/>
      <c r="AP141" s="266"/>
      <c r="AQ141" s="266"/>
      <c r="AR141" s="266"/>
      <c r="AS141" s="266"/>
    </row>
    <row r="142" spans="1:49">
      <c r="A142"/>
      <c r="B142"/>
      <c r="C142"/>
      <c r="D142"/>
      <c r="E142" s="157"/>
      <c r="F142"/>
      <c r="G142"/>
      <c r="H142"/>
      <c r="I142"/>
      <c r="J142"/>
      <c r="K142"/>
      <c r="L142"/>
      <c r="M142"/>
      <c r="N142"/>
      <c r="O142"/>
      <c r="P142"/>
      <c r="Q142"/>
      <c r="R142"/>
      <c r="S142"/>
      <c r="T142"/>
      <c r="U142"/>
      <c r="V142"/>
      <c r="W142"/>
      <c r="X142"/>
      <c r="Y142"/>
      <c r="Z142"/>
      <c r="AA142"/>
      <c r="AB142"/>
      <c r="AC142"/>
      <c r="AD142"/>
      <c r="AE142"/>
      <c r="AF142"/>
      <c r="AG142"/>
      <c r="AH142"/>
      <c r="AI142"/>
      <c r="AJ142" s="266"/>
      <c r="AK142" s="266"/>
      <c r="AL142" s="266"/>
      <c r="AM142" s="266"/>
      <c r="AN142" s="266"/>
      <c r="AO142" s="266"/>
      <c r="AP142" s="266"/>
      <c r="AQ142" s="266"/>
      <c r="AR142" s="266"/>
      <c r="AS142" s="266"/>
    </row>
    <row r="143" spans="1:49">
      <c r="A143"/>
      <c r="B143"/>
      <c r="C143"/>
      <c r="D143"/>
      <c r="E143" s="157"/>
      <c r="F143"/>
      <c r="G143"/>
      <c r="H143"/>
      <c r="I143"/>
      <c r="J143"/>
      <c r="K143"/>
      <c r="L143"/>
      <c r="M143"/>
      <c r="N143"/>
      <c r="O143"/>
      <c r="P143"/>
      <c r="Q143"/>
      <c r="R143"/>
      <c r="S143"/>
      <c r="T143"/>
      <c r="U143"/>
      <c r="V143"/>
      <c r="W143"/>
      <c r="X143"/>
      <c r="Y143"/>
      <c r="Z143"/>
      <c r="AA143"/>
      <c r="AB143"/>
      <c r="AC143"/>
      <c r="AD143"/>
      <c r="AE143"/>
      <c r="AF143"/>
      <c r="AG143"/>
      <c r="AH143"/>
      <c r="AI143"/>
      <c r="AJ143" s="266"/>
      <c r="AK143" s="266"/>
      <c r="AL143" s="266"/>
      <c r="AM143" s="266"/>
      <c r="AN143" s="266"/>
      <c r="AO143" s="266"/>
      <c r="AP143" s="266"/>
      <c r="AQ143" s="266"/>
      <c r="AR143" s="266"/>
      <c r="AS143" s="266"/>
    </row>
    <row r="144" spans="1:49">
      <c r="A144"/>
      <c r="B144"/>
      <c r="C144"/>
      <c r="D144"/>
      <c r="E144" s="157"/>
      <c r="F144"/>
      <c r="G144"/>
      <c r="H144"/>
      <c r="I144"/>
      <c r="J144"/>
      <c r="K144"/>
      <c r="L144"/>
      <c r="M144"/>
      <c r="N144"/>
      <c r="O144"/>
      <c r="P144"/>
      <c r="Q144"/>
      <c r="R144"/>
      <c r="S144"/>
      <c r="T144"/>
      <c r="U144"/>
      <c r="V144"/>
      <c r="W144"/>
      <c r="X144"/>
      <c r="Y144"/>
      <c r="Z144"/>
      <c r="AA144"/>
      <c r="AB144"/>
      <c r="AC144"/>
      <c r="AD144"/>
      <c r="AE144"/>
      <c r="AF144"/>
      <c r="AG144"/>
      <c r="AH144"/>
      <c r="AI144"/>
      <c r="AJ144" s="266"/>
      <c r="AK144" s="266"/>
      <c r="AL144" s="266"/>
      <c r="AM144" s="266"/>
      <c r="AN144" s="266"/>
      <c r="AO144" s="266"/>
      <c r="AP144" s="266"/>
      <c r="AQ144" s="266"/>
      <c r="AR144" s="266"/>
      <c r="AS144" s="266"/>
    </row>
    <row r="145" spans="1:45">
      <c r="A145"/>
      <c r="B145"/>
      <c r="C145"/>
      <c r="D145"/>
      <c r="E145" s="157"/>
      <c r="F145"/>
      <c r="G145"/>
      <c r="H145"/>
      <c r="I145"/>
      <c r="J145"/>
      <c r="K145"/>
      <c r="L145"/>
      <c r="M145"/>
      <c r="N145"/>
      <c r="O145"/>
      <c r="P145"/>
      <c r="Q145"/>
      <c r="R145"/>
      <c r="S145"/>
      <c r="T145"/>
      <c r="U145"/>
      <c r="V145"/>
      <c r="W145"/>
      <c r="X145"/>
      <c r="Y145"/>
      <c r="Z145"/>
      <c r="AA145"/>
      <c r="AB145"/>
      <c r="AC145"/>
      <c r="AD145"/>
      <c r="AE145"/>
      <c r="AF145"/>
      <c r="AG145"/>
      <c r="AH145"/>
      <c r="AI145"/>
      <c r="AJ145" s="266"/>
      <c r="AK145" s="266"/>
      <c r="AL145" s="266"/>
      <c r="AM145" s="266"/>
      <c r="AN145" s="266"/>
      <c r="AO145" s="266"/>
      <c r="AP145" s="266"/>
      <c r="AQ145" s="266"/>
      <c r="AR145" s="266"/>
      <c r="AS145" s="266"/>
    </row>
    <row r="146" spans="1:45">
      <c r="A146"/>
      <c r="B146"/>
      <c r="C146"/>
      <c r="D146"/>
      <c r="E146" s="157"/>
      <c r="F146"/>
      <c r="G146"/>
      <c r="H146"/>
      <c r="I146"/>
      <c r="J146"/>
      <c r="K146"/>
      <c r="L146"/>
      <c r="M146"/>
      <c r="N146"/>
      <c r="O146"/>
      <c r="P146"/>
      <c r="Q146"/>
      <c r="R146"/>
      <c r="S146"/>
      <c r="T146"/>
      <c r="U146"/>
      <c r="V146"/>
      <c r="W146"/>
      <c r="X146"/>
      <c r="Y146"/>
      <c r="Z146"/>
      <c r="AA146"/>
      <c r="AB146"/>
      <c r="AC146"/>
      <c r="AD146"/>
      <c r="AE146"/>
      <c r="AF146"/>
      <c r="AG146"/>
      <c r="AH146"/>
      <c r="AI146"/>
      <c r="AJ146" s="266"/>
      <c r="AK146" s="266"/>
      <c r="AL146" s="266"/>
      <c r="AM146" s="266"/>
      <c r="AN146" s="266"/>
      <c r="AO146" s="266"/>
      <c r="AP146" s="266"/>
      <c r="AQ146" s="266"/>
      <c r="AR146" s="266"/>
      <c r="AS146" s="266"/>
    </row>
    <row r="147" spans="1:45">
      <c r="A147"/>
      <c r="B147"/>
      <c r="C147"/>
      <c r="D147"/>
      <c r="E147" s="157"/>
      <c r="F147"/>
      <c r="G147"/>
      <c r="H147"/>
      <c r="I147"/>
      <c r="J147"/>
      <c r="K147"/>
      <c r="L147"/>
      <c r="M147"/>
      <c r="N147"/>
      <c r="O147"/>
      <c r="P147"/>
      <c r="Q147"/>
      <c r="R147"/>
      <c r="S147"/>
      <c r="T147"/>
      <c r="U147"/>
      <c r="V147"/>
      <c r="W147"/>
      <c r="X147"/>
      <c r="Y147"/>
      <c r="Z147"/>
      <c r="AA147"/>
      <c r="AB147"/>
      <c r="AC147"/>
      <c r="AD147"/>
      <c r="AE147"/>
      <c r="AF147"/>
      <c r="AG147"/>
      <c r="AH147"/>
      <c r="AI147"/>
      <c r="AJ147" s="266"/>
      <c r="AK147" s="266"/>
      <c r="AL147" s="266"/>
      <c r="AM147" s="266"/>
      <c r="AN147" s="266"/>
      <c r="AO147" s="266"/>
      <c r="AP147" s="266"/>
      <c r="AQ147" s="266"/>
      <c r="AR147" s="266"/>
      <c r="AS147" s="266"/>
    </row>
    <row r="148" spans="1:45">
      <c r="A148"/>
      <c r="B148"/>
      <c r="C148"/>
      <c r="D148"/>
      <c r="E148" s="157"/>
      <c r="F148"/>
      <c r="G148"/>
      <c r="H148"/>
      <c r="I148"/>
      <c r="J148"/>
      <c r="K148"/>
      <c r="L148"/>
      <c r="M148"/>
      <c r="N148"/>
      <c r="O148"/>
      <c r="P148"/>
      <c r="Q148"/>
      <c r="R148"/>
      <c r="S148"/>
      <c r="T148"/>
      <c r="U148"/>
      <c r="V148"/>
      <c r="W148"/>
      <c r="X148"/>
      <c r="Y148"/>
      <c r="Z148"/>
      <c r="AA148"/>
      <c r="AB148"/>
      <c r="AC148"/>
      <c r="AD148"/>
      <c r="AE148"/>
      <c r="AF148"/>
      <c r="AG148"/>
      <c r="AH148"/>
      <c r="AI148"/>
      <c r="AJ148" s="266"/>
      <c r="AK148" s="266"/>
      <c r="AL148" s="266"/>
      <c r="AM148" s="266"/>
      <c r="AN148" s="266"/>
      <c r="AO148" s="266"/>
      <c r="AP148" s="266"/>
      <c r="AQ148" s="266"/>
      <c r="AR148" s="266"/>
      <c r="AS148" s="266"/>
    </row>
    <row r="149" spans="1:45">
      <c r="A149"/>
      <c r="B149"/>
      <c r="C149"/>
      <c r="D149"/>
      <c r="E149" s="157"/>
      <c r="F149"/>
      <c r="G149"/>
      <c r="H149"/>
      <c r="I149"/>
      <c r="J149"/>
      <c r="K149"/>
      <c r="L149"/>
      <c r="M149"/>
      <c r="N149"/>
      <c r="O149"/>
      <c r="P149"/>
      <c r="Q149"/>
      <c r="R149"/>
      <c r="S149"/>
      <c r="T149"/>
      <c r="U149"/>
      <c r="V149"/>
      <c r="W149"/>
      <c r="X149"/>
      <c r="Y149"/>
      <c r="Z149"/>
      <c r="AA149"/>
      <c r="AB149"/>
      <c r="AC149"/>
      <c r="AD149"/>
      <c r="AE149"/>
      <c r="AF149"/>
      <c r="AG149"/>
      <c r="AH149"/>
      <c r="AI149"/>
      <c r="AJ149" s="266"/>
      <c r="AK149" s="266"/>
      <c r="AL149" s="266"/>
      <c r="AM149" s="266"/>
      <c r="AN149" s="266"/>
      <c r="AO149" s="266"/>
      <c r="AP149" s="266"/>
      <c r="AQ149" s="266"/>
      <c r="AR149" s="266"/>
      <c r="AS149" s="266"/>
    </row>
    <row r="150" spans="1:45">
      <c r="A150"/>
      <c r="B150"/>
      <c r="C150"/>
      <c r="D150"/>
      <c r="E150" s="157"/>
      <c r="F150"/>
      <c r="G150"/>
      <c r="H150"/>
      <c r="I150"/>
      <c r="J150"/>
      <c r="K150"/>
      <c r="L150"/>
      <c r="M150"/>
      <c r="N150"/>
      <c r="O150"/>
      <c r="P150"/>
      <c r="Q150"/>
      <c r="R150"/>
      <c r="S150"/>
      <c r="T150"/>
      <c r="U150"/>
      <c r="V150"/>
      <c r="W150"/>
      <c r="X150"/>
      <c r="Y150"/>
      <c r="Z150"/>
      <c r="AA150"/>
      <c r="AB150"/>
      <c r="AC150"/>
      <c r="AD150"/>
      <c r="AE150"/>
      <c r="AF150"/>
      <c r="AG150"/>
      <c r="AH150"/>
      <c r="AI150"/>
      <c r="AJ150" s="266"/>
      <c r="AK150" s="266"/>
      <c r="AL150" s="266"/>
      <c r="AM150" s="266"/>
      <c r="AN150" s="266"/>
      <c r="AO150" s="266"/>
      <c r="AP150" s="266"/>
      <c r="AQ150" s="266"/>
      <c r="AR150" s="266"/>
      <c r="AS150" s="266"/>
    </row>
    <row r="151" spans="1:45">
      <c r="A151"/>
      <c r="B151"/>
      <c r="C151"/>
      <c r="D151"/>
      <c r="E151" s="157"/>
      <c r="F151"/>
      <c r="G151"/>
      <c r="H151"/>
      <c r="I151"/>
      <c r="J151"/>
      <c r="K151"/>
      <c r="L151"/>
      <c r="M151"/>
      <c r="N151"/>
      <c r="O151"/>
      <c r="P151"/>
      <c r="Q151"/>
      <c r="R151"/>
      <c r="S151"/>
      <c r="T151"/>
      <c r="U151"/>
      <c r="V151"/>
      <c r="W151"/>
      <c r="X151"/>
      <c r="Y151"/>
      <c r="Z151"/>
      <c r="AA151"/>
      <c r="AB151"/>
      <c r="AC151"/>
      <c r="AD151"/>
      <c r="AE151"/>
      <c r="AF151"/>
      <c r="AG151"/>
      <c r="AH151"/>
      <c r="AI151"/>
      <c r="AJ151" s="266"/>
      <c r="AK151" s="266"/>
      <c r="AL151" s="266"/>
      <c r="AM151" s="266"/>
      <c r="AN151" s="266"/>
      <c r="AO151" s="266"/>
      <c r="AP151" s="266"/>
      <c r="AQ151" s="266"/>
      <c r="AR151" s="266"/>
      <c r="AS151" s="266"/>
    </row>
    <row r="152" spans="1:45">
      <c r="A152"/>
      <c r="B152"/>
      <c r="C152"/>
      <c r="D152"/>
      <c r="E152" s="157"/>
      <c r="F152"/>
      <c r="G152"/>
      <c r="H152"/>
      <c r="I152"/>
      <c r="J152"/>
      <c r="K152"/>
      <c r="L152"/>
      <c r="M152"/>
      <c r="N152"/>
      <c r="O152"/>
      <c r="P152"/>
      <c r="Q152"/>
      <c r="R152"/>
      <c r="S152"/>
      <c r="T152"/>
      <c r="U152"/>
      <c r="V152"/>
      <c r="W152"/>
      <c r="X152"/>
      <c r="Y152"/>
      <c r="Z152"/>
      <c r="AA152"/>
      <c r="AB152"/>
      <c r="AC152"/>
      <c r="AD152"/>
      <c r="AE152"/>
      <c r="AF152"/>
      <c r="AG152"/>
      <c r="AH152"/>
      <c r="AI152"/>
      <c r="AJ152" s="266"/>
      <c r="AK152" s="266"/>
      <c r="AL152" s="266"/>
      <c r="AM152" s="266"/>
      <c r="AN152" s="266"/>
      <c r="AO152" s="266"/>
      <c r="AP152" s="266"/>
      <c r="AQ152" s="266"/>
      <c r="AR152" s="266"/>
      <c r="AS152" s="266"/>
    </row>
    <row r="153" spans="1:45">
      <c r="A153"/>
      <c r="B153"/>
      <c r="C153"/>
      <c r="D153"/>
      <c r="E153" s="157"/>
      <c r="F153"/>
      <c r="G153"/>
      <c r="H153"/>
      <c r="I153"/>
      <c r="J153"/>
      <c r="K153"/>
      <c r="L153"/>
      <c r="M153"/>
      <c r="N153"/>
      <c r="O153"/>
      <c r="P153"/>
      <c r="Q153"/>
      <c r="R153"/>
      <c r="S153"/>
      <c r="T153"/>
      <c r="U153"/>
      <c r="V153"/>
      <c r="W153"/>
      <c r="X153"/>
      <c r="Y153"/>
      <c r="Z153"/>
      <c r="AA153"/>
      <c r="AB153"/>
      <c r="AC153"/>
      <c r="AD153"/>
      <c r="AE153"/>
      <c r="AF153"/>
      <c r="AG153"/>
      <c r="AH153"/>
      <c r="AI153"/>
      <c r="AJ153" s="266"/>
      <c r="AK153" s="266"/>
      <c r="AL153" s="266"/>
      <c r="AM153" s="266"/>
      <c r="AN153" s="266"/>
      <c r="AO153" s="266"/>
      <c r="AP153" s="266"/>
      <c r="AQ153" s="266"/>
      <c r="AR153" s="266"/>
      <c r="AS153" s="266"/>
    </row>
    <row r="154" spans="1:45">
      <c r="A154"/>
      <c r="B154"/>
      <c r="C154"/>
      <c r="D154"/>
      <c r="E154" s="157"/>
      <c r="F154"/>
      <c r="G154"/>
      <c r="H154"/>
      <c r="I154"/>
      <c r="J154"/>
      <c r="K154"/>
      <c r="L154"/>
      <c r="M154"/>
      <c r="N154"/>
      <c r="O154"/>
      <c r="P154"/>
      <c r="Q154"/>
      <c r="R154"/>
      <c r="S154"/>
      <c r="T154"/>
      <c r="U154"/>
      <c r="V154"/>
      <c r="W154"/>
      <c r="X154"/>
      <c r="Y154"/>
      <c r="Z154"/>
      <c r="AA154"/>
      <c r="AB154"/>
      <c r="AC154"/>
      <c r="AD154"/>
      <c r="AE154"/>
      <c r="AF154"/>
      <c r="AG154"/>
      <c r="AH154"/>
      <c r="AI154"/>
      <c r="AJ154" s="266"/>
      <c r="AK154" s="266"/>
      <c r="AL154" s="266"/>
      <c r="AM154" s="266"/>
      <c r="AN154" s="266"/>
      <c r="AO154" s="266"/>
      <c r="AP154" s="266"/>
      <c r="AQ154" s="266"/>
      <c r="AR154" s="266"/>
      <c r="AS154" s="266"/>
    </row>
    <row r="155" spans="1:45">
      <c r="A155"/>
      <c r="B155"/>
      <c r="C155"/>
      <c r="D155"/>
      <c r="E155" s="157"/>
      <c r="F155"/>
      <c r="G155"/>
      <c r="H155"/>
      <c r="I155"/>
      <c r="J155"/>
      <c r="K155"/>
      <c r="L155"/>
      <c r="M155"/>
      <c r="N155"/>
      <c r="O155"/>
      <c r="P155"/>
      <c r="Q155"/>
      <c r="R155"/>
      <c r="S155"/>
      <c r="T155"/>
      <c r="U155"/>
      <c r="V155"/>
      <c r="W155"/>
      <c r="X155"/>
      <c r="Y155"/>
      <c r="Z155"/>
      <c r="AA155"/>
      <c r="AB155"/>
      <c r="AC155"/>
      <c r="AD155"/>
      <c r="AE155"/>
      <c r="AF155"/>
      <c r="AG155"/>
      <c r="AH155"/>
      <c r="AI155"/>
      <c r="AJ155" s="266"/>
      <c r="AK155" s="266"/>
      <c r="AL155" s="266"/>
      <c r="AM155" s="266"/>
      <c r="AN155" s="266"/>
      <c r="AO155" s="266"/>
      <c r="AP155" s="266"/>
      <c r="AQ155" s="266"/>
      <c r="AR155" s="266"/>
      <c r="AS155" s="266"/>
    </row>
    <row r="156" spans="1:45">
      <c r="A156"/>
      <c r="B156"/>
      <c r="C156"/>
      <c r="D156"/>
      <c r="E156" s="157"/>
      <c r="F156"/>
      <c r="G156"/>
      <c r="H156"/>
      <c r="I156"/>
      <c r="J156"/>
      <c r="K156"/>
      <c r="L156"/>
      <c r="M156"/>
      <c r="N156"/>
      <c r="O156"/>
      <c r="P156"/>
      <c r="Q156"/>
      <c r="R156"/>
      <c r="S156"/>
      <c r="T156"/>
      <c r="U156"/>
      <c r="V156"/>
      <c r="W156"/>
      <c r="X156"/>
      <c r="Y156"/>
      <c r="Z156"/>
      <c r="AA156"/>
      <c r="AB156"/>
      <c r="AC156"/>
      <c r="AD156"/>
      <c r="AE156"/>
      <c r="AF156"/>
      <c r="AG156"/>
      <c r="AH156"/>
      <c r="AI156"/>
      <c r="AJ156" s="266"/>
      <c r="AK156" s="266"/>
      <c r="AL156" s="266"/>
      <c r="AM156" s="266"/>
      <c r="AN156" s="266"/>
      <c r="AO156" s="266"/>
      <c r="AP156" s="266"/>
      <c r="AQ156" s="266"/>
      <c r="AR156" s="266"/>
      <c r="AS156" s="266"/>
    </row>
    <row r="157" spans="1:45">
      <c r="A157"/>
      <c r="B157"/>
      <c r="C157"/>
      <c r="D157"/>
      <c r="E157" s="157"/>
      <c r="F157"/>
      <c r="G157"/>
      <c r="H157"/>
      <c r="I157"/>
      <c r="J157"/>
      <c r="K157"/>
      <c r="L157"/>
      <c r="M157"/>
      <c r="N157"/>
      <c r="O157"/>
      <c r="P157"/>
      <c r="Q157"/>
      <c r="R157"/>
      <c r="S157"/>
      <c r="T157"/>
      <c r="U157"/>
      <c r="V157"/>
      <c r="W157"/>
      <c r="X157"/>
      <c r="Y157"/>
      <c r="Z157"/>
      <c r="AA157"/>
      <c r="AB157"/>
      <c r="AC157"/>
      <c r="AD157"/>
      <c r="AE157"/>
      <c r="AF157"/>
      <c r="AG157"/>
      <c r="AH157"/>
      <c r="AI157"/>
      <c r="AJ157" s="266"/>
      <c r="AK157" s="266"/>
      <c r="AL157" s="266"/>
      <c r="AM157" s="266"/>
      <c r="AN157" s="266"/>
      <c r="AO157" s="266"/>
      <c r="AP157" s="266"/>
      <c r="AQ157" s="266"/>
      <c r="AR157" s="266"/>
      <c r="AS157" s="266"/>
    </row>
    <row r="158" spans="1:45">
      <c r="A158"/>
      <c r="B158"/>
      <c r="C158"/>
      <c r="D158"/>
      <c r="E158" s="157"/>
      <c r="F158"/>
      <c r="G158"/>
      <c r="H158"/>
      <c r="I158"/>
      <c r="J158"/>
      <c r="K158"/>
      <c r="L158"/>
      <c r="M158"/>
      <c r="N158"/>
      <c r="O158"/>
      <c r="P158"/>
      <c r="Q158"/>
      <c r="R158"/>
      <c r="S158"/>
      <c r="T158"/>
      <c r="U158"/>
      <c r="V158"/>
      <c r="W158"/>
      <c r="X158"/>
      <c r="Y158"/>
      <c r="Z158"/>
      <c r="AA158"/>
      <c r="AB158"/>
      <c r="AC158"/>
      <c r="AD158"/>
      <c r="AE158"/>
      <c r="AF158"/>
      <c r="AG158"/>
      <c r="AH158"/>
      <c r="AI158"/>
      <c r="AJ158" s="266"/>
      <c r="AK158" s="266"/>
      <c r="AL158" s="266"/>
      <c r="AM158" s="266"/>
      <c r="AN158" s="266"/>
      <c r="AO158" s="266"/>
      <c r="AP158" s="266"/>
      <c r="AQ158" s="266"/>
      <c r="AR158" s="266"/>
      <c r="AS158" s="266"/>
    </row>
    <row r="159" spans="1:45">
      <c r="A159"/>
      <c r="B159"/>
      <c r="C159"/>
      <c r="D159"/>
      <c r="E159" s="157"/>
      <c r="F159"/>
      <c r="G159"/>
      <c r="H159"/>
      <c r="I159"/>
      <c r="J159"/>
      <c r="K159"/>
      <c r="L159"/>
      <c r="M159"/>
      <c r="N159"/>
      <c r="O159"/>
      <c r="P159"/>
      <c r="Q159"/>
      <c r="R159"/>
      <c r="S159"/>
      <c r="T159"/>
      <c r="U159"/>
      <c r="V159"/>
      <c r="W159"/>
      <c r="X159"/>
      <c r="Y159"/>
      <c r="Z159"/>
      <c r="AA159"/>
      <c r="AB159"/>
      <c r="AC159"/>
      <c r="AD159"/>
      <c r="AE159"/>
      <c r="AF159"/>
      <c r="AG159"/>
      <c r="AH159"/>
      <c r="AI159"/>
      <c r="AJ159" s="266"/>
      <c r="AK159" s="266"/>
      <c r="AL159" s="266"/>
      <c r="AM159" s="266"/>
      <c r="AN159" s="266"/>
      <c r="AO159" s="266"/>
      <c r="AP159" s="266"/>
      <c r="AQ159" s="266"/>
      <c r="AR159" s="266"/>
      <c r="AS159" s="266"/>
    </row>
    <row r="160" spans="1:45">
      <c r="A160"/>
      <c r="B160"/>
      <c r="C160"/>
      <c r="D160"/>
      <c r="E160" s="157"/>
      <c r="F160"/>
      <c r="G160"/>
      <c r="H160"/>
      <c r="I160"/>
      <c r="J160"/>
      <c r="K160"/>
      <c r="L160"/>
      <c r="M160"/>
      <c r="N160"/>
      <c r="O160"/>
      <c r="P160"/>
      <c r="Q160"/>
      <c r="R160"/>
      <c r="S160"/>
      <c r="T160"/>
      <c r="U160"/>
      <c r="V160"/>
      <c r="W160"/>
      <c r="X160"/>
      <c r="Y160"/>
      <c r="Z160"/>
      <c r="AA160"/>
      <c r="AB160"/>
      <c r="AC160"/>
      <c r="AD160"/>
      <c r="AE160"/>
      <c r="AF160"/>
      <c r="AG160"/>
      <c r="AH160"/>
      <c r="AI160"/>
      <c r="AJ160" s="266"/>
      <c r="AK160" s="266"/>
      <c r="AL160" s="266"/>
      <c r="AM160" s="266"/>
      <c r="AN160" s="266"/>
      <c r="AO160" s="266"/>
      <c r="AP160" s="266"/>
      <c r="AQ160" s="266"/>
      <c r="AR160" s="266"/>
      <c r="AS160" s="266"/>
    </row>
    <row r="161" spans="1:45">
      <c r="A161"/>
      <c r="B161"/>
      <c r="C161"/>
      <c r="D161"/>
      <c r="E161" s="157"/>
      <c r="F161"/>
      <c r="G161"/>
      <c r="H161"/>
      <c r="I161"/>
      <c r="J161"/>
      <c r="K161"/>
      <c r="L161"/>
      <c r="M161"/>
      <c r="N161"/>
      <c r="O161"/>
      <c r="P161"/>
      <c r="Q161"/>
      <c r="R161"/>
      <c r="S161"/>
      <c r="T161"/>
      <c r="U161"/>
      <c r="V161"/>
      <c r="W161"/>
      <c r="X161"/>
      <c r="Y161"/>
      <c r="Z161"/>
      <c r="AA161"/>
      <c r="AB161"/>
      <c r="AC161"/>
      <c r="AD161"/>
      <c r="AE161"/>
      <c r="AF161"/>
      <c r="AG161"/>
      <c r="AH161"/>
      <c r="AI161"/>
      <c r="AJ161" s="266"/>
      <c r="AK161" s="266"/>
      <c r="AL161" s="266"/>
      <c r="AM161" s="266"/>
      <c r="AN161" s="266"/>
      <c r="AO161" s="266"/>
      <c r="AP161" s="266"/>
      <c r="AQ161" s="266"/>
      <c r="AR161" s="266"/>
      <c r="AS161" s="266"/>
    </row>
    <row r="162" spans="1:45">
      <c r="A162"/>
      <c r="B162"/>
      <c r="C162"/>
      <c r="D162"/>
      <c r="E162" s="157"/>
      <c r="F162"/>
      <c r="G162"/>
      <c r="H162"/>
      <c r="I162"/>
      <c r="J162"/>
      <c r="K162"/>
      <c r="L162"/>
      <c r="M162"/>
      <c r="N162"/>
      <c r="O162"/>
      <c r="P162"/>
      <c r="Q162"/>
      <c r="R162"/>
      <c r="S162"/>
      <c r="T162"/>
      <c r="U162"/>
      <c r="V162"/>
      <c r="W162"/>
      <c r="X162"/>
      <c r="Y162"/>
      <c r="Z162"/>
      <c r="AA162"/>
      <c r="AB162"/>
      <c r="AC162"/>
      <c r="AD162"/>
      <c r="AE162"/>
      <c r="AF162"/>
      <c r="AG162"/>
      <c r="AH162"/>
      <c r="AI162"/>
      <c r="AJ162" s="266"/>
      <c r="AK162" s="266"/>
      <c r="AL162" s="266"/>
      <c r="AM162" s="266"/>
      <c r="AN162" s="266"/>
      <c r="AO162" s="266"/>
      <c r="AP162" s="266"/>
      <c r="AQ162" s="266"/>
      <c r="AR162" s="266"/>
      <c r="AS162" s="266"/>
    </row>
    <row r="163" spans="1:45">
      <c r="A163"/>
      <c r="B163"/>
      <c r="C163"/>
      <c r="D163"/>
      <c r="E163" s="157"/>
      <c r="F163"/>
      <c r="G163"/>
      <c r="H163"/>
      <c r="I163"/>
      <c r="J163"/>
      <c r="K163"/>
      <c r="L163"/>
      <c r="M163"/>
      <c r="N163"/>
      <c r="O163"/>
      <c r="P163"/>
      <c r="Q163"/>
      <c r="R163"/>
      <c r="S163"/>
      <c r="T163"/>
      <c r="U163"/>
      <c r="V163"/>
      <c r="W163"/>
      <c r="X163"/>
      <c r="Y163"/>
      <c r="Z163"/>
      <c r="AA163"/>
      <c r="AB163"/>
      <c r="AC163"/>
      <c r="AD163"/>
      <c r="AE163"/>
      <c r="AF163"/>
      <c r="AG163"/>
      <c r="AH163"/>
      <c r="AI163"/>
      <c r="AJ163" s="266"/>
      <c r="AK163" s="266"/>
      <c r="AL163" s="266"/>
      <c r="AM163" s="266"/>
      <c r="AN163" s="266"/>
      <c r="AO163" s="266"/>
      <c r="AP163" s="266"/>
      <c r="AQ163" s="266"/>
      <c r="AR163" s="266"/>
      <c r="AS163" s="266"/>
    </row>
    <row r="164" spans="1:45">
      <c r="A164"/>
      <c r="B164"/>
      <c r="C164"/>
      <c r="D164"/>
      <c r="E164" s="157"/>
      <c r="F164"/>
      <c r="G164"/>
      <c r="H164"/>
      <c r="I164"/>
      <c r="J164"/>
      <c r="K164"/>
      <c r="L164"/>
      <c r="M164"/>
      <c r="N164"/>
      <c r="O164"/>
      <c r="P164"/>
      <c r="Q164"/>
      <c r="R164"/>
      <c r="S164"/>
      <c r="T164"/>
      <c r="U164"/>
      <c r="V164"/>
      <c r="W164"/>
      <c r="X164"/>
      <c r="Y164"/>
      <c r="Z164"/>
      <c r="AA164"/>
      <c r="AB164"/>
      <c r="AC164"/>
      <c r="AD164"/>
      <c r="AE164"/>
      <c r="AF164"/>
      <c r="AG164"/>
      <c r="AH164"/>
      <c r="AI164"/>
      <c r="AJ164" s="266"/>
      <c r="AK164" s="266"/>
      <c r="AL164" s="266"/>
      <c r="AM164" s="266"/>
      <c r="AN164" s="266"/>
      <c r="AO164" s="266"/>
      <c r="AP164" s="266"/>
      <c r="AQ164" s="266"/>
      <c r="AR164" s="266"/>
      <c r="AS164" s="266"/>
    </row>
    <row r="165" spans="1:45">
      <c r="A165"/>
      <c r="B165"/>
      <c r="C165"/>
      <c r="D165"/>
      <c r="E165" s="157"/>
      <c r="F165"/>
      <c r="G165"/>
      <c r="H165"/>
      <c r="I165"/>
      <c r="J165"/>
      <c r="K165"/>
      <c r="L165"/>
      <c r="M165"/>
      <c r="N165"/>
      <c r="O165"/>
      <c r="P165"/>
      <c r="Q165"/>
      <c r="R165"/>
      <c r="S165"/>
      <c r="T165"/>
      <c r="U165"/>
      <c r="V165"/>
      <c r="W165"/>
      <c r="X165"/>
      <c r="Y165"/>
      <c r="Z165"/>
      <c r="AA165"/>
      <c r="AB165"/>
      <c r="AC165"/>
      <c r="AD165"/>
      <c r="AE165"/>
      <c r="AF165"/>
      <c r="AG165"/>
      <c r="AH165"/>
      <c r="AI165"/>
      <c r="AJ165" s="266"/>
      <c r="AK165" s="266"/>
      <c r="AL165" s="266"/>
      <c r="AM165" s="266"/>
      <c r="AN165" s="266"/>
      <c r="AO165" s="266"/>
      <c r="AP165" s="266"/>
      <c r="AQ165" s="266"/>
      <c r="AR165" s="266"/>
      <c r="AS165" s="266"/>
    </row>
    <row r="166" spans="1:45">
      <c r="A166"/>
      <c r="B166"/>
      <c r="C166"/>
      <c r="D166"/>
      <c r="E166" s="157"/>
      <c r="F166"/>
      <c r="G166"/>
      <c r="H166"/>
      <c r="I166"/>
      <c r="J166"/>
      <c r="K166"/>
      <c r="L166"/>
      <c r="M166"/>
      <c r="N166"/>
      <c r="O166"/>
      <c r="P166"/>
      <c r="Q166"/>
      <c r="R166"/>
      <c r="S166"/>
      <c r="T166"/>
      <c r="U166"/>
      <c r="V166"/>
      <c r="W166"/>
      <c r="X166"/>
      <c r="Y166"/>
      <c r="Z166"/>
      <c r="AA166"/>
      <c r="AB166"/>
      <c r="AC166"/>
      <c r="AD166"/>
      <c r="AE166"/>
      <c r="AF166"/>
      <c r="AG166"/>
      <c r="AH166"/>
      <c r="AI166"/>
      <c r="AJ166" s="266"/>
      <c r="AK166" s="266"/>
      <c r="AL166" s="266"/>
      <c r="AM166" s="266"/>
      <c r="AN166" s="266"/>
      <c r="AO166" s="266"/>
      <c r="AP166" s="266"/>
      <c r="AQ166" s="266"/>
      <c r="AR166" s="266"/>
      <c r="AS166" s="266"/>
    </row>
    <row r="167" spans="1:45">
      <c r="A167"/>
      <c r="B167"/>
      <c r="C167"/>
      <c r="D167"/>
      <c r="E167" s="157"/>
      <c r="F167"/>
      <c r="G167"/>
      <c r="H167"/>
      <c r="I167"/>
      <c r="J167"/>
      <c r="K167"/>
      <c r="L167"/>
      <c r="M167"/>
      <c r="N167"/>
      <c r="O167"/>
      <c r="P167"/>
      <c r="Q167"/>
      <c r="R167"/>
      <c r="S167"/>
      <c r="T167"/>
      <c r="U167"/>
      <c r="V167"/>
      <c r="W167"/>
      <c r="X167"/>
      <c r="Y167"/>
      <c r="Z167"/>
      <c r="AA167"/>
      <c r="AB167"/>
      <c r="AC167"/>
      <c r="AD167"/>
      <c r="AE167"/>
      <c r="AF167"/>
      <c r="AG167"/>
      <c r="AH167"/>
      <c r="AI167"/>
      <c r="AJ167" s="266"/>
      <c r="AK167" s="266"/>
      <c r="AL167" s="266"/>
      <c r="AM167" s="266"/>
      <c r="AN167" s="266"/>
      <c r="AO167" s="266"/>
      <c r="AP167" s="266"/>
      <c r="AQ167" s="266"/>
      <c r="AR167" s="266"/>
      <c r="AS167" s="266"/>
    </row>
    <row r="168" spans="1:45">
      <c r="A168"/>
      <c r="B168"/>
      <c r="C168"/>
      <c r="D168"/>
      <c r="E168" s="157"/>
      <c r="F168"/>
      <c r="G168"/>
      <c r="H168"/>
      <c r="I168"/>
      <c r="J168"/>
      <c r="K168"/>
      <c r="L168"/>
      <c r="M168"/>
      <c r="N168"/>
      <c r="O168"/>
      <c r="P168"/>
      <c r="Q168"/>
      <c r="R168"/>
      <c r="S168"/>
      <c r="T168"/>
      <c r="U168"/>
      <c r="V168"/>
      <c r="W168"/>
      <c r="X168"/>
      <c r="Y168"/>
      <c r="Z168"/>
      <c r="AA168"/>
      <c r="AB168"/>
      <c r="AC168"/>
      <c r="AD168"/>
      <c r="AE168"/>
      <c r="AF168"/>
      <c r="AG168"/>
      <c r="AH168"/>
      <c r="AI168"/>
      <c r="AJ168" s="266"/>
      <c r="AK168" s="266"/>
      <c r="AL168" s="266"/>
      <c r="AM168" s="266"/>
      <c r="AN168" s="266"/>
      <c r="AO168" s="266"/>
      <c r="AP168" s="266"/>
      <c r="AQ168" s="266"/>
      <c r="AR168" s="266"/>
      <c r="AS168" s="266"/>
    </row>
    <row r="169" spans="1:45">
      <c r="A169"/>
      <c r="B169"/>
      <c r="C169"/>
      <c r="D169"/>
      <c r="E169" s="157"/>
      <c r="F169"/>
      <c r="G169"/>
      <c r="H169"/>
      <c r="I169"/>
      <c r="J169"/>
      <c r="K169"/>
      <c r="L169"/>
      <c r="M169"/>
      <c r="N169"/>
      <c r="O169"/>
      <c r="P169"/>
      <c r="Q169"/>
      <c r="R169"/>
      <c r="S169"/>
      <c r="T169"/>
      <c r="U169"/>
      <c r="V169"/>
      <c r="W169"/>
      <c r="X169"/>
      <c r="Y169"/>
      <c r="Z169"/>
      <c r="AA169"/>
      <c r="AB169"/>
      <c r="AC169"/>
      <c r="AD169"/>
      <c r="AE169"/>
      <c r="AF169"/>
      <c r="AG169"/>
      <c r="AH169"/>
      <c r="AI169"/>
      <c r="AJ169" s="266"/>
      <c r="AK169" s="266"/>
      <c r="AL169" s="266"/>
      <c r="AM169" s="266"/>
      <c r="AN169" s="266"/>
      <c r="AO169" s="266"/>
      <c r="AP169" s="266"/>
      <c r="AQ169" s="266"/>
      <c r="AR169" s="266"/>
      <c r="AS169" s="266"/>
    </row>
    <row r="170" spans="1:45">
      <c r="A170"/>
      <c r="B170"/>
      <c r="C170"/>
      <c r="D170"/>
      <c r="E170" s="157"/>
      <c r="F170"/>
      <c r="G170"/>
      <c r="H170"/>
      <c r="I170"/>
      <c r="J170"/>
      <c r="K170"/>
      <c r="L170"/>
      <c r="M170"/>
      <c r="N170"/>
      <c r="O170"/>
      <c r="P170"/>
      <c r="Q170"/>
      <c r="R170"/>
      <c r="S170"/>
      <c r="T170"/>
      <c r="U170"/>
      <c r="V170"/>
      <c r="W170"/>
      <c r="X170"/>
      <c r="Y170"/>
      <c r="Z170"/>
      <c r="AA170"/>
      <c r="AB170"/>
      <c r="AC170"/>
      <c r="AD170"/>
      <c r="AE170"/>
      <c r="AF170"/>
      <c r="AG170"/>
      <c r="AH170"/>
      <c r="AI170"/>
      <c r="AJ170" s="266"/>
      <c r="AK170" s="266"/>
      <c r="AL170" s="266"/>
      <c r="AM170" s="266"/>
      <c r="AN170" s="266"/>
      <c r="AO170" s="266"/>
      <c r="AP170" s="266"/>
      <c r="AQ170" s="266"/>
      <c r="AR170" s="266"/>
      <c r="AS170" s="266"/>
    </row>
    <row r="171" spans="1:45">
      <c r="A171"/>
      <c r="B171"/>
      <c r="C171"/>
      <c r="D171"/>
      <c r="E171" s="157"/>
      <c r="F171"/>
      <c r="G171"/>
      <c r="H171"/>
      <c r="I171"/>
      <c r="J171"/>
      <c r="K171"/>
      <c r="L171"/>
      <c r="M171"/>
      <c r="N171"/>
      <c r="O171"/>
      <c r="P171"/>
      <c r="Q171"/>
      <c r="R171"/>
      <c r="S171"/>
      <c r="T171"/>
      <c r="U171"/>
      <c r="V171"/>
      <c r="W171"/>
      <c r="X171"/>
      <c r="Y171"/>
      <c r="Z171"/>
      <c r="AA171"/>
      <c r="AB171"/>
      <c r="AC171"/>
      <c r="AD171"/>
      <c r="AE171"/>
      <c r="AF171"/>
      <c r="AG171"/>
      <c r="AH171"/>
      <c r="AI171"/>
      <c r="AJ171" s="266"/>
      <c r="AK171" s="266"/>
      <c r="AL171" s="266"/>
      <c r="AM171" s="266"/>
      <c r="AN171" s="266"/>
      <c r="AO171" s="266"/>
      <c r="AP171" s="266"/>
      <c r="AQ171" s="266"/>
      <c r="AR171" s="266"/>
      <c r="AS171" s="266"/>
    </row>
    <row r="172" spans="1:45">
      <c r="A172"/>
      <c r="B172"/>
      <c r="C172"/>
      <c r="D172"/>
      <c r="E172" s="157"/>
      <c r="F172"/>
      <c r="G172"/>
      <c r="H172"/>
      <c r="I172"/>
      <c r="J172"/>
      <c r="K172"/>
      <c r="L172"/>
      <c r="M172"/>
      <c r="N172"/>
      <c r="O172"/>
      <c r="P172"/>
      <c r="Q172"/>
      <c r="R172"/>
      <c r="S172"/>
      <c r="T172"/>
      <c r="U172"/>
      <c r="V172"/>
      <c r="W172"/>
      <c r="X172"/>
      <c r="Y172"/>
      <c r="Z172"/>
      <c r="AA172"/>
      <c r="AB172"/>
      <c r="AC172"/>
      <c r="AD172"/>
      <c r="AE172"/>
      <c r="AF172"/>
      <c r="AG172"/>
      <c r="AH172"/>
      <c r="AI172"/>
      <c r="AJ172" s="266"/>
      <c r="AK172" s="266"/>
      <c r="AL172" s="266"/>
      <c r="AM172" s="266"/>
      <c r="AN172" s="266"/>
      <c r="AO172" s="266"/>
      <c r="AP172" s="266"/>
      <c r="AQ172" s="266"/>
      <c r="AR172" s="266"/>
      <c r="AS172" s="266"/>
    </row>
    <row r="173" spans="1:45">
      <c r="A173"/>
      <c r="B173"/>
      <c r="C173"/>
      <c r="D173"/>
      <c r="E173" s="157"/>
      <c r="F173"/>
      <c r="G173"/>
      <c r="H173"/>
      <c r="I173"/>
      <c r="J173"/>
      <c r="K173"/>
      <c r="L173"/>
      <c r="M173"/>
      <c r="N173"/>
      <c r="O173"/>
      <c r="P173"/>
      <c r="Q173"/>
      <c r="R173"/>
      <c r="S173"/>
      <c r="T173"/>
      <c r="U173"/>
      <c r="V173"/>
      <c r="W173"/>
      <c r="X173"/>
      <c r="Y173"/>
      <c r="Z173"/>
      <c r="AA173"/>
      <c r="AB173"/>
      <c r="AC173"/>
      <c r="AD173"/>
      <c r="AE173"/>
      <c r="AF173"/>
      <c r="AG173"/>
      <c r="AH173"/>
      <c r="AI173"/>
      <c r="AJ173" s="266"/>
      <c r="AK173" s="266"/>
      <c r="AL173" s="266"/>
      <c r="AM173" s="266"/>
      <c r="AN173" s="266"/>
      <c r="AO173" s="266"/>
      <c r="AP173" s="266"/>
      <c r="AQ173" s="266"/>
      <c r="AR173" s="266"/>
      <c r="AS173" s="266"/>
    </row>
    <row r="174" spans="1:45" ht="12.75" customHeight="1"/>
    <row r="175" spans="1:45" ht="12.75" customHeight="1"/>
    <row r="176" spans="1:45"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sheetData>
  <mergeCells count="1">
    <mergeCell ref="B10:G10"/>
  </mergeCells>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tabColor rgb="FF7030A0"/>
    <pageSetUpPr fitToPage="1"/>
  </sheetPr>
  <dimension ref="A1:AR490"/>
  <sheetViews>
    <sheetView zoomScale="70" zoomScaleNormal="70" workbookViewId="0">
      <pane xSplit="10" ySplit="7" topLeftCell="AF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49.375" style="149" customWidth="1"/>
    <col min="6" max="6" width="7.3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625</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675</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675</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675</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62"/>
      <c r="AK11" s="262"/>
      <c r="AL11" s="262"/>
      <c r="AM11" s="262"/>
      <c r="AN11" s="262"/>
      <c r="AO11" s="262"/>
      <c r="AP11" s="262"/>
      <c r="AQ11" s="262"/>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t="s">
        <v>56</v>
      </c>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25"/>
      <c r="AK47" s="325"/>
      <c r="AL47" s="325"/>
      <c r="AM47" s="325"/>
      <c r="AN47" s="325"/>
      <c r="AO47" s="325"/>
      <c r="AP47" s="325"/>
      <c r="AQ47" s="325"/>
    </row>
    <row r="48" spans="2:43" s="157" customFormat="1" ht="15" customHeight="1">
      <c r="E48" s="157" t="s">
        <v>32</v>
      </c>
      <c r="G48" s="157" t="s">
        <v>42</v>
      </c>
      <c r="J48" s="33" t="s">
        <v>56</v>
      </c>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239"/>
      <c r="AK50" s="239"/>
      <c r="AL50" s="239"/>
      <c r="AM50" s="239"/>
      <c r="AN50" s="239"/>
      <c r="AO50" s="239"/>
      <c r="AP50" s="239"/>
      <c r="AQ50" s="239"/>
    </row>
    <row r="51" spans="3:43" s="157" customFormat="1" ht="15" customHeight="1">
      <c r="E51" s="157" t="s">
        <v>9</v>
      </c>
      <c r="G51" s="157" t="s">
        <v>42</v>
      </c>
      <c r="J51" s="33" t="s">
        <v>56</v>
      </c>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248"/>
      <c r="AK51" s="248"/>
      <c r="AL51" s="248"/>
      <c r="AM51" s="248"/>
      <c r="AN51" s="248"/>
      <c r="AO51" s="248"/>
      <c r="AP51" s="248"/>
      <c r="AQ51" s="248"/>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52"/>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238"/>
      <c r="AK64" s="238"/>
      <c r="AL64" s="238"/>
      <c r="AM64" s="238"/>
      <c r="AN64" s="238"/>
      <c r="AO64" s="238"/>
      <c r="AP64" s="238"/>
      <c r="AQ64" s="238"/>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238">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238">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H72"/>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f>
        <v>#REF!</v>
      </c>
      <c r="J76" s="88"/>
      <c r="K76" s="88"/>
      <c r="L76" s="308"/>
      <c r="M76" s="88"/>
      <c r="N76" s="88"/>
      <c r="O76" s="88"/>
      <c r="P76" s="88"/>
      <c r="Q76" s="88"/>
      <c r="R76" s="88"/>
      <c r="S76" s="88"/>
      <c r="T76" s="88"/>
      <c r="U76" s="88"/>
      <c r="V76" s="88"/>
      <c r="W76" s="88"/>
      <c r="X76" s="88"/>
      <c r="Y76" s="88"/>
      <c r="Z76" s="88"/>
      <c r="AI76" s="218"/>
      <c r="AJ76" s="89"/>
    </row>
    <row r="77" spans="1:43" s="19" customFormat="1" ht="15" customHeight="1">
      <c r="E77" s="149" t="s">
        <v>872</v>
      </c>
      <c r="G77" s="195" t="s">
        <v>844</v>
      </c>
      <c r="I77" s="236" t="e">
        <f>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238"/>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238"/>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F95" s="55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F96" s="55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F97" s="559"/>
      <c r="AJ97" s="236"/>
      <c r="AK97" s="236"/>
      <c r="AL97" s="236"/>
      <c r="AM97" s="236"/>
      <c r="AN97" s="236"/>
      <c r="AO97" s="236"/>
      <c r="AP97" s="236"/>
      <c r="AQ97" s="236"/>
    </row>
    <row r="98" spans="4:43" s="309" customFormat="1" ht="15" customHeight="1">
      <c r="E98" s="163" t="str">
        <f>Input!E98</f>
        <v>Non-variant allowed faults</v>
      </c>
      <c r="G98" s="309" t="s">
        <v>844</v>
      </c>
      <c r="I98" s="409"/>
      <c r="AF98" s="559"/>
      <c r="AJ98" s="236"/>
      <c r="AK98" s="236"/>
      <c r="AL98" s="236"/>
      <c r="AM98" s="236"/>
      <c r="AN98" s="236"/>
      <c r="AO98" s="236"/>
      <c r="AP98" s="236"/>
      <c r="AQ98" s="236"/>
    </row>
    <row r="99" spans="4:43" s="309" customFormat="1" ht="15" customHeight="1">
      <c r="E99" s="551" t="s">
        <v>999</v>
      </c>
      <c r="G99" s="309" t="s">
        <v>844</v>
      </c>
      <c r="I99" s="409"/>
      <c r="AF99" s="55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F100" s="55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F101" s="55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52"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52"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52"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52"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52"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52"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52"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152"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52"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52"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52"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52"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J241" s="236"/>
      <c r="AK241" s="236"/>
      <c r="AL241" s="236"/>
      <c r="AM241" s="236"/>
      <c r="AN241" s="236"/>
      <c r="AO241" s="236"/>
      <c r="AP241" s="236"/>
      <c r="AQ241" s="236"/>
    </row>
    <row r="243" spans="5:44"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4" ht="15" customHeight="1">
      <c r="E244" s="149" t="str">
        <f>Input!E244</f>
        <v xml:space="preserve">Other legacy adjustments' price control allowed revenue adjustment                                                                                                            </v>
      </c>
      <c r="G244" s="19" t="s">
        <v>844</v>
      </c>
      <c r="AJ244" s="221"/>
      <c r="AK244" s="221"/>
      <c r="AL244" s="221"/>
      <c r="AM244" s="221"/>
      <c r="AN244" s="221"/>
      <c r="AO244" s="221"/>
      <c r="AP244" s="221"/>
      <c r="AQ244" s="221"/>
    </row>
    <row r="245" spans="5: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4"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4" ht="15" customHeight="1">
      <c r="E248" s="149" t="str">
        <f>Input!E248</f>
        <v>RAV Rolling Incentive legacy adjustments' price control allowed revenue adjustment</v>
      </c>
      <c r="G248" s="498" t="str">
        <f>Input!G248</f>
        <v>£m 12/13 prices</v>
      </c>
      <c r="AJ248" s="221"/>
      <c r="AK248" s="221"/>
      <c r="AL248" s="221"/>
      <c r="AM248" s="221"/>
      <c r="AN248" s="221"/>
      <c r="AO248" s="221"/>
      <c r="AP248" s="221"/>
      <c r="AQ248" s="221"/>
    </row>
    <row r="249" spans="5:44"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4" s="498" customFormat="1" ht="15" customHeight="1">
      <c r="F250" s="19"/>
      <c r="G250" s="19"/>
      <c r="AJ250" s="157"/>
      <c r="AK250" s="157"/>
      <c r="AL250" s="157"/>
      <c r="AM250" s="157"/>
      <c r="AN250" s="157"/>
      <c r="AO250" s="157"/>
      <c r="AP250" s="157"/>
      <c r="AQ250" s="157"/>
    </row>
    <row r="251" spans="5:44" ht="15" customHeight="1">
      <c r="E251" s="149" t="str">
        <f>Input!E251</f>
        <v>Legacy Losses Incentive</v>
      </c>
      <c r="G251" s="19" t="s">
        <v>844</v>
      </c>
      <c r="AJ251" s="236"/>
      <c r="AK251" s="236"/>
      <c r="AL251" s="236"/>
      <c r="AM251" s="236"/>
      <c r="AN251" s="236"/>
      <c r="AO251" s="236"/>
      <c r="AP251" s="236"/>
      <c r="AQ251" s="236"/>
    </row>
    <row r="253" spans="5: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c r="AR253"/>
    </row>
    <row r="254" spans="5: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4" spans="2:43" ht="15" customHeight="1">
      <c r="AJ314" s="498"/>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11</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s="157" customFormat="1" ht="15" customHeight="1">
      <c r="E328" s="30" t="str">
        <f>Input!E328</f>
        <v>Vesting Period</v>
      </c>
      <c r="G328" s="157" t="s">
        <v>241</v>
      </c>
      <c r="I328" s="328">
        <v>33328</v>
      </c>
      <c r="AJ328" s="149"/>
      <c r="AK328" s="149"/>
      <c r="AL328" s="149"/>
      <c r="AM328" s="149"/>
      <c r="AN328" s="149"/>
      <c r="AO328" s="149"/>
      <c r="AP328" s="149"/>
      <c r="AQ328" s="149"/>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340"/>
      <c r="AE347" s="340"/>
      <c r="AF347" s="340"/>
      <c r="AG347" s="340"/>
      <c r="AH347" s="340"/>
      <c r="AI347" s="340"/>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454"/>
      <c r="AI360" s="454"/>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8" spans="5:44" ht="15" customHeight="1">
      <c r="AJ368" s="147"/>
      <c r="AK368" s="147"/>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333"/>
      <c r="AK423" s="333"/>
      <c r="AL423" s="333"/>
      <c r="AM423" s="333"/>
      <c r="AN423" s="333"/>
      <c r="AO423" s="333"/>
      <c r="AP423" s="333"/>
      <c r="AQ423" s="333"/>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42"/>
      <c r="AK424" s="242"/>
      <c r="AL424" s="242"/>
      <c r="AM424" s="242"/>
      <c r="AN424" s="242"/>
      <c r="AO424" s="242"/>
      <c r="AP424" s="242"/>
      <c r="AQ424" s="242"/>
    </row>
    <row r="425" spans="4:43" s="157" customFormat="1" ht="12.75">
      <c r="AJ425" s="239"/>
      <c r="AK425" s="239"/>
      <c r="AL425" s="239"/>
      <c r="AM425" s="239"/>
      <c r="AN425" s="239"/>
      <c r="AO425" s="239"/>
      <c r="AP425" s="239"/>
      <c r="AQ425" s="239"/>
    </row>
    <row r="426" spans="4:43" s="157" customFormat="1" ht="12.75">
      <c r="E426" s="93" t="str">
        <f>Input!E426</f>
        <v>Load Related</v>
      </c>
      <c r="G426" s="157" t="s">
        <v>49</v>
      </c>
      <c r="AJ426" s="246"/>
      <c r="AK426" s="246"/>
      <c r="AL426" s="246"/>
      <c r="AM426" s="246"/>
      <c r="AN426" s="246"/>
      <c r="AO426" s="246"/>
      <c r="AP426" s="246"/>
      <c r="AQ426" s="246"/>
    </row>
    <row r="427" spans="4:43" s="157" customFormat="1" ht="12.75">
      <c r="E427" s="93" t="str">
        <f>Input!E427</f>
        <v>Non-load related capex - asset replacement</v>
      </c>
      <c r="G427" s="157" t="s">
        <v>49</v>
      </c>
      <c r="AJ427" s="246"/>
      <c r="AK427" s="246"/>
      <c r="AL427" s="246"/>
      <c r="AM427" s="246"/>
      <c r="AN427" s="246"/>
      <c r="AO427" s="246"/>
      <c r="AP427" s="246"/>
      <c r="AQ427" s="246"/>
    </row>
    <row r="428" spans="4:43" s="157" customFormat="1" ht="12.75">
      <c r="E428" s="157" t="str">
        <f>Input!E428</f>
        <v>Non-Load Related - other</v>
      </c>
      <c r="G428" s="157" t="s">
        <v>49</v>
      </c>
      <c r="AJ428" s="246"/>
      <c r="AK428" s="246"/>
      <c r="AL428" s="246"/>
      <c r="AM428" s="246"/>
      <c r="AN428" s="246"/>
      <c r="AO428" s="246"/>
      <c r="AP428" s="246"/>
      <c r="AQ428" s="246"/>
    </row>
    <row r="429" spans="4:43" s="157" customFormat="1" ht="12.75">
      <c r="E429" s="157" t="str">
        <f>Input!E429</f>
        <v>Faults</v>
      </c>
      <c r="G429" s="157" t="s">
        <v>49</v>
      </c>
      <c r="AJ429" s="246"/>
      <c r="AK429" s="246"/>
      <c r="AL429" s="246"/>
      <c r="AM429" s="246"/>
      <c r="AN429" s="246"/>
      <c r="AO429" s="246"/>
      <c r="AP429" s="246"/>
      <c r="AQ429" s="246"/>
    </row>
    <row r="430" spans="4:43" s="157" customFormat="1" ht="12.75">
      <c r="E430" s="221" t="s">
        <v>992</v>
      </c>
      <c r="G430" s="157" t="s">
        <v>49</v>
      </c>
      <c r="AJ430" s="246"/>
      <c r="AK430" s="246"/>
      <c r="AL430" s="246"/>
      <c r="AM430" s="246"/>
      <c r="AN430" s="246"/>
      <c r="AO430" s="246"/>
      <c r="AP430" s="246"/>
      <c r="AQ430" s="246"/>
    </row>
    <row r="431" spans="4:43" s="157" customFormat="1" ht="12.75">
      <c r="E431" s="157" t="str">
        <f>Input!E431</f>
        <v>100% ‘revenue pool’ expenditure</v>
      </c>
      <c r="G431" s="157" t="s">
        <v>49</v>
      </c>
      <c r="AJ431" s="246"/>
      <c r="AK431" s="246"/>
      <c r="AL431" s="246"/>
      <c r="AM431" s="246"/>
      <c r="AN431" s="246"/>
      <c r="AO431" s="246"/>
      <c r="AP431" s="246"/>
      <c r="AQ431" s="246"/>
    </row>
    <row r="432" spans="4:43" s="157" customFormat="1" ht="12.75">
      <c r="E432" s="157" t="str">
        <f>Input!E432</f>
        <v>Controllable Opex</v>
      </c>
      <c r="G432" s="157" t="s">
        <v>49</v>
      </c>
      <c r="AJ432" s="246"/>
      <c r="AK432" s="246"/>
      <c r="AL432" s="246"/>
      <c r="AM432" s="246"/>
      <c r="AN432" s="246"/>
      <c r="AO432" s="246"/>
      <c r="AP432" s="246"/>
      <c r="AQ432" s="246"/>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c r="AK436" s="227"/>
      <c r="AL436" s="227"/>
      <c r="AM436" s="227"/>
      <c r="AN436" s="227"/>
      <c r="AO436" s="227"/>
      <c r="AP436" s="227"/>
      <c r="AQ436" s="227"/>
    </row>
    <row r="437" spans="1:43" ht="15" customHeight="1">
      <c r="A437" s="400"/>
      <c r="E437" s="149" t="s">
        <v>579</v>
      </c>
      <c r="G437" s="149" t="s">
        <v>844</v>
      </c>
      <c r="H437" s="362"/>
      <c r="AJ437" s="227"/>
      <c r="AK437" s="227"/>
      <c r="AL437" s="227"/>
      <c r="AM437" s="227"/>
      <c r="AN437" s="227"/>
      <c r="AO437" s="227"/>
      <c r="AP437" s="227"/>
      <c r="AQ437" s="227"/>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c r="E445" s="157"/>
    </row>
    <row r="446" spans="1:43" s="152" customFormat="1" ht="15" customHeight="1">
      <c r="E446" s="157"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238"/>
      <c r="AK452" s="238"/>
      <c r="AL452" s="238"/>
      <c r="AM452" s="238"/>
      <c r="AN452" s="238"/>
      <c r="AO452" s="238"/>
      <c r="AP452" s="238"/>
      <c r="AQ452" s="238"/>
    </row>
    <row r="453" spans="2:43" ht="15" customHeight="1">
      <c r="E453" s="149" t="s">
        <v>813</v>
      </c>
      <c r="AJ453" s="239"/>
      <c r="AK453" s="239"/>
      <c r="AL453" s="239"/>
      <c r="AM453" s="239"/>
      <c r="AN453" s="239"/>
      <c r="AO453" s="239"/>
      <c r="AP453" s="239"/>
      <c r="AQ453" s="239"/>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c r="E463" s="157"/>
    </row>
    <row r="464" spans="2:43" ht="15" customHeight="1">
      <c r="E464" s="498" t="s">
        <v>881</v>
      </c>
      <c r="AJ464" s="236"/>
      <c r="AK464" s="236"/>
      <c r="AL464" s="236"/>
      <c r="AM464" s="236"/>
      <c r="AN464" s="236"/>
      <c r="AO464" s="236"/>
      <c r="AP464" s="236"/>
      <c r="AQ464" s="236"/>
    </row>
    <row r="468" spans="5:43" ht="15" customHeight="1">
      <c r="E468" s="498"/>
      <c r="F468" s="498"/>
      <c r="G468" s="498"/>
      <c r="H468" s="498"/>
      <c r="I468" s="498"/>
      <c r="J468" s="498"/>
      <c r="K468" s="498"/>
      <c r="L468" s="498"/>
      <c r="M468" s="498"/>
      <c r="N468" s="498"/>
      <c r="O468" s="498"/>
      <c r="P468" s="498"/>
      <c r="Q468" s="498"/>
      <c r="R468" s="498"/>
      <c r="S468" s="498"/>
      <c r="T468" s="498"/>
      <c r="U468" s="498"/>
      <c r="V468" s="498"/>
      <c r="W468" s="498"/>
      <c r="X468" s="498"/>
      <c r="Y468" s="498"/>
      <c r="Z468" s="498"/>
      <c r="AA468" s="498"/>
      <c r="AB468" s="498"/>
      <c r="AC468" s="498"/>
      <c r="AD468" s="498"/>
      <c r="AE468" s="498"/>
      <c r="AF468" s="498"/>
      <c r="AG468" s="498"/>
      <c r="AH468" s="498"/>
      <c r="AI468" s="498"/>
      <c r="AJ468" s="498"/>
      <c r="AK468" s="498"/>
      <c r="AL468" s="498"/>
      <c r="AM468" s="498"/>
      <c r="AN468" s="498"/>
      <c r="AO468" s="498"/>
      <c r="AP468" s="498"/>
      <c r="AQ468" s="498"/>
    </row>
    <row r="469" spans="5:43" ht="15" customHeight="1">
      <c r="E469" s="498"/>
      <c r="F469" s="498"/>
      <c r="G469" s="498"/>
      <c r="H469" s="498"/>
      <c r="I469" s="498"/>
      <c r="J469" s="498"/>
      <c r="K469" s="498"/>
      <c r="L469" s="498"/>
      <c r="M469" s="498"/>
      <c r="N469" s="498"/>
      <c r="O469" s="498"/>
      <c r="P469" s="498"/>
      <c r="Q469" s="498"/>
      <c r="R469" s="498"/>
      <c r="S469" s="498"/>
      <c r="T469" s="498"/>
      <c r="U469" s="498"/>
      <c r="V469" s="498"/>
      <c r="W469" s="498"/>
      <c r="X469" s="498"/>
      <c r="Y469" s="498"/>
      <c r="Z469" s="498"/>
      <c r="AA469" s="498"/>
      <c r="AB469" s="498"/>
      <c r="AC469" s="498"/>
      <c r="AD469" s="498"/>
      <c r="AE469" s="498"/>
      <c r="AF469" s="498"/>
      <c r="AG469" s="498"/>
      <c r="AH469" s="498"/>
      <c r="AI469" s="498"/>
      <c r="AJ469" s="498"/>
      <c r="AK469" s="498"/>
      <c r="AL469" s="498"/>
      <c r="AM469" s="498"/>
      <c r="AN469" s="498"/>
      <c r="AO469" s="498"/>
      <c r="AP469" s="498"/>
      <c r="AQ469" s="498"/>
    </row>
    <row r="470" spans="5:43" ht="15" customHeight="1">
      <c r="E470" s="498"/>
      <c r="F470" s="498"/>
      <c r="G470" s="498"/>
      <c r="H470" s="498"/>
      <c r="I470" s="498"/>
      <c r="J470" s="498"/>
      <c r="K470" s="498"/>
      <c r="L470" s="498"/>
      <c r="M470" s="498"/>
      <c r="N470" s="498"/>
      <c r="O470" s="498"/>
      <c r="P470" s="498"/>
      <c r="Q470" s="498"/>
      <c r="R470" s="498"/>
      <c r="S470" s="498"/>
      <c r="T470" s="498"/>
      <c r="U470" s="498"/>
      <c r="V470" s="498"/>
      <c r="W470" s="498"/>
      <c r="X470" s="498"/>
      <c r="Y470" s="498"/>
      <c r="Z470" s="498"/>
      <c r="AA470" s="498"/>
      <c r="AB470" s="498"/>
      <c r="AC470" s="498"/>
      <c r="AD470" s="498"/>
      <c r="AE470" s="498"/>
      <c r="AF470" s="498"/>
      <c r="AG470" s="498"/>
      <c r="AH470" s="498"/>
      <c r="AI470" s="498"/>
      <c r="AJ470" s="498"/>
      <c r="AK470" s="498"/>
      <c r="AL470" s="498"/>
      <c r="AM470" s="498"/>
      <c r="AN470" s="498"/>
      <c r="AO470" s="498"/>
      <c r="AP470" s="498"/>
      <c r="AQ470" s="498"/>
    </row>
    <row r="471" spans="5:43" ht="15" customHeight="1">
      <c r="E471" s="498"/>
      <c r="F471" s="498"/>
      <c r="G471" s="498"/>
      <c r="H471" s="498"/>
      <c r="I471" s="498"/>
      <c r="J471" s="498"/>
      <c r="K471" s="498"/>
      <c r="L471" s="498"/>
      <c r="M471" s="498"/>
      <c r="N471" s="498"/>
      <c r="O471" s="498"/>
      <c r="P471" s="498"/>
      <c r="Q471" s="498"/>
      <c r="R471" s="498"/>
      <c r="S471" s="498"/>
      <c r="T471" s="498"/>
      <c r="U471" s="498"/>
      <c r="V471" s="498"/>
      <c r="W471" s="498"/>
      <c r="X471" s="498"/>
      <c r="Y471" s="498"/>
      <c r="Z471" s="498"/>
      <c r="AA471" s="498"/>
      <c r="AB471" s="498"/>
      <c r="AC471" s="498"/>
      <c r="AD471" s="498"/>
      <c r="AE471" s="498"/>
      <c r="AF471" s="498"/>
      <c r="AG471" s="498"/>
      <c r="AH471" s="498"/>
      <c r="AI471" s="498"/>
      <c r="AJ471" s="498"/>
      <c r="AK471" s="498"/>
      <c r="AL471" s="498"/>
      <c r="AM471" s="498"/>
      <c r="AN471" s="498"/>
      <c r="AO471" s="498"/>
      <c r="AP471" s="498"/>
      <c r="AQ471" s="498"/>
    </row>
    <row r="472" spans="5:43" ht="15" customHeight="1">
      <c r="E472" s="498"/>
      <c r="F472" s="498"/>
      <c r="G472" s="498"/>
      <c r="H472" s="498"/>
      <c r="I472" s="498"/>
      <c r="J472" s="498"/>
      <c r="K472" s="498"/>
      <c r="L472" s="498"/>
      <c r="M472" s="498"/>
      <c r="N472" s="498"/>
      <c r="O472" s="498"/>
      <c r="P472" s="498"/>
      <c r="Q472" s="498"/>
      <c r="R472" s="498"/>
      <c r="S472" s="498"/>
      <c r="T472" s="498"/>
      <c r="U472" s="498"/>
      <c r="V472" s="498"/>
      <c r="W472" s="498"/>
      <c r="X472" s="498"/>
      <c r="Y472" s="498"/>
      <c r="Z472" s="498"/>
      <c r="AA472" s="498"/>
      <c r="AB472" s="498"/>
      <c r="AC472" s="498"/>
      <c r="AD472" s="498"/>
      <c r="AE472" s="498"/>
      <c r="AF472" s="498"/>
      <c r="AG472" s="498"/>
      <c r="AH472" s="498"/>
      <c r="AI472" s="498"/>
      <c r="AJ472" s="498"/>
      <c r="AK472" s="498"/>
      <c r="AL472" s="498"/>
      <c r="AM472" s="498"/>
      <c r="AN472" s="498"/>
      <c r="AO472" s="498"/>
      <c r="AP472" s="498"/>
      <c r="AQ472" s="498"/>
    </row>
    <row r="473" spans="5:43" ht="15" customHeight="1">
      <c r="E473" s="498"/>
      <c r="F473" s="498"/>
      <c r="G473" s="498"/>
      <c r="H473" s="498"/>
      <c r="I473" s="498"/>
      <c r="J473" s="498"/>
      <c r="K473" s="498"/>
      <c r="L473" s="498"/>
      <c r="M473" s="498"/>
      <c r="N473" s="498"/>
      <c r="O473" s="498"/>
      <c r="P473" s="498"/>
      <c r="Q473" s="498"/>
      <c r="R473" s="498"/>
      <c r="S473" s="498"/>
      <c r="T473" s="498"/>
      <c r="U473" s="498"/>
      <c r="V473" s="498"/>
      <c r="W473" s="498"/>
      <c r="X473" s="498"/>
      <c r="Y473" s="498"/>
      <c r="Z473" s="498"/>
      <c r="AA473" s="498"/>
      <c r="AB473" s="498"/>
      <c r="AC473" s="498"/>
      <c r="AD473" s="498"/>
      <c r="AE473" s="498"/>
      <c r="AF473" s="498"/>
      <c r="AG473" s="498"/>
      <c r="AH473" s="498"/>
      <c r="AI473" s="498"/>
      <c r="AJ473" s="498"/>
      <c r="AK473" s="498"/>
      <c r="AL473" s="498"/>
      <c r="AM473" s="498"/>
      <c r="AN473" s="498"/>
      <c r="AO473" s="498"/>
      <c r="AP473" s="498"/>
      <c r="AQ473" s="498"/>
    </row>
    <row r="474" spans="5:43" ht="15" customHeight="1">
      <c r="E474" s="498"/>
      <c r="F474" s="498"/>
      <c r="G474" s="498"/>
      <c r="H474" s="498"/>
      <c r="I474" s="498"/>
      <c r="J474" s="498"/>
      <c r="K474" s="498"/>
      <c r="L474" s="498"/>
      <c r="M474" s="498"/>
      <c r="N474" s="498"/>
      <c r="O474" s="498"/>
      <c r="P474" s="498"/>
      <c r="Q474" s="498"/>
      <c r="R474" s="498"/>
      <c r="S474" s="498"/>
      <c r="T474" s="498"/>
      <c r="U474" s="498"/>
      <c r="V474" s="498"/>
      <c r="W474" s="498"/>
      <c r="X474" s="498"/>
      <c r="Y474" s="498"/>
      <c r="Z474" s="498"/>
      <c r="AA474" s="498"/>
      <c r="AB474" s="498"/>
      <c r="AC474" s="498"/>
      <c r="AD474" s="498"/>
      <c r="AE474" s="498"/>
      <c r="AF474" s="498"/>
      <c r="AG474" s="498"/>
      <c r="AH474" s="498"/>
      <c r="AI474" s="498"/>
      <c r="AJ474" s="498"/>
      <c r="AK474" s="498"/>
      <c r="AL474" s="498"/>
      <c r="AM474" s="498"/>
      <c r="AN474" s="498"/>
      <c r="AO474" s="498"/>
      <c r="AP474" s="498"/>
      <c r="AQ474" s="498"/>
    </row>
    <row r="475" spans="5:43" ht="15" customHeight="1">
      <c r="E475" s="498"/>
      <c r="F475" s="498"/>
      <c r="G475" s="498"/>
      <c r="H475" s="498"/>
      <c r="I475" s="498"/>
      <c r="J475" s="498"/>
      <c r="K475" s="498"/>
      <c r="L475" s="498"/>
      <c r="M475" s="498"/>
      <c r="N475" s="498"/>
      <c r="O475" s="498"/>
      <c r="P475" s="498"/>
      <c r="Q475" s="498"/>
      <c r="R475" s="498"/>
      <c r="S475" s="498"/>
      <c r="T475" s="498"/>
      <c r="U475" s="498"/>
      <c r="V475" s="498"/>
      <c r="W475" s="498"/>
      <c r="X475" s="498"/>
      <c r="Y475" s="498"/>
      <c r="Z475" s="498"/>
      <c r="AA475" s="498"/>
      <c r="AB475" s="498"/>
      <c r="AC475" s="498"/>
      <c r="AD475" s="498"/>
      <c r="AE475" s="498"/>
      <c r="AF475" s="498"/>
      <c r="AG475" s="498"/>
      <c r="AH475" s="498"/>
      <c r="AI475" s="498"/>
      <c r="AJ475" s="498"/>
      <c r="AK475" s="498"/>
      <c r="AL475" s="498"/>
      <c r="AM475" s="498"/>
      <c r="AN475" s="498"/>
      <c r="AO475" s="498"/>
      <c r="AP475" s="498"/>
      <c r="AQ475" s="498"/>
    </row>
    <row r="476" spans="5:43" ht="15" customHeight="1">
      <c r="E476" s="498"/>
      <c r="F476" s="498"/>
      <c r="G476" s="498"/>
      <c r="H476" s="498"/>
      <c r="I476" s="498"/>
      <c r="J476" s="498"/>
      <c r="K476" s="498"/>
      <c r="L476" s="498"/>
      <c r="M476" s="498"/>
      <c r="N476" s="498"/>
      <c r="O476" s="498"/>
      <c r="P476" s="498"/>
      <c r="Q476" s="498"/>
      <c r="R476" s="498"/>
      <c r="S476" s="498"/>
      <c r="T476" s="498"/>
      <c r="U476" s="498"/>
      <c r="V476" s="498"/>
      <c r="W476" s="498"/>
      <c r="X476" s="498"/>
      <c r="Y476" s="498"/>
      <c r="Z476" s="498"/>
      <c r="AA476" s="498"/>
      <c r="AB476" s="498"/>
      <c r="AC476" s="498"/>
      <c r="AD476" s="498"/>
      <c r="AE476" s="498"/>
      <c r="AF476" s="498"/>
      <c r="AG476" s="498"/>
      <c r="AH476" s="498"/>
      <c r="AI476" s="498"/>
      <c r="AJ476" s="498"/>
      <c r="AK476" s="498"/>
      <c r="AL476" s="498"/>
      <c r="AM476" s="498"/>
      <c r="AN476" s="498"/>
      <c r="AO476" s="498"/>
      <c r="AP476" s="498"/>
      <c r="AQ476" s="498"/>
    </row>
    <row r="477" spans="5:43" ht="15" customHeight="1">
      <c r="E477" s="498"/>
      <c r="F477" s="498"/>
      <c r="G477" s="498"/>
      <c r="H477" s="498"/>
      <c r="I477" s="498"/>
      <c r="J477" s="498"/>
      <c r="K477" s="498"/>
      <c r="L477" s="498"/>
      <c r="M477" s="498"/>
      <c r="N477" s="498"/>
      <c r="O477" s="498"/>
      <c r="P477" s="498"/>
      <c r="Q477" s="498"/>
      <c r="R477" s="498"/>
      <c r="S477" s="498"/>
      <c r="T477" s="498"/>
      <c r="U477" s="498"/>
      <c r="V477" s="498"/>
      <c r="W477" s="498"/>
      <c r="X477" s="498"/>
      <c r="Y477" s="498"/>
      <c r="Z477" s="498"/>
      <c r="AA477" s="498"/>
      <c r="AB477" s="498"/>
      <c r="AC477" s="498"/>
      <c r="AD477" s="498"/>
      <c r="AE477" s="498"/>
      <c r="AF477" s="498"/>
      <c r="AG477" s="498"/>
      <c r="AH477" s="498"/>
      <c r="AI477" s="498"/>
      <c r="AJ477" s="498"/>
      <c r="AK477" s="498"/>
      <c r="AL477" s="498"/>
      <c r="AM477" s="498"/>
      <c r="AN477" s="498"/>
      <c r="AO477" s="498"/>
      <c r="AP477" s="498"/>
      <c r="AQ477" s="498"/>
    </row>
    <row r="478" spans="5:43" ht="15" customHeight="1">
      <c r="E478" s="498"/>
      <c r="F478" s="498"/>
      <c r="G478" s="498"/>
      <c r="H478" s="498"/>
      <c r="I478" s="498"/>
      <c r="J478" s="498"/>
      <c r="K478" s="498"/>
      <c r="L478" s="498"/>
      <c r="M478" s="498"/>
      <c r="N478" s="498"/>
      <c r="O478" s="498"/>
      <c r="P478" s="498"/>
      <c r="Q478" s="498"/>
      <c r="R478" s="498"/>
      <c r="S478" s="498"/>
      <c r="T478" s="498"/>
      <c r="U478" s="498"/>
      <c r="V478" s="498"/>
      <c r="W478" s="498"/>
      <c r="X478" s="498"/>
      <c r="Y478" s="498"/>
      <c r="Z478" s="498"/>
      <c r="AA478" s="498"/>
      <c r="AB478" s="498"/>
      <c r="AC478" s="498"/>
      <c r="AD478" s="498"/>
      <c r="AE478" s="498"/>
      <c r="AF478" s="498"/>
      <c r="AG478" s="498"/>
      <c r="AH478" s="498"/>
      <c r="AI478" s="498"/>
      <c r="AJ478" s="498"/>
      <c r="AK478" s="498"/>
      <c r="AL478" s="498"/>
      <c r="AM478" s="498"/>
      <c r="AN478" s="498"/>
      <c r="AO478" s="498"/>
      <c r="AP478" s="498"/>
      <c r="AQ478" s="498"/>
    </row>
    <row r="479" spans="5:43" ht="15" customHeight="1">
      <c r="E479" s="498"/>
      <c r="F479" s="498"/>
      <c r="G479" s="498"/>
      <c r="H479" s="498"/>
      <c r="I479" s="498"/>
      <c r="J479" s="498"/>
      <c r="K479" s="498"/>
      <c r="L479" s="498"/>
      <c r="M479" s="498"/>
      <c r="N479" s="498"/>
      <c r="O479" s="498"/>
      <c r="P479" s="498"/>
      <c r="Q479" s="498"/>
      <c r="R479" s="498"/>
      <c r="S479" s="498"/>
      <c r="T479" s="498"/>
      <c r="U479" s="498"/>
      <c r="V479" s="498"/>
      <c r="W479" s="498"/>
      <c r="X479" s="498"/>
      <c r="Y479" s="498"/>
      <c r="Z479" s="498"/>
      <c r="AA479" s="498"/>
      <c r="AB479" s="498"/>
      <c r="AC479" s="498"/>
      <c r="AD479" s="498"/>
      <c r="AE479" s="498"/>
      <c r="AF479" s="498"/>
      <c r="AG479" s="498"/>
      <c r="AH479" s="498"/>
      <c r="AI479" s="498"/>
      <c r="AJ479" s="498"/>
      <c r="AK479" s="498"/>
      <c r="AL479" s="498"/>
      <c r="AM479" s="498"/>
      <c r="AN479" s="498"/>
      <c r="AO479" s="498"/>
      <c r="AP479" s="498"/>
      <c r="AQ479" s="498"/>
    </row>
    <row r="480" spans="5:43" ht="15" customHeight="1">
      <c r="E480" s="498"/>
      <c r="F480" s="498"/>
      <c r="G480" s="498"/>
      <c r="H480" s="498"/>
      <c r="I480" s="498"/>
      <c r="J480" s="498"/>
      <c r="K480" s="498"/>
      <c r="L480" s="498"/>
      <c r="M480" s="498"/>
      <c r="N480" s="498"/>
      <c r="O480" s="498"/>
      <c r="P480" s="498"/>
      <c r="Q480" s="498"/>
      <c r="R480" s="498"/>
      <c r="S480" s="498"/>
      <c r="T480" s="498"/>
      <c r="U480" s="498"/>
      <c r="V480" s="498"/>
      <c r="W480" s="498"/>
      <c r="X480" s="498"/>
      <c r="Y480" s="498"/>
      <c r="Z480" s="498"/>
      <c r="AA480" s="498"/>
      <c r="AB480" s="498"/>
      <c r="AC480" s="498"/>
      <c r="AD480" s="498"/>
      <c r="AE480" s="498"/>
      <c r="AF480" s="498"/>
      <c r="AG480" s="498"/>
      <c r="AH480" s="498"/>
      <c r="AI480" s="498"/>
      <c r="AJ480" s="498"/>
      <c r="AK480" s="498"/>
      <c r="AL480" s="498"/>
      <c r="AM480" s="498"/>
      <c r="AN480" s="498"/>
      <c r="AO480" s="498"/>
      <c r="AP480" s="498"/>
      <c r="AQ480" s="498"/>
    </row>
    <row r="481" spans="5:43" ht="15" customHeight="1">
      <c r="E481" s="498"/>
      <c r="F481" s="498"/>
      <c r="G481" s="498"/>
      <c r="H481" s="498"/>
      <c r="I481" s="498"/>
      <c r="J481" s="498"/>
      <c r="K481" s="498"/>
      <c r="L481" s="498"/>
      <c r="M481" s="498"/>
      <c r="N481" s="498"/>
      <c r="O481" s="498"/>
      <c r="P481" s="498"/>
      <c r="Q481" s="498"/>
      <c r="R481" s="498"/>
      <c r="S481" s="498"/>
      <c r="T481" s="498"/>
      <c r="U481" s="498"/>
      <c r="V481" s="498"/>
      <c r="W481" s="498"/>
      <c r="X481" s="498"/>
      <c r="Y481" s="498"/>
      <c r="Z481" s="498"/>
      <c r="AA481" s="498"/>
      <c r="AB481" s="498"/>
      <c r="AC481" s="498"/>
      <c r="AD481" s="498"/>
      <c r="AE481" s="498"/>
      <c r="AF481" s="498"/>
      <c r="AG481" s="498"/>
      <c r="AH481" s="498"/>
      <c r="AI481" s="498"/>
      <c r="AJ481" s="498"/>
      <c r="AK481" s="498"/>
      <c r="AL481" s="498"/>
      <c r="AM481" s="498"/>
      <c r="AN481" s="498"/>
      <c r="AO481" s="498"/>
      <c r="AP481" s="498"/>
      <c r="AQ481" s="498"/>
    </row>
    <row r="482" spans="5:43" ht="15" customHeight="1">
      <c r="E482" s="498"/>
      <c r="F482" s="498"/>
      <c r="G482" s="498"/>
      <c r="H482" s="498"/>
      <c r="I482" s="498"/>
      <c r="J482" s="498"/>
      <c r="K482" s="498"/>
      <c r="L482" s="498"/>
      <c r="M482" s="498"/>
      <c r="N482" s="498"/>
      <c r="O482" s="498"/>
      <c r="P482" s="498"/>
      <c r="Q482" s="498"/>
      <c r="R482" s="498"/>
      <c r="S482" s="498"/>
      <c r="T482" s="498"/>
      <c r="U482" s="498"/>
      <c r="V482" s="498"/>
      <c r="W482" s="498"/>
      <c r="X482" s="498"/>
      <c r="Y482" s="498"/>
      <c r="Z482" s="498"/>
      <c r="AA482" s="498"/>
      <c r="AB482" s="498"/>
      <c r="AC482" s="498"/>
      <c r="AD482" s="498"/>
      <c r="AE482" s="498"/>
      <c r="AF482" s="498"/>
      <c r="AG482" s="498"/>
      <c r="AH482" s="498"/>
      <c r="AI482" s="498"/>
      <c r="AJ482" s="498"/>
      <c r="AK482" s="498"/>
      <c r="AL482" s="498"/>
      <c r="AM482" s="498"/>
      <c r="AN482" s="498"/>
      <c r="AO482" s="498"/>
      <c r="AP482" s="498"/>
      <c r="AQ482" s="498"/>
    </row>
    <row r="483" spans="5:43" ht="15" customHeight="1">
      <c r="E483" s="498"/>
      <c r="F483" s="498"/>
      <c r="G483" s="498"/>
      <c r="H483" s="498"/>
      <c r="I483" s="498"/>
      <c r="J483" s="498"/>
      <c r="K483" s="498"/>
      <c r="L483" s="498"/>
      <c r="M483" s="498"/>
      <c r="N483" s="498"/>
      <c r="O483" s="498"/>
      <c r="P483" s="498"/>
      <c r="Q483" s="498"/>
      <c r="R483" s="498"/>
      <c r="S483" s="498"/>
      <c r="T483" s="498"/>
      <c r="U483" s="498"/>
      <c r="V483" s="498"/>
      <c r="W483" s="498"/>
      <c r="X483" s="498"/>
      <c r="Y483" s="498"/>
      <c r="Z483" s="498"/>
      <c r="AA483" s="498"/>
      <c r="AB483" s="498"/>
      <c r="AC483" s="498"/>
      <c r="AD483" s="498"/>
      <c r="AE483" s="498"/>
      <c r="AF483" s="498"/>
      <c r="AG483" s="498"/>
      <c r="AH483" s="498"/>
      <c r="AI483" s="498"/>
      <c r="AJ483" s="498"/>
      <c r="AK483" s="498"/>
      <c r="AL483" s="498"/>
      <c r="AM483" s="498"/>
      <c r="AN483" s="498"/>
      <c r="AO483" s="498"/>
      <c r="AP483" s="498"/>
      <c r="AQ483" s="498"/>
    </row>
    <row r="484" spans="5:43" ht="15" customHeight="1">
      <c r="E484" s="557"/>
      <c r="F484" s="498"/>
      <c r="G484" s="498"/>
      <c r="H484" s="498"/>
      <c r="I484" s="498"/>
      <c r="J484" s="498"/>
      <c r="K484" s="498"/>
      <c r="L484" s="498"/>
      <c r="M484" s="498"/>
      <c r="N484" s="498"/>
      <c r="O484" s="498"/>
      <c r="P484" s="498"/>
      <c r="Q484" s="498"/>
      <c r="R484" s="498"/>
      <c r="S484" s="498"/>
      <c r="T484" s="498"/>
      <c r="U484" s="498"/>
      <c r="V484" s="498"/>
      <c r="W484" s="498"/>
      <c r="X484" s="498"/>
      <c r="Y484" s="498"/>
      <c r="Z484" s="498"/>
      <c r="AA484" s="498"/>
      <c r="AB484" s="498"/>
      <c r="AC484" s="498"/>
      <c r="AD484" s="498"/>
      <c r="AE484" s="498"/>
      <c r="AF484" s="498"/>
      <c r="AG484" s="498"/>
      <c r="AH484" s="498"/>
      <c r="AI484" s="498"/>
      <c r="AJ484" s="563"/>
      <c r="AK484" s="563"/>
      <c r="AL484" s="563"/>
      <c r="AM484" s="563"/>
      <c r="AN484" s="563"/>
      <c r="AO484" s="563"/>
      <c r="AP484" s="563"/>
      <c r="AQ484" s="563"/>
    </row>
    <row r="485" spans="5:43" ht="15" customHeight="1">
      <c r="E485" s="557"/>
      <c r="F485" s="498"/>
      <c r="G485" s="498"/>
      <c r="H485" s="498"/>
      <c r="I485" s="498"/>
      <c r="J485" s="498"/>
      <c r="K485" s="498"/>
      <c r="L485" s="498"/>
      <c r="M485" s="498"/>
      <c r="N485" s="498"/>
      <c r="O485" s="498"/>
      <c r="P485" s="498"/>
      <c r="Q485" s="498"/>
      <c r="R485" s="498"/>
      <c r="S485" s="498"/>
      <c r="T485" s="498"/>
      <c r="U485" s="498"/>
      <c r="V485" s="498"/>
      <c r="W485" s="498"/>
      <c r="X485" s="498"/>
      <c r="Y485" s="498"/>
      <c r="Z485" s="498"/>
      <c r="AA485" s="498"/>
      <c r="AB485" s="498"/>
      <c r="AC485" s="498"/>
      <c r="AD485" s="498"/>
      <c r="AE485" s="498"/>
      <c r="AF485" s="498"/>
      <c r="AG485" s="498"/>
      <c r="AH485" s="498"/>
      <c r="AI485" s="498"/>
      <c r="AJ485" s="563"/>
      <c r="AK485" s="563"/>
      <c r="AL485" s="563"/>
      <c r="AM485" s="563"/>
      <c r="AN485" s="563"/>
      <c r="AO485" s="563"/>
      <c r="AP485" s="563"/>
      <c r="AQ485" s="563"/>
    </row>
    <row r="486" spans="5:43" ht="15" customHeight="1">
      <c r="E486" s="557"/>
      <c r="F486" s="498"/>
      <c r="G486" s="498"/>
      <c r="H486" s="498"/>
      <c r="I486" s="498"/>
      <c r="J486" s="498"/>
      <c r="K486" s="498"/>
      <c r="L486" s="498"/>
      <c r="M486" s="498"/>
      <c r="N486" s="498"/>
      <c r="O486" s="498"/>
      <c r="P486" s="498"/>
      <c r="Q486" s="498"/>
      <c r="R486" s="498"/>
      <c r="S486" s="498"/>
      <c r="T486" s="498"/>
      <c r="U486" s="498"/>
      <c r="V486" s="498"/>
      <c r="W486" s="498"/>
      <c r="X486" s="498"/>
      <c r="Y486" s="498"/>
      <c r="Z486" s="498"/>
      <c r="AA486" s="498"/>
      <c r="AB486" s="498"/>
      <c r="AC486" s="498"/>
      <c r="AD486" s="498"/>
      <c r="AE486" s="498"/>
      <c r="AF486" s="498"/>
      <c r="AG486" s="498"/>
      <c r="AH486" s="498"/>
      <c r="AI486" s="498"/>
      <c r="AJ486" s="563"/>
      <c r="AK486" s="563"/>
      <c r="AL486" s="563"/>
      <c r="AM486" s="563"/>
      <c r="AN486" s="563"/>
      <c r="AO486" s="563"/>
      <c r="AP486" s="563"/>
      <c r="AQ486" s="563"/>
    </row>
    <row r="487" spans="5:43" ht="15" customHeight="1">
      <c r="E487" s="557"/>
      <c r="F487" s="498"/>
      <c r="G487" s="498"/>
      <c r="H487" s="498"/>
      <c r="I487" s="498"/>
      <c r="J487" s="498"/>
      <c r="K487" s="498"/>
      <c r="L487" s="498"/>
      <c r="M487" s="498"/>
      <c r="N487" s="498"/>
      <c r="O487" s="498"/>
      <c r="P487" s="498"/>
      <c r="Q487" s="498"/>
      <c r="R487" s="498"/>
      <c r="S487" s="498"/>
      <c r="T487" s="498"/>
      <c r="U487" s="498"/>
      <c r="V487" s="498"/>
      <c r="W487" s="498"/>
      <c r="X487" s="498"/>
      <c r="Y487" s="498"/>
      <c r="Z487" s="498"/>
      <c r="AA487" s="498"/>
      <c r="AB487" s="498"/>
      <c r="AC487" s="498"/>
      <c r="AD487" s="498"/>
      <c r="AE487" s="498"/>
      <c r="AF487" s="498"/>
      <c r="AG487" s="498"/>
      <c r="AH487" s="498"/>
      <c r="AI487" s="498"/>
      <c r="AJ487" s="563"/>
      <c r="AK487" s="563"/>
      <c r="AL487" s="563"/>
      <c r="AM487" s="563"/>
      <c r="AN487" s="563"/>
      <c r="AO487" s="563"/>
      <c r="AP487" s="563"/>
      <c r="AQ487" s="563"/>
    </row>
    <row r="488" spans="5:43" ht="15" customHeight="1">
      <c r="E488" s="557"/>
      <c r="F488" s="498"/>
      <c r="G488" s="498"/>
      <c r="H488" s="498"/>
      <c r="I488" s="498"/>
      <c r="J488" s="498"/>
      <c r="K488" s="498"/>
      <c r="L488" s="498"/>
      <c r="M488" s="498"/>
      <c r="N488" s="498"/>
      <c r="O488" s="498"/>
      <c r="P488" s="498"/>
      <c r="Q488" s="498"/>
      <c r="R488" s="498"/>
      <c r="S488" s="498"/>
      <c r="T488" s="498"/>
      <c r="U488" s="498"/>
      <c r="V488" s="498"/>
      <c r="W488" s="498"/>
      <c r="X488" s="498"/>
      <c r="Y488" s="498"/>
      <c r="Z488" s="498"/>
      <c r="AA488" s="498"/>
      <c r="AB488" s="498"/>
      <c r="AC488" s="498"/>
      <c r="AD488" s="498"/>
      <c r="AE488" s="498"/>
      <c r="AF488" s="498"/>
      <c r="AG488" s="498"/>
      <c r="AH488" s="498"/>
      <c r="AI488" s="498"/>
      <c r="AJ488" s="563"/>
      <c r="AK488" s="563"/>
      <c r="AL488" s="563"/>
      <c r="AM488" s="563"/>
      <c r="AN488" s="563"/>
      <c r="AO488" s="563"/>
      <c r="AP488" s="563"/>
      <c r="AQ488" s="563"/>
    </row>
    <row r="489" spans="5:43" ht="15" customHeight="1">
      <c r="E489" s="557"/>
      <c r="F489" s="498"/>
      <c r="G489" s="498"/>
      <c r="H489" s="498"/>
      <c r="I489" s="498"/>
      <c r="J489" s="498"/>
      <c r="K489" s="498"/>
      <c r="L489" s="498"/>
      <c r="M489" s="498"/>
      <c r="N489" s="498"/>
      <c r="O489" s="498"/>
      <c r="P489" s="498"/>
      <c r="Q489" s="498"/>
      <c r="R489" s="498"/>
      <c r="S489" s="498"/>
      <c r="T489" s="498"/>
      <c r="U489" s="498"/>
      <c r="V489" s="498"/>
      <c r="W489" s="498"/>
      <c r="X489" s="498"/>
      <c r="Y489" s="498"/>
      <c r="Z489" s="498"/>
      <c r="AA489" s="498"/>
      <c r="AB489" s="498"/>
      <c r="AC489" s="498"/>
      <c r="AD489" s="498"/>
      <c r="AE489" s="498"/>
      <c r="AF489" s="498"/>
      <c r="AG489" s="498"/>
      <c r="AH489" s="498"/>
      <c r="AI489" s="498"/>
      <c r="AJ489" s="563"/>
      <c r="AK489" s="563"/>
      <c r="AL489" s="563"/>
      <c r="AM489" s="563"/>
      <c r="AN489" s="563"/>
      <c r="AO489" s="563"/>
      <c r="AP489" s="563"/>
      <c r="AQ489" s="563"/>
    </row>
    <row r="490" spans="5:43" ht="15" customHeight="1">
      <c r="E490" s="557"/>
      <c r="F490" s="498"/>
      <c r="G490" s="498"/>
      <c r="H490" s="498"/>
      <c r="I490" s="498"/>
      <c r="J490" s="498"/>
      <c r="K490" s="498"/>
      <c r="L490" s="498"/>
      <c r="M490" s="498"/>
      <c r="N490" s="498"/>
      <c r="O490" s="498"/>
      <c r="P490" s="498"/>
      <c r="Q490" s="498"/>
      <c r="R490" s="498"/>
      <c r="S490" s="498"/>
      <c r="T490" s="498"/>
      <c r="U490" s="498"/>
      <c r="V490" s="498"/>
      <c r="W490" s="498"/>
      <c r="X490" s="498"/>
      <c r="Y490" s="498"/>
      <c r="Z490" s="498"/>
      <c r="AA490" s="498"/>
      <c r="AB490" s="498"/>
      <c r="AC490" s="498"/>
      <c r="AD490" s="498"/>
      <c r="AE490" s="498"/>
      <c r="AF490" s="498"/>
      <c r="AG490" s="498"/>
      <c r="AH490" s="498"/>
      <c r="AI490" s="498"/>
      <c r="AJ490" s="563"/>
      <c r="AK490" s="563"/>
      <c r="AL490" s="563"/>
      <c r="AM490" s="563"/>
      <c r="AN490" s="563"/>
      <c r="AO490" s="563"/>
      <c r="AP490" s="563"/>
      <c r="AQ490" s="563"/>
    </row>
  </sheetData>
  <conditionalFormatting sqref="AJ426:AQ432">
    <cfRule type="cellIs" dxfId="27" priority="4" operator="lessThan">
      <formula>1</formula>
    </cfRule>
    <cfRule type="cellIs" dxfId="26" priority="5" operator="greaterThan">
      <formula>1</formula>
    </cfRule>
  </conditionalFormatting>
  <pageMargins left="0.23622047244094491" right="0.23622047244094491" top="0.74803149606299213" bottom="0.74803149606299213" header="0.31496062992125984" footer="0.31496062992125984"/>
  <pageSetup paperSize="8" scale="26" fitToHeight="0" orientation="portrait" r:id="rId1"/>
  <headerFooter>
    <oddFooter>&amp;LDraft at &amp;D&amp;C&amp;P of &amp;N&amp;R"&amp;A" sheet</oddFoot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tabColor rgb="FF7030A0"/>
    <pageSetUpPr fitToPage="1"/>
  </sheetPr>
  <dimension ref="A1:BV490"/>
  <sheetViews>
    <sheetView zoomScale="70" zoomScaleNormal="70" workbookViewId="0">
      <pane xSplit="10" ySplit="7" topLeftCell="BK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12.3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626</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676</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696</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696</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t="s">
        <v>56</v>
      </c>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t="s">
        <v>56</v>
      </c>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t="s">
        <v>56</v>
      </c>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v>0.625</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v>0.625</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260"/>
      <c r="AL65" s="260"/>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NPgY!I73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NPgY!I74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7" s="309" customFormat="1" ht="15" customHeight="1">
      <c r="E209" s="553" t="s">
        <v>994</v>
      </c>
      <c r="G209" s="309" t="s">
        <v>49</v>
      </c>
      <c r="I209" s="409"/>
      <c r="AJ209" s="238"/>
      <c r="AK209" s="238"/>
      <c r="AL209" s="238"/>
      <c r="AM209" s="238"/>
      <c r="AN209" s="238"/>
      <c r="AO209" s="238"/>
      <c r="AP209" s="238"/>
      <c r="AQ209" s="238"/>
    </row>
    <row r="210" spans="4:47"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7" s="309" customFormat="1" ht="15" customHeight="1">
      <c r="E211" s="410" t="str">
        <f>Input!E211</f>
        <v>Allocation to controllable opex</v>
      </c>
      <c r="G211" s="309" t="s">
        <v>49</v>
      </c>
      <c r="I211" s="409"/>
      <c r="AJ211" s="238"/>
      <c r="AK211" s="238"/>
      <c r="AL211" s="238"/>
      <c r="AM211" s="238"/>
      <c r="AN211" s="238"/>
      <c r="AO211" s="238"/>
      <c r="AP211" s="238"/>
      <c r="AQ211" s="238"/>
    </row>
    <row r="212" spans="4:47" s="309" customFormat="1" ht="15" customHeight="1">
      <c r="E212" s="163"/>
      <c r="I212" s="409"/>
      <c r="AJ212" s="147"/>
      <c r="AK212" s="147"/>
      <c r="AL212" s="147"/>
      <c r="AM212" s="147"/>
      <c r="AN212" s="147"/>
      <c r="AO212" s="147"/>
      <c r="AP212" s="147"/>
      <c r="AQ212" s="147"/>
    </row>
    <row r="213" spans="4:47"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7"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7"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7" s="309" customFormat="1" ht="15" customHeight="1">
      <c r="E216" s="163" t="str">
        <f>Input!E216</f>
        <v>Variant allowed faults</v>
      </c>
      <c r="G216" s="309" t="s">
        <v>844</v>
      </c>
      <c r="I216" s="409"/>
      <c r="AJ216" s="152"/>
      <c r="AK216" s="152"/>
      <c r="AL216" s="152"/>
      <c r="AM216" s="152"/>
      <c r="AN216" s="152"/>
      <c r="AO216" s="152"/>
      <c r="AP216" s="152"/>
      <c r="AQ216" s="152"/>
    </row>
    <row r="217" spans="4:47" s="309" customFormat="1" ht="15" customHeight="1">
      <c r="E217" s="551" t="s">
        <v>995</v>
      </c>
      <c r="G217" s="309" t="s">
        <v>844</v>
      </c>
      <c r="I217" s="409"/>
      <c r="AJ217" s="152"/>
      <c r="AK217" s="152"/>
      <c r="AL217" s="152"/>
      <c r="AM217" s="152"/>
      <c r="AN217" s="152"/>
      <c r="AO217" s="152"/>
      <c r="AP217" s="152"/>
      <c r="AQ217" s="152"/>
    </row>
    <row r="218" spans="4:47"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7" s="309" customFormat="1" ht="15" customHeight="1">
      <c r="E219" s="163" t="str">
        <f>Input!E219</f>
        <v>Variant allowed controllable opex</v>
      </c>
      <c r="G219" s="309" t="s">
        <v>844</v>
      </c>
      <c r="I219" s="409"/>
      <c r="AJ219" s="152"/>
      <c r="AK219" s="152"/>
      <c r="AL219" s="152"/>
      <c r="AM219" s="152"/>
      <c r="AN219" s="152"/>
      <c r="AO219" s="152"/>
      <c r="AP219" s="152"/>
      <c r="AQ219" s="152"/>
    </row>
    <row r="220" spans="4:47" s="309" customFormat="1" ht="15" customHeight="1">
      <c r="E220" s="149"/>
      <c r="I220" s="409"/>
    </row>
    <row r="221" spans="4:47"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7" s="309" customFormat="1" ht="15" customHeight="1">
      <c r="I222" s="409"/>
    </row>
    <row r="223" spans="4:47" s="163" customFormat="1" ht="15" customHeight="1">
      <c r="E223" s="309" t="str">
        <f>Input!E223</f>
        <v>Actual load related capex</v>
      </c>
      <c r="G223" s="309" t="s">
        <v>844</v>
      </c>
      <c r="AJ223" s="221"/>
      <c r="AK223" s="221"/>
      <c r="AL223" s="221"/>
      <c r="AM223" s="221"/>
      <c r="AN223" s="221"/>
      <c r="AO223" s="221"/>
      <c r="AP223" s="221"/>
      <c r="AQ223" s="221"/>
      <c r="AR223" s="369"/>
      <c r="AS223" s="369"/>
      <c r="AT223" s="369"/>
      <c r="AU223" s="369"/>
    </row>
    <row r="224" spans="4:47" s="163" customFormat="1" ht="15" customHeight="1">
      <c r="E224" s="56" t="str">
        <f>Input!E224</f>
        <v>Actual non-load related capex - asset replacement</v>
      </c>
      <c r="G224" s="309" t="s">
        <v>844</v>
      </c>
      <c r="AJ224" s="221"/>
      <c r="AK224" s="221"/>
      <c r="AL224" s="221"/>
      <c r="AM224" s="221"/>
      <c r="AN224" s="221"/>
      <c r="AO224" s="221"/>
      <c r="AP224" s="221"/>
      <c r="AQ224" s="221"/>
      <c r="AR224" s="369"/>
      <c r="AS224" s="369"/>
      <c r="AT224" s="369"/>
      <c r="AU224" s="369"/>
    </row>
    <row r="225" spans="2:74" s="163" customFormat="1" ht="15" customHeight="1">
      <c r="E225" s="309" t="str">
        <f>Input!E225</f>
        <v>Actual non-load related capex - other</v>
      </c>
      <c r="G225" s="309" t="s">
        <v>844</v>
      </c>
      <c r="AJ225" s="221"/>
      <c r="AK225" s="221"/>
      <c r="AL225" s="221"/>
      <c r="AM225" s="221"/>
      <c r="AN225" s="221"/>
      <c r="AO225" s="221"/>
      <c r="AP225" s="221"/>
      <c r="AQ225" s="221"/>
      <c r="AR225" s="369"/>
      <c r="AS225" s="369"/>
      <c r="AT225" s="369"/>
      <c r="AU225" s="369"/>
    </row>
    <row r="226" spans="2:74" s="163" customFormat="1" ht="15" customHeight="1">
      <c r="E226" s="309" t="str">
        <f>Input!E226</f>
        <v>Actual faults</v>
      </c>
      <c r="G226" s="309" t="s">
        <v>844</v>
      </c>
      <c r="AJ226" s="221"/>
      <c r="AK226" s="221"/>
      <c r="AL226" s="221"/>
      <c r="AM226" s="221"/>
      <c r="AN226" s="221"/>
      <c r="AO226" s="221"/>
      <c r="AP226" s="221"/>
      <c r="AQ226" s="221"/>
      <c r="AR226" s="369"/>
      <c r="AS226" s="369"/>
      <c r="AT226" s="369"/>
      <c r="AU226" s="369"/>
    </row>
    <row r="227" spans="2:74" s="163" customFormat="1" ht="15" customHeight="1">
      <c r="E227" s="554" t="s">
        <v>996</v>
      </c>
      <c r="G227" s="309"/>
      <c r="AJ227" s="221"/>
      <c r="AK227" s="221"/>
      <c r="AL227" s="221"/>
      <c r="AM227" s="221"/>
      <c r="AN227" s="221"/>
      <c r="AO227" s="221"/>
      <c r="AP227" s="221"/>
      <c r="AQ227" s="221"/>
      <c r="AR227" s="369"/>
      <c r="AS227" s="369"/>
      <c r="AT227" s="369"/>
      <c r="AU227" s="369"/>
    </row>
    <row r="228" spans="2:74" s="163" customFormat="1" ht="15" customHeight="1">
      <c r="E228" s="309" t="str">
        <f>Input!E228</f>
        <v>Actual 100% ‘revenue pool’ expenditure</v>
      </c>
      <c r="G228" s="309" t="s">
        <v>844</v>
      </c>
      <c r="AJ228" s="221"/>
      <c r="AK228" s="221"/>
      <c r="AL228" s="221"/>
      <c r="AM228" s="221"/>
      <c r="AN228" s="221"/>
      <c r="AO228" s="221"/>
      <c r="AP228" s="221"/>
      <c r="AQ228" s="221"/>
      <c r="AR228" s="369"/>
      <c r="AS228" s="369"/>
      <c r="AT228" s="369"/>
      <c r="AU228" s="369"/>
    </row>
    <row r="229" spans="2:74" s="163" customFormat="1" ht="15" customHeight="1">
      <c r="E229" s="411" t="str">
        <f>Input!E229</f>
        <v>Actual controllable opex</v>
      </c>
      <c r="G229" s="309" t="s">
        <v>844</v>
      </c>
      <c r="AJ229" s="221"/>
      <c r="AK229" s="221"/>
      <c r="AL229" s="221"/>
      <c r="AM229" s="221"/>
      <c r="AN229" s="221"/>
      <c r="AO229" s="221"/>
      <c r="AP229" s="221"/>
      <c r="AQ229" s="221"/>
      <c r="AR229" s="369"/>
      <c r="AS229" s="369"/>
      <c r="AT229" s="369"/>
      <c r="AU229" s="369"/>
    </row>
    <row r="230" spans="2:74" s="147" customFormat="1" ht="15" customHeight="1">
      <c r="J230" s="31"/>
      <c r="K230" s="31"/>
      <c r="L230" s="31"/>
      <c r="M230" s="31"/>
      <c r="N230" s="31"/>
      <c r="O230" s="31"/>
      <c r="P230" s="31"/>
      <c r="Q230" s="31"/>
      <c r="R230" s="31"/>
      <c r="S230" s="31"/>
      <c r="T230" s="31"/>
      <c r="U230" s="31"/>
      <c r="V230" s="31"/>
      <c r="W230" s="31"/>
      <c r="X230" s="31"/>
      <c r="Y230" s="31"/>
      <c r="Z230" s="31"/>
    </row>
    <row r="231" spans="2:7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74" s="147" customFormat="1" ht="15" customHeight="1">
      <c r="J232" s="31"/>
      <c r="K232" s="31"/>
      <c r="L232" s="31"/>
      <c r="M232" s="31"/>
      <c r="N232" s="31"/>
      <c r="O232" s="31"/>
      <c r="P232" s="31"/>
      <c r="Q232" s="31"/>
      <c r="R232" s="31"/>
      <c r="S232" s="31"/>
      <c r="T232" s="31"/>
      <c r="U232" s="31"/>
      <c r="V232" s="31"/>
      <c r="W232" s="31"/>
      <c r="X232" s="31"/>
      <c r="Y232" s="31"/>
      <c r="Z232" s="31"/>
    </row>
    <row r="233" spans="2:7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7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74" ht="15" customHeight="1">
      <c r="E235" s="19" t="s">
        <v>108</v>
      </c>
      <c r="G235" s="19" t="s">
        <v>844</v>
      </c>
      <c r="AJ235" s="167"/>
      <c r="AK235" s="167"/>
      <c r="AL235" s="167"/>
      <c r="AM235" s="167"/>
      <c r="AN235" s="167"/>
      <c r="AO235" s="167"/>
      <c r="AP235" s="167"/>
      <c r="AQ235" s="167"/>
    </row>
    <row r="236" spans="2:74" s="147" customFormat="1" ht="15" customHeight="1">
      <c r="J236" s="31"/>
      <c r="K236" s="31"/>
      <c r="L236" s="31"/>
      <c r="M236" s="31"/>
      <c r="N236" s="31"/>
      <c r="O236" s="31"/>
      <c r="P236" s="31"/>
      <c r="Q236" s="31"/>
      <c r="R236" s="31"/>
      <c r="S236" s="31"/>
      <c r="T236" s="31"/>
      <c r="U236" s="31"/>
      <c r="V236" s="31"/>
      <c r="W236" s="31"/>
      <c r="X236" s="31"/>
      <c r="Y236" s="31"/>
      <c r="Z236" s="31"/>
    </row>
    <row r="237" spans="2:7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7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c r="AS239" s="157"/>
      <c r="AT239" s="157"/>
      <c r="AU239" s="157"/>
      <c r="AV239" s="157"/>
      <c r="AW239" s="157"/>
      <c r="AX239" s="157"/>
      <c r="AY239" s="157"/>
      <c r="AZ239" s="157"/>
      <c r="BA239" s="157"/>
      <c r="BB239" s="157"/>
      <c r="BC239" s="157"/>
      <c r="BD239" s="157"/>
      <c r="BE239" s="157"/>
      <c r="BF239" s="157"/>
      <c r="BG239" s="157"/>
      <c r="BH239" s="157"/>
      <c r="BI239" s="157"/>
      <c r="BJ239" s="157"/>
      <c r="BK239" s="157"/>
      <c r="BL239" s="157"/>
      <c r="BM239" s="157"/>
      <c r="BN239" s="157"/>
      <c r="BO239" s="157"/>
      <c r="BP239" s="157"/>
      <c r="BQ239" s="157"/>
      <c r="BR239" s="157"/>
      <c r="BS239" s="157"/>
      <c r="BT239" s="157"/>
      <c r="BU239" s="157"/>
      <c r="BV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14</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5"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5"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5" ht="15" customHeight="1">
      <c r="E340" s="149" t="str">
        <f>E36</f>
        <v>Tax liability revenue allowance adjustments - gearing / debt interest costs</v>
      </c>
      <c r="G340" s="195" t="s">
        <v>27</v>
      </c>
      <c r="AJ340" s="221"/>
      <c r="AK340" s="221"/>
      <c r="AL340" s="221"/>
      <c r="AM340" s="221"/>
      <c r="AN340" s="221"/>
      <c r="AO340" s="221"/>
      <c r="AP340" s="221"/>
      <c r="AQ340" s="221"/>
    </row>
    <row r="341" spans="3:45"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5"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5" ht="15" customHeight="1">
      <c r="AJ344" s="330"/>
      <c r="AK344" s="330"/>
      <c r="AL344" s="330"/>
      <c r="AM344" s="330"/>
      <c r="AN344" s="330"/>
      <c r="AO344" s="330"/>
      <c r="AP344" s="330"/>
      <c r="AQ344" s="330"/>
    </row>
    <row r="345" spans="3:45"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5"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5"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5"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5"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c r="AS351" s="157"/>
    </row>
    <row r="352" spans="3:45"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c r="AS352" s="157"/>
    </row>
    <row r="353" spans="5:6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c r="AS353" s="157"/>
    </row>
    <row r="354" spans="5:6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c r="AS354" s="157"/>
    </row>
    <row r="355" spans="5:6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c r="AS355" s="157"/>
    </row>
    <row r="356" spans="5:6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c r="AS356" s="157"/>
    </row>
    <row r="357" spans="5:6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c r="AS357" s="157"/>
    </row>
    <row r="358" spans="5:6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6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c r="AS359" s="157"/>
    </row>
    <row r="360" spans="5:6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c r="AS360" s="157"/>
    </row>
    <row r="361" spans="5:6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c r="AS361" s="157"/>
    </row>
    <row r="362" spans="5:6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c r="AS362" s="157"/>
    </row>
    <row r="363" spans="5:6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c r="AS363" s="157"/>
    </row>
    <row r="364" spans="5:6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c r="AS364" s="157"/>
    </row>
    <row r="365" spans="5:6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c r="AS365" s="157"/>
    </row>
    <row r="366" spans="5:6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c r="AS366" s="157"/>
    </row>
    <row r="367" spans="5:64" s="195" customFormat="1" ht="15" customHeight="1">
      <c r="E367" s="157" t="s">
        <v>115</v>
      </c>
      <c r="G367" s="195" t="s">
        <v>27</v>
      </c>
      <c r="AH367" s="236"/>
      <c r="AJ367" s="149"/>
      <c r="BL367" s="115"/>
    </row>
    <row r="369" spans="3:44"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4"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4"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4"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4"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4" s="157" customFormat="1" ht="12.75">
      <c r="AJ374" s="2"/>
    </row>
    <row r="375" spans="3:44" s="157" customFormat="1" ht="12.75">
      <c r="E375" s="93" t="str">
        <f>Input!E375</f>
        <v>Load Related</v>
      </c>
      <c r="G375" s="157" t="s">
        <v>49</v>
      </c>
      <c r="AJ375" s="329"/>
      <c r="AK375" s="329"/>
      <c r="AL375" s="329"/>
      <c r="AM375" s="329"/>
      <c r="AN375" s="329"/>
      <c r="AO375" s="329"/>
      <c r="AP375" s="329"/>
      <c r="AQ375" s="329"/>
    </row>
    <row r="376" spans="3:44" s="157" customFormat="1" ht="12.75">
      <c r="E376" s="93" t="str">
        <f>Input!E376</f>
        <v>Non-load related capex - asset replacement</v>
      </c>
      <c r="G376" s="157" t="s">
        <v>49</v>
      </c>
      <c r="AJ376" s="329"/>
      <c r="AK376" s="329"/>
      <c r="AL376" s="329"/>
      <c r="AM376" s="329"/>
      <c r="AN376" s="329"/>
      <c r="AO376" s="329"/>
      <c r="AP376" s="329"/>
      <c r="AQ376" s="329"/>
    </row>
    <row r="377" spans="3:44" s="157" customFormat="1" ht="12.75">
      <c r="E377" s="157" t="str">
        <f>Input!E377</f>
        <v>Non-Load Related - other</v>
      </c>
      <c r="G377" s="157" t="s">
        <v>49</v>
      </c>
      <c r="AJ377" s="329"/>
      <c r="AK377" s="329"/>
      <c r="AL377" s="329"/>
      <c r="AM377" s="329"/>
      <c r="AN377" s="329"/>
      <c r="AO377" s="329"/>
      <c r="AP377" s="329"/>
      <c r="AQ377" s="329"/>
    </row>
    <row r="378" spans="3:44" s="157" customFormat="1" ht="12.75">
      <c r="E378" s="157" t="str">
        <f>Input!E378</f>
        <v>Faults</v>
      </c>
      <c r="G378" s="157" t="s">
        <v>49</v>
      </c>
      <c r="AJ378" s="329"/>
      <c r="AK378" s="329"/>
      <c r="AL378" s="329"/>
      <c r="AM378" s="329"/>
      <c r="AN378" s="329"/>
      <c r="AO378" s="329"/>
      <c r="AP378" s="329"/>
      <c r="AQ378" s="329"/>
    </row>
    <row r="379" spans="3:44" s="157" customFormat="1" ht="12.75">
      <c r="E379" s="221" t="s">
        <v>992</v>
      </c>
      <c r="G379" s="157" t="s">
        <v>49</v>
      </c>
      <c r="AJ379" s="329"/>
      <c r="AK379" s="329"/>
      <c r="AL379" s="329"/>
      <c r="AM379" s="329"/>
      <c r="AN379" s="329"/>
      <c r="AO379" s="329"/>
      <c r="AP379" s="329"/>
      <c r="AQ379" s="329"/>
    </row>
    <row r="380" spans="3:44" s="157" customFormat="1" ht="12.75">
      <c r="E380" s="157" t="str">
        <f>Input!E380</f>
        <v>100% ‘revenue pool’ expenditure</v>
      </c>
      <c r="G380" s="157" t="s">
        <v>49</v>
      </c>
      <c r="AJ380" s="329"/>
      <c r="AK380" s="329"/>
      <c r="AL380" s="329"/>
      <c r="AM380" s="329"/>
      <c r="AN380" s="329"/>
      <c r="AO380" s="329"/>
      <c r="AP380" s="329"/>
      <c r="AQ380" s="329"/>
    </row>
    <row r="381" spans="3:44" s="157" customFormat="1" ht="12.75">
      <c r="E381" s="157" t="str">
        <f>Input!E381</f>
        <v>Controllable Opex</v>
      </c>
      <c r="G381" s="157" t="s">
        <v>49</v>
      </c>
      <c r="AJ381" s="329"/>
      <c r="AK381" s="329"/>
      <c r="AL381" s="329"/>
      <c r="AM381" s="329"/>
      <c r="AN381" s="329"/>
      <c r="AO381" s="329"/>
      <c r="AP381" s="329"/>
      <c r="AQ381" s="329"/>
    </row>
    <row r="382" spans="3:44" s="157" customFormat="1" ht="12.75">
      <c r="AJ382" s="239"/>
      <c r="AK382" s="239"/>
      <c r="AL382" s="239"/>
      <c r="AM382" s="239"/>
      <c r="AN382" s="239"/>
      <c r="AO382" s="239"/>
      <c r="AP382" s="239"/>
      <c r="AQ382" s="239"/>
    </row>
    <row r="383" spans="3:44"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201"/>
      <c r="AL383" s="201"/>
      <c r="AM383" s="201"/>
      <c r="AN383" s="201"/>
      <c r="AO383" s="201"/>
      <c r="AP383" s="201"/>
      <c r="AQ383" s="201"/>
      <c r="AR383" s="201"/>
    </row>
    <row r="384" spans="3:44" s="157" customFormat="1" ht="12.75">
      <c r="AJ384" s="241"/>
      <c r="AK384" s="241"/>
      <c r="AL384" s="241"/>
      <c r="AM384" s="241"/>
      <c r="AN384" s="241"/>
      <c r="AO384" s="241"/>
      <c r="AP384" s="241"/>
      <c r="AQ384" s="241"/>
    </row>
    <row r="385" spans="4:44" s="157" customFormat="1" ht="12.75">
      <c r="E385" s="93" t="str">
        <f>Input!E385</f>
        <v>Load Related</v>
      </c>
      <c r="G385" s="157" t="s">
        <v>49</v>
      </c>
      <c r="AJ385" s="329"/>
      <c r="AK385" s="329"/>
      <c r="AL385" s="329"/>
      <c r="AM385" s="329"/>
      <c r="AN385" s="329"/>
      <c r="AO385" s="329"/>
      <c r="AP385" s="329"/>
      <c r="AQ385" s="329"/>
    </row>
    <row r="386" spans="4:44" s="157" customFormat="1" ht="12.75">
      <c r="E386" s="93" t="str">
        <f>Input!E386</f>
        <v>Non-load related capex - asset replacement</v>
      </c>
      <c r="G386" s="157" t="s">
        <v>49</v>
      </c>
      <c r="AJ386" s="329"/>
      <c r="AK386" s="329"/>
      <c r="AL386" s="329"/>
      <c r="AM386" s="329"/>
      <c r="AN386" s="329"/>
      <c r="AO386" s="329"/>
      <c r="AP386" s="329"/>
      <c r="AQ386" s="329"/>
    </row>
    <row r="387" spans="4:44" s="157" customFormat="1" ht="12.75">
      <c r="E387" s="157" t="str">
        <f>Input!E387</f>
        <v>Non-Load Related - other</v>
      </c>
      <c r="G387" s="157" t="s">
        <v>49</v>
      </c>
      <c r="AJ387" s="329"/>
      <c r="AK387" s="329"/>
      <c r="AL387" s="329"/>
      <c r="AM387" s="329"/>
      <c r="AN387" s="329"/>
      <c r="AO387" s="329"/>
      <c r="AP387" s="329"/>
      <c r="AQ387" s="329"/>
    </row>
    <row r="388" spans="4:44" s="157" customFormat="1" ht="12.75">
      <c r="E388" s="157" t="str">
        <f>Input!E388</f>
        <v>Faults</v>
      </c>
      <c r="G388" s="157" t="s">
        <v>49</v>
      </c>
      <c r="AJ388" s="329"/>
      <c r="AK388" s="329"/>
      <c r="AL388" s="329"/>
      <c r="AM388" s="329"/>
      <c r="AN388" s="329"/>
      <c r="AO388" s="329"/>
      <c r="AP388" s="329"/>
      <c r="AQ388" s="329"/>
    </row>
    <row r="389" spans="4:44" s="157" customFormat="1" ht="12.75">
      <c r="E389" s="221" t="s">
        <v>992</v>
      </c>
      <c r="G389" s="157" t="s">
        <v>49</v>
      </c>
      <c r="AJ389" s="329"/>
      <c r="AK389" s="329"/>
      <c r="AL389" s="329"/>
      <c r="AM389" s="329"/>
      <c r="AN389" s="329"/>
      <c r="AO389" s="329"/>
      <c r="AP389" s="329"/>
      <c r="AQ389" s="329"/>
    </row>
    <row r="390" spans="4:44" s="157" customFormat="1" ht="12.75">
      <c r="E390" s="157" t="str">
        <f>Input!E390</f>
        <v>100% ‘revenue pool’ expenditure</v>
      </c>
      <c r="G390" s="157" t="s">
        <v>49</v>
      </c>
      <c r="AJ390" s="329"/>
      <c r="AK390" s="329"/>
      <c r="AL390" s="329"/>
      <c r="AM390" s="329"/>
      <c r="AN390" s="329"/>
      <c r="AO390" s="329"/>
      <c r="AP390" s="329"/>
      <c r="AQ390" s="329"/>
    </row>
    <row r="391" spans="4:44" s="157" customFormat="1" ht="12.75">
      <c r="E391" s="157" t="str">
        <f>Input!E391</f>
        <v>Controllable Opex</v>
      </c>
      <c r="G391" s="157" t="s">
        <v>49</v>
      </c>
      <c r="AJ391" s="329"/>
      <c r="AK391" s="329"/>
      <c r="AL391" s="329"/>
      <c r="AM391" s="329"/>
      <c r="AN391" s="329"/>
      <c r="AO391" s="329"/>
      <c r="AP391" s="329"/>
      <c r="AQ391" s="329"/>
    </row>
    <row r="392" spans="4:44" s="157" customFormat="1" ht="12.75">
      <c r="AJ392" s="239"/>
      <c r="AK392" s="239"/>
      <c r="AL392" s="239"/>
      <c r="AM392" s="239"/>
      <c r="AN392" s="239"/>
      <c r="AO392" s="239"/>
      <c r="AP392" s="239"/>
      <c r="AQ392" s="239"/>
    </row>
    <row r="393" spans="4:44"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201"/>
      <c r="AL393" s="201"/>
      <c r="AM393" s="201"/>
      <c r="AN393" s="201"/>
      <c r="AO393" s="201"/>
      <c r="AP393" s="201"/>
      <c r="AQ393" s="201"/>
      <c r="AR393" s="201"/>
    </row>
    <row r="394" spans="4:44" s="157" customFormat="1" ht="12.75">
      <c r="AJ394" s="241"/>
      <c r="AK394" s="241"/>
      <c r="AL394" s="241"/>
      <c r="AM394" s="241"/>
      <c r="AN394" s="241"/>
      <c r="AO394" s="241"/>
      <c r="AP394" s="241"/>
      <c r="AQ394" s="241"/>
    </row>
    <row r="395" spans="4:44" s="157" customFormat="1" ht="12.75">
      <c r="E395" s="93" t="str">
        <f>Input!E395</f>
        <v>Load Related</v>
      </c>
      <c r="G395" s="157" t="s">
        <v>49</v>
      </c>
      <c r="AJ395" s="329"/>
      <c r="AK395" s="329"/>
      <c r="AL395" s="329"/>
      <c r="AM395" s="329"/>
      <c r="AN395" s="329"/>
      <c r="AO395" s="329"/>
      <c r="AP395" s="329"/>
      <c r="AQ395" s="329"/>
    </row>
    <row r="396" spans="4:44" s="157" customFormat="1" ht="12.75">
      <c r="E396" s="93" t="str">
        <f>Input!E396</f>
        <v>Non-load related capex - asset replacement</v>
      </c>
      <c r="G396" s="157" t="s">
        <v>49</v>
      </c>
      <c r="AJ396" s="329"/>
      <c r="AK396" s="329"/>
      <c r="AL396" s="329"/>
      <c r="AM396" s="329"/>
      <c r="AN396" s="329"/>
      <c r="AO396" s="329"/>
      <c r="AP396" s="329"/>
      <c r="AQ396" s="329"/>
    </row>
    <row r="397" spans="4:44" s="157" customFormat="1" ht="12.75">
      <c r="E397" s="157" t="str">
        <f>Input!E397</f>
        <v>Non-Load Related - other</v>
      </c>
      <c r="G397" s="157" t="s">
        <v>49</v>
      </c>
      <c r="AJ397" s="329"/>
      <c r="AK397" s="329"/>
      <c r="AL397" s="329"/>
      <c r="AM397" s="329"/>
      <c r="AN397" s="329"/>
      <c r="AO397" s="329"/>
      <c r="AP397" s="329"/>
      <c r="AQ397" s="329"/>
    </row>
    <row r="398" spans="4:44" s="157" customFormat="1" ht="12.75">
      <c r="E398" s="157" t="str">
        <f>Input!E398</f>
        <v>Faults</v>
      </c>
      <c r="G398" s="157" t="s">
        <v>49</v>
      </c>
      <c r="AJ398" s="329"/>
      <c r="AK398" s="329"/>
      <c r="AL398" s="329"/>
      <c r="AM398" s="329"/>
      <c r="AN398" s="329"/>
      <c r="AO398" s="329"/>
      <c r="AP398" s="329"/>
      <c r="AQ398" s="329"/>
    </row>
    <row r="399" spans="4:44" s="157" customFormat="1" ht="12.75">
      <c r="E399" s="221" t="s">
        <v>992</v>
      </c>
      <c r="G399" s="157" t="s">
        <v>49</v>
      </c>
      <c r="AJ399" s="329"/>
      <c r="AK399" s="329"/>
      <c r="AL399" s="329"/>
      <c r="AM399" s="329"/>
      <c r="AN399" s="329"/>
      <c r="AO399" s="329"/>
      <c r="AP399" s="329"/>
      <c r="AQ399" s="329"/>
    </row>
    <row r="400" spans="4:44" s="157" customFormat="1" ht="12.75">
      <c r="E400" s="157" t="str">
        <f>Input!E400</f>
        <v>100% ‘revenue pool’ expenditure</v>
      </c>
      <c r="G400" s="157" t="s">
        <v>49</v>
      </c>
      <c r="AJ400" s="329"/>
      <c r="AK400" s="329"/>
      <c r="AL400" s="329"/>
      <c r="AM400" s="329"/>
      <c r="AN400" s="329"/>
      <c r="AO400" s="329"/>
      <c r="AP400" s="329"/>
      <c r="AQ400" s="329"/>
    </row>
    <row r="401" spans="4:44" s="157" customFormat="1" ht="12.75">
      <c r="E401" s="157" t="str">
        <f>Input!E401</f>
        <v>Controllable Opex</v>
      </c>
      <c r="G401" s="157" t="s">
        <v>49</v>
      </c>
      <c r="AJ401" s="329"/>
      <c r="AK401" s="329"/>
      <c r="AL401" s="329"/>
      <c r="AM401" s="329"/>
      <c r="AN401" s="329"/>
      <c r="AO401" s="329"/>
      <c r="AP401" s="329"/>
      <c r="AQ401" s="329"/>
    </row>
    <row r="402" spans="4:44" s="157" customFormat="1" ht="12.75">
      <c r="AJ402" s="239"/>
      <c r="AK402" s="239"/>
      <c r="AL402" s="239"/>
      <c r="AM402" s="239"/>
      <c r="AN402" s="239"/>
      <c r="AO402" s="239"/>
      <c r="AP402" s="239"/>
      <c r="AQ402" s="239"/>
    </row>
    <row r="403" spans="4:44"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201"/>
      <c r="AL403" s="201"/>
      <c r="AM403" s="201"/>
      <c r="AN403" s="201"/>
      <c r="AO403" s="201"/>
      <c r="AP403" s="201"/>
      <c r="AQ403" s="201"/>
      <c r="AR403" s="201"/>
    </row>
    <row r="404" spans="4:44" s="157" customFormat="1" ht="12.75">
      <c r="AJ404" s="241"/>
      <c r="AK404" s="241"/>
      <c r="AL404" s="241"/>
      <c r="AM404" s="241"/>
      <c r="AN404" s="241"/>
      <c r="AO404" s="241"/>
      <c r="AP404" s="241"/>
      <c r="AQ404" s="241"/>
    </row>
    <row r="405" spans="4:44" s="157" customFormat="1" ht="12.75">
      <c r="E405" s="93" t="str">
        <f>Input!E405</f>
        <v>Load Related</v>
      </c>
      <c r="G405" s="157" t="s">
        <v>49</v>
      </c>
      <c r="AJ405" s="329"/>
      <c r="AK405" s="329"/>
      <c r="AL405" s="329"/>
      <c r="AM405" s="329"/>
      <c r="AN405" s="329"/>
      <c r="AO405" s="329"/>
      <c r="AP405" s="329"/>
      <c r="AQ405" s="329"/>
    </row>
    <row r="406" spans="4:44" s="157" customFormat="1" ht="12.75">
      <c r="E406" s="93" t="str">
        <f>Input!E406</f>
        <v>Non-load related capex - asset replacement</v>
      </c>
      <c r="G406" s="157" t="s">
        <v>49</v>
      </c>
      <c r="AJ406" s="329"/>
      <c r="AK406" s="329"/>
      <c r="AL406" s="329"/>
      <c r="AM406" s="329"/>
      <c r="AN406" s="329"/>
      <c r="AO406" s="329"/>
      <c r="AP406" s="329"/>
      <c r="AQ406" s="329"/>
    </row>
    <row r="407" spans="4:44" s="157" customFormat="1" ht="12.75">
      <c r="E407" s="157" t="str">
        <f>Input!E407</f>
        <v>Non-Load Related - other</v>
      </c>
      <c r="G407" s="157" t="s">
        <v>49</v>
      </c>
      <c r="AJ407" s="329"/>
      <c r="AK407" s="329"/>
      <c r="AL407" s="329"/>
      <c r="AM407" s="329"/>
      <c r="AN407" s="329"/>
      <c r="AO407" s="329"/>
      <c r="AP407" s="329"/>
      <c r="AQ407" s="329"/>
    </row>
    <row r="408" spans="4:44" s="157" customFormat="1" ht="12.75">
      <c r="E408" s="157" t="str">
        <f>Input!E408</f>
        <v>Faults</v>
      </c>
      <c r="G408" s="157" t="s">
        <v>49</v>
      </c>
      <c r="AJ408" s="329"/>
      <c r="AK408" s="329"/>
      <c r="AL408" s="329"/>
      <c r="AM408" s="329"/>
      <c r="AN408" s="329"/>
      <c r="AO408" s="329"/>
      <c r="AP408" s="329"/>
      <c r="AQ408" s="329"/>
    </row>
    <row r="409" spans="4:44" s="157" customFormat="1" ht="12.75">
      <c r="E409" s="221" t="s">
        <v>992</v>
      </c>
      <c r="G409" s="157" t="s">
        <v>49</v>
      </c>
      <c r="AJ409" s="329"/>
      <c r="AK409" s="329"/>
      <c r="AL409" s="329"/>
      <c r="AM409" s="329"/>
      <c r="AN409" s="329"/>
      <c r="AO409" s="329"/>
      <c r="AP409" s="329"/>
      <c r="AQ409" s="329"/>
    </row>
    <row r="410" spans="4:44" s="157" customFormat="1" ht="12.75">
      <c r="E410" s="157" t="str">
        <f>Input!E410</f>
        <v>100% ‘revenue pool’ expenditure</v>
      </c>
      <c r="G410" s="157" t="s">
        <v>49</v>
      </c>
      <c r="AJ410" s="329"/>
      <c r="AK410" s="329"/>
      <c r="AL410" s="329"/>
      <c r="AM410" s="329"/>
      <c r="AN410" s="329"/>
      <c r="AO410" s="329"/>
      <c r="AP410" s="329"/>
      <c r="AQ410" s="329"/>
    </row>
    <row r="411" spans="4:44" s="157" customFormat="1" ht="12.75">
      <c r="E411" s="157" t="str">
        <f>Input!E411</f>
        <v>Controllable Opex</v>
      </c>
      <c r="G411" s="157" t="s">
        <v>49</v>
      </c>
      <c r="AJ411" s="329"/>
      <c r="AK411" s="329"/>
      <c r="AL411" s="329"/>
      <c r="AM411" s="329"/>
      <c r="AN411" s="329"/>
      <c r="AO411" s="329"/>
      <c r="AP411" s="329"/>
      <c r="AQ411" s="329"/>
    </row>
    <row r="412" spans="4:44" s="157" customFormat="1" ht="12.75">
      <c r="AJ412" s="239"/>
      <c r="AK412" s="239"/>
      <c r="AL412" s="239"/>
      <c r="AM412" s="239"/>
      <c r="AN412" s="239"/>
      <c r="AO412" s="239"/>
      <c r="AP412" s="239"/>
      <c r="AQ412" s="239"/>
    </row>
    <row r="413" spans="4:44"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201"/>
      <c r="AL413" s="201"/>
      <c r="AM413" s="201"/>
      <c r="AN413" s="201"/>
      <c r="AO413" s="201"/>
      <c r="AP413" s="201"/>
      <c r="AQ413" s="201"/>
    </row>
    <row r="414" spans="4:44" s="157" customFormat="1" ht="12.75">
      <c r="AJ414" s="241"/>
      <c r="AK414" s="241"/>
      <c r="AL414" s="241"/>
      <c r="AM414" s="241"/>
      <c r="AN414" s="241"/>
      <c r="AO414" s="241"/>
      <c r="AP414" s="241"/>
      <c r="AQ414" s="241"/>
    </row>
    <row r="415" spans="4:44" s="157" customFormat="1" ht="12.75">
      <c r="E415" s="93" t="str">
        <f>Input!E415</f>
        <v>Load Related</v>
      </c>
      <c r="G415" s="157" t="s">
        <v>49</v>
      </c>
      <c r="AJ415" s="329"/>
      <c r="AK415" s="329"/>
      <c r="AL415" s="329"/>
      <c r="AM415" s="329"/>
      <c r="AN415" s="329"/>
      <c r="AO415" s="329"/>
      <c r="AP415" s="329"/>
      <c r="AQ415" s="329"/>
    </row>
    <row r="416" spans="4:44"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c r="AK436" s="227"/>
      <c r="AL436" s="227"/>
      <c r="AM436" s="227"/>
      <c r="AN436" s="227"/>
      <c r="AO436" s="227"/>
      <c r="AP436" s="227"/>
      <c r="AQ436" s="227"/>
    </row>
    <row r="437" spans="1:43" ht="15" customHeight="1">
      <c r="A437" s="400"/>
      <c r="E437" s="149" t="s">
        <v>579</v>
      </c>
      <c r="G437" s="149" t="s">
        <v>844</v>
      </c>
      <c r="H437" s="362"/>
      <c r="AJ437" s="227"/>
      <c r="AK437" s="227"/>
      <c r="AL437" s="227"/>
      <c r="AM437" s="227"/>
      <c r="AN437" s="227"/>
      <c r="AO437" s="227"/>
      <c r="AP437" s="227"/>
      <c r="AQ437" s="227"/>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row r="468" spans="5:43" ht="15" customHeight="1">
      <c r="E468" s="498"/>
      <c r="F468" s="498"/>
      <c r="G468" s="498"/>
      <c r="H468" s="498"/>
      <c r="I468" s="498"/>
      <c r="J468" s="498"/>
      <c r="K468" s="498"/>
      <c r="L468" s="498"/>
      <c r="M468" s="498"/>
      <c r="N468" s="498"/>
      <c r="O468" s="498"/>
      <c r="P468" s="498"/>
      <c r="Q468" s="498"/>
      <c r="R468" s="498"/>
      <c r="S468" s="498"/>
      <c r="T468" s="498"/>
      <c r="U468" s="498"/>
      <c r="V468" s="498"/>
      <c r="W468" s="498"/>
      <c r="X468" s="498"/>
      <c r="Y468" s="498"/>
      <c r="Z468" s="498"/>
      <c r="AA468" s="498"/>
      <c r="AB468" s="498"/>
      <c r="AC468" s="498"/>
      <c r="AD468" s="498"/>
      <c r="AE468" s="498"/>
      <c r="AF468" s="498"/>
      <c r="AG468" s="498"/>
      <c r="AH468" s="498"/>
      <c r="AI468" s="498"/>
      <c r="AJ468" s="498"/>
      <c r="AK468" s="498"/>
      <c r="AL468" s="498"/>
      <c r="AM468" s="498"/>
      <c r="AN468" s="498"/>
      <c r="AO468" s="498"/>
      <c r="AP468" s="498"/>
      <c r="AQ468" s="498"/>
    </row>
    <row r="469" spans="5:43" ht="15" customHeight="1">
      <c r="E469" s="498"/>
      <c r="F469" s="498"/>
      <c r="G469" s="498"/>
      <c r="H469" s="498"/>
      <c r="I469" s="498"/>
      <c r="J469" s="498"/>
      <c r="K469" s="498"/>
      <c r="L469" s="498"/>
      <c r="M469" s="498"/>
      <c r="N469" s="498"/>
      <c r="O469" s="498"/>
      <c r="P469" s="498"/>
      <c r="Q469" s="498"/>
      <c r="R469" s="498"/>
      <c r="S469" s="498"/>
      <c r="T469" s="498"/>
      <c r="U469" s="498"/>
      <c r="V469" s="498"/>
      <c r="W469" s="498"/>
      <c r="X469" s="498"/>
      <c r="Y469" s="498"/>
      <c r="Z469" s="498"/>
      <c r="AA469" s="498"/>
      <c r="AB469" s="498"/>
      <c r="AC469" s="498"/>
      <c r="AD469" s="498"/>
      <c r="AE469" s="498"/>
      <c r="AF469" s="498"/>
      <c r="AG469" s="498"/>
      <c r="AH469" s="498"/>
      <c r="AI469" s="498"/>
      <c r="AJ469" s="498"/>
      <c r="AK469" s="498"/>
      <c r="AL469" s="498"/>
      <c r="AM469" s="498"/>
      <c r="AN469" s="498"/>
      <c r="AO469" s="498"/>
      <c r="AP469" s="498"/>
      <c r="AQ469" s="498"/>
    </row>
    <row r="470" spans="5:43" ht="15" customHeight="1">
      <c r="E470" s="498"/>
      <c r="F470" s="498"/>
      <c r="G470" s="498"/>
      <c r="H470" s="498"/>
      <c r="I470" s="498"/>
      <c r="J470" s="498"/>
      <c r="K470" s="498"/>
      <c r="L470" s="498"/>
      <c r="M470" s="498"/>
      <c r="N470" s="498"/>
      <c r="O470" s="498"/>
      <c r="P470" s="498"/>
      <c r="Q470" s="498"/>
      <c r="R470" s="498"/>
      <c r="S470" s="498"/>
      <c r="T470" s="498"/>
      <c r="U470" s="498"/>
      <c r="V470" s="498"/>
      <c r="W470" s="498"/>
      <c r="X470" s="498"/>
      <c r="Y470" s="498"/>
      <c r="Z470" s="498"/>
      <c r="AA470" s="498"/>
      <c r="AB470" s="498"/>
      <c r="AC470" s="498"/>
      <c r="AD470" s="498"/>
      <c r="AE470" s="498"/>
      <c r="AF470" s="498"/>
      <c r="AG470" s="498"/>
      <c r="AH470" s="498"/>
      <c r="AI470" s="498"/>
      <c r="AJ470" s="498"/>
      <c r="AK470" s="498"/>
      <c r="AL470" s="498"/>
      <c r="AM470" s="498"/>
      <c r="AN470" s="498"/>
      <c r="AO470" s="498"/>
      <c r="AP470" s="498"/>
      <c r="AQ470" s="498"/>
    </row>
    <row r="471" spans="5:43" ht="15" customHeight="1">
      <c r="E471" s="498"/>
      <c r="F471" s="498"/>
      <c r="G471" s="498"/>
      <c r="H471" s="498"/>
      <c r="I471" s="498"/>
      <c r="J471" s="498"/>
      <c r="K471" s="498"/>
      <c r="L471" s="498"/>
      <c r="M471" s="498"/>
      <c r="N471" s="498"/>
      <c r="O471" s="498"/>
      <c r="P471" s="498"/>
      <c r="Q471" s="498"/>
      <c r="R471" s="498"/>
      <c r="S471" s="498"/>
      <c r="T471" s="498"/>
      <c r="U471" s="498"/>
      <c r="V471" s="498"/>
      <c r="W471" s="498"/>
      <c r="X471" s="498"/>
      <c r="Y471" s="498"/>
      <c r="Z471" s="498"/>
      <c r="AA471" s="498"/>
      <c r="AB471" s="498"/>
      <c r="AC471" s="498"/>
      <c r="AD471" s="498"/>
      <c r="AE471" s="498"/>
      <c r="AF471" s="498"/>
      <c r="AG471" s="498"/>
      <c r="AH471" s="498"/>
      <c r="AI471" s="498"/>
      <c r="AJ471" s="498"/>
      <c r="AK471" s="498"/>
      <c r="AL471" s="498"/>
      <c r="AM471" s="498"/>
      <c r="AN471" s="498"/>
      <c r="AO471" s="498"/>
      <c r="AP471" s="498"/>
      <c r="AQ471" s="498"/>
    </row>
    <row r="472" spans="5:43" ht="15" customHeight="1">
      <c r="E472" s="498"/>
      <c r="F472" s="498"/>
      <c r="G472" s="498"/>
      <c r="H472" s="498"/>
      <c r="I472" s="498"/>
      <c r="J472" s="498"/>
      <c r="K472" s="498"/>
      <c r="L472" s="498"/>
      <c r="M472" s="498"/>
      <c r="N472" s="498"/>
      <c r="O472" s="498"/>
      <c r="P472" s="498"/>
      <c r="Q472" s="498"/>
      <c r="R472" s="498"/>
      <c r="S472" s="498"/>
      <c r="T472" s="498"/>
      <c r="U472" s="498"/>
      <c r="V472" s="498"/>
      <c r="W472" s="498"/>
      <c r="X472" s="498"/>
      <c r="Y472" s="498"/>
      <c r="Z472" s="498"/>
      <c r="AA472" s="498"/>
      <c r="AB472" s="498"/>
      <c r="AC472" s="498"/>
      <c r="AD472" s="498"/>
      <c r="AE472" s="498"/>
      <c r="AF472" s="498"/>
      <c r="AG472" s="498"/>
      <c r="AH472" s="498"/>
      <c r="AI472" s="498"/>
      <c r="AJ472" s="498"/>
      <c r="AK472" s="498"/>
      <c r="AL472" s="498"/>
      <c r="AM472" s="498"/>
      <c r="AN472" s="498"/>
      <c r="AO472" s="498"/>
      <c r="AP472" s="498"/>
      <c r="AQ472" s="498"/>
    </row>
    <row r="473" spans="5:43" ht="15" customHeight="1">
      <c r="E473" s="498"/>
      <c r="F473" s="498"/>
      <c r="G473" s="498"/>
      <c r="H473" s="498"/>
      <c r="I473" s="498"/>
      <c r="J473" s="498"/>
      <c r="K473" s="498"/>
      <c r="L473" s="498"/>
      <c r="M473" s="498"/>
      <c r="N473" s="498"/>
      <c r="O473" s="498"/>
      <c r="P473" s="498"/>
      <c r="Q473" s="498"/>
      <c r="R473" s="498"/>
      <c r="S473" s="498"/>
      <c r="T473" s="498"/>
      <c r="U473" s="498"/>
      <c r="V473" s="498"/>
      <c r="W473" s="498"/>
      <c r="X473" s="498"/>
      <c r="Y473" s="498"/>
      <c r="Z473" s="498"/>
      <c r="AA473" s="498"/>
      <c r="AB473" s="498"/>
      <c r="AC473" s="498"/>
      <c r="AD473" s="498"/>
      <c r="AE473" s="498"/>
      <c r="AF473" s="498"/>
      <c r="AG473" s="498"/>
      <c r="AH473" s="498"/>
      <c r="AI473" s="498"/>
      <c r="AJ473" s="498"/>
      <c r="AK473" s="498"/>
      <c r="AL473" s="498"/>
      <c r="AM473" s="498"/>
      <c r="AN473" s="498"/>
      <c r="AO473" s="498"/>
      <c r="AP473" s="498"/>
      <c r="AQ473" s="498"/>
    </row>
    <row r="474" spans="5:43" ht="15" customHeight="1">
      <c r="E474" s="498"/>
      <c r="F474" s="498"/>
      <c r="G474" s="498"/>
      <c r="H474" s="498"/>
      <c r="I474" s="498"/>
      <c r="J474" s="498"/>
      <c r="K474" s="498"/>
      <c r="L474" s="498"/>
      <c r="M474" s="498"/>
      <c r="N474" s="498"/>
      <c r="O474" s="498"/>
      <c r="P474" s="498"/>
      <c r="Q474" s="498"/>
      <c r="R474" s="498"/>
      <c r="S474" s="498"/>
      <c r="T474" s="498"/>
      <c r="U474" s="498"/>
      <c r="V474" s="498"/>
      <c r="W474" s="498"/>
      <c r="X474" s="498"/>
      <c r="Y474" s="498"/>
      <c r="Z474" s="498"/>
      <c r="AA474" s="498"/>
      <c r="AB474" s="498"/>
      <c r="AC474" s="498"/>
      <c r="AD474" s="498"/>
      <c r="AE474" s="498"/>
      <c r="AF474" s="498"/>
      <c r="AG474" s="498"/>
      <c r="AH474" s="498"/>
      <c r="AI474" s="498"/>
      <c r="AJ474" s="498"/>
      <c r="AK474" s="498"/>
      <c r="AL474" s="498"/>
      <c r="AM474" s="498"/>
      <c r="AN474" s="498"/>
      <c r="AO474" s="498"/>
      <c r="AP474" s="498"/>
      <c r="AQ474" s="498"/>
    </row>
    <row r="475" spans="5:43" ht="15" customHeight="1">
      <c r="E475" s="498"/>
      <c r="F475" s="498"/>
      <c r="G475" s="498"/>
      <c r="H475" s="498"/>
      <c r="I475" s="498"/>
      <c r="J475" s="498"/>
      <c r="K475" s="498"/>
      <c r="L475" s="498"/>
      <c r="M475" s="498"/>
      <c r="N475" s="498"/>
      <c r="O475" s="498"/>
      <c r="P475" s="498"/>
      <c r="Q475" s="498"/>
      <c r="R475" s="498"/>
      <c r="S475" s="498"/>
      <c r="T475" s="498"/>
      <c r="U475" s="498"/>
      <c r="V475" s="498"/>
      <c r="W475" s="498"/>
      <c r="X475" s="498"/>
      <c r="Y475" s="498"/>
      <c r="Z475" s="498"/>
      <c r="AA475" s="498"/>
      <c r="AB475" s="498"/>
      <c r="AC475" s="498"/>
      <c r="AD475" s="498"/>
      <c r="AE475" s="498"/>
      <c r="AF475" s="498"/>
      <c r="AG475" s="498"/>
      <c r="AH475" s="498"/>
      <c r="AI475" s="498"/>
      <c r="AJ475" s="498"/>
      <c r="AK475" s="498"/>
      <c r="AL475" s="498"/>
      <c r="AM475" s="498"/>
      <c r="AN475" s="498"/>
      <c r="AO475" s="498"/>
      <c r="AP475" s="498"/>
      <c r="AQ475" s="498"/>
    </row>
    <row r="476" spans="5:43" ht="15" customHeight="1">
      <c r="E476" s="498"/>
      <c r="F476" s="498"/>
      <c r="G476" s="498"/>
      <c r="H476" s="498"/>
      <c r="I476" s="498"/>
      <c r="J476" s="498"/>
      <c r="K476" s="498"/>
      <c r="L476" s="498"/>
      <c r="M476" s="498"/>
      <c r="N476" s="498"/>
      <c r="O476" s="498"/>
      <c r="P476" s="498"/>
      <c r="Q476" s="498"/>
      <c r="R476" s="498"/>
      <c r="S476" s="498"/>
      <c r="T476" s="498"/>
      <c r="U476" s="498"/>
      <c r="V476" s="498"/>
      <c r="W476" s="498"/>
      <c r="X476" s="498"/>
      <c r="Y476" s="498"/>
      <c r="Z476" s="498"/>
      <c r="AA476" s="498"/>
      <c r="AB476" s="498"/>
      <c r="AC476" s="498"/>
      <c r="AD476" s="498"/>
      <c r="AE476" s="498"/>
      <c r="AF476" s="498"/>
      <c r="AG476" s="498"/>
      <c r="AH476" s="498"/>
      <c r="AI476" s="498"/>
      <c r="AJ476" s="498"/>
      <c r="AK476" s="498"/>
      <c r="AL476" s="498"/>
      <c r="AM476" s="498"/>
      <c r="AN476" s="498"/>
      <c r="AO476" s="498"/>
      <c r="AP476" s="498"/>
      <c r="AQ476" s="498"/>
    </row>
    <row r="477" spans="5:43" ht="15" customHeight="1">
      <c r="E477" s="498"/>
      <c r="F477" s="498"/>
      <c r="G477" s="498"/>
      <c r="H477" s="498"/>
      <c r="I477" s="498"/>
      <c r="J477" s="498"/>
      <c r="K477" s="498"/>
      <c r="L477" s="498"/>
      <c r="M477" s="498"/>
      <c r="N477" s="498"/>
      <c r="O477" s="498"/>
      <c r="P477" s="498"/>
      <c r="Q477" s="498"/>
      <c r="R477" s="498"/>
      <c r="S477" s="498"/>
      <c r="T477" s="498"/>
      <c r="U477" s="498"/>
      <c r="V477" s="498"/>
      <c r="W477" s="498"/>
      <c r="X477" s="498"/>
      <c r="Y477" s="498"/>
      <c r="Z477" s="498"/>
      <c r="AA477" s="498"/>
      <c r="AB477" s="498"/>
      <c r="AC477" s="498"/>
      <c r="AD477" s="498"/>
      <c r="AE477" s="498"/>
      <c r="AF477" s="498"/>
      <c r="AG477" s="498"/>
      <c r="AH477" s="498"/>
      <c r="AI477" s="498"/>
      <c r="AJ477" s="498"/>
      <c r="AK477" s="498"/>
      <c r="AL477" s="498"/>
      <c r="AM477" s="498"/>
      <c r="AN477" s="498"/>
      <c r="AO477" s="498"/>
      <c r="AP477" s="498"/>
      <c r="AQ477" s="498"/>
    </row>
    <row r="478" spans="5:43" ht="15" customHeight="1">
      <c r="E478" s="498"/>
      <c r="F478" s="498"/>
      <c r="G478" s="498"/>
      <c r="H478" s="498"/>
      <c r="I478" s="498"/>
      <c r="J478" s="498"/>
      <c r="K478" s="498"/>
      <c r="L478" s="498"/>
      <c r="M478" s="498"/>
      <c r="N478" s="498"/>
      <c r="O478" s="498"/>
      <c r="P478" s="498"/>
      <c r="Q478" s="498"/>
      <c r="R478" s="498"/>
      <c r="S478" s="498"/>
      <c r="T478" s="498"/>
      <c r="U478" s="498"/>
      <c r="V478" s="498"/>
      <c r="W478" s="498"/>
      <c r="X478" s="498"/>
      <c r="Y478" s="498"/>
      <c r="Z478" s="498"/>
      <c r="AA478" s="498"/>
      <c r="AB478" s="498"/>
      <c r="AC478" s="498"/>
      <c r="AD478" s="498"/>
      <c r="AE478" s="498"/>
      <c r="AF478" s="498"/>
      <c r="AG478" s="498"/>
      <c r="AH478" s="498"/>
      <c r="AI478" s="498"/>
      <c r="AJ478" s="498"/>
      <c r="AK478" s="498"/>
      <c r="AL478" s="498"/>
      <c r="AM478" s="498"/>
      <c r="AN478" s="498"/>
      <c r="AO478" s="498"/>
      <c r="AP478" s="498"/>
      <c r="AQ478" s="498"/>
    </row>
    <row r="479" spans="5:43" ht="15" customHeight="1">
      <c r="E479" s="498"/>
      <c r="F479" s="498"/>
      <c r="G479" s="498"/>
      <c r="H479" s="498"/>
      <c r="I479" s="498"/>
      <c r="J479" s="498"/>
      <c r="K479" s="498"/>
      <c r="L479" s="498"/>
      <c r="M479" s="498"/>
      <c r="N479" s="498"/>
      <c r="O479" s="498"/>
      <c r="P479" s="498"/>
      <c r="Q479" s="498"/>
      <c r="R479" s="498"/>
      <c r="S479" s="498"/>
      <c r="T479" s="498"/>
      <c r="U479" s="498"/>
      <c r="V479" s="498"/>
      <c r="W479" s="498"/>
      <c r="X479" s="498"/>
      <c r="Y479" s="498"/>
      <c r="Z479" s="498"/>
      <c r="AA479" s="498"/>
      <c r="AB479" s="498"/>
      <c r="AC479" s="498"/>
      <c r="AD479" s="498"/>
      <c r="AE479" s="498"/>
      <c r="AF479" s="498"/>
      <c r="AG479" s="498"/>
      <c r="AH479" s="498"/>
      <c r="AI479" s="498"/>
      <c r="AJ479" s="498"/>
      <c r="AK479" s="498"/>
      <c r="AL479" s="498"/>
      <c r="AM479" s="498"/>
      <c r="AN479" s="498"/>
      <c r="AO479" s="498"/>
      <c r="AP479" s="498"/>
      <c r="AQ479" s="498"/>
    </row>
    <row r="480" spans="5:43" ht="15" customHeight="1">
      <c r="E480" s="498"/>
      <c r="F480" s="498"/>
      <c r="G480" s="498"/>
      <c r="H480" s="498"/>
      <c r="I480" s="498"/>
      <c r="J480" s="498"/>
      <c r="K480" s="498"/>
      <c r="L480" s="498"/>
      <c r="M480" s="498"/>
      <c r="N480" s="498"/>
      <c r="O480" s="498"/>
      <c r="P480" s="498"/>
      <c r="Q480" s="498"/>
      <c r="R480" s="498"/>
      <c r="S480" s="498"/>
      <c r="T480" s="498"/>
      <c r="U480" s="498"/>
      <c r="V480" s="498"/>
      <c r="W480" s="498"/>
      <c r="X480" s="498"/>
      <c r="Y480" s="498"/>
      <c r="Z480" s="498"/>
      <c r="AA480" s="498"/>
      <c r="AB480" s="498"/>
      <c r="AC480" s="498"/>
      <c r="AD480" s="498"/>
      <c r="AE480" s="498"/>
      <c r="AF480" s="498"/>
      <c r="AG480" s="498"/>
      <c r="AH480" s="498"/>
      <c r="AI480" s="498"/>
      <c r="AJ480" s="498"/>
      <c r="AK480" s="498"/>
      <c r="AL480" s="498"/>
      <c r="AM480" s="498"/>
      <c r="AN480" s="498"/>
      <c r="AO480" s="498"/>
      <c r="AP480" s="498"/>
      <c r="AQ480" s="498"/>
    </row>
    <row r="481" spans="5:43" ht="15" customHeight="1">
      <c r="E481" s="498"/>
      <c r="F481" s="498"/>
      <c r="G481" s="498"/>
      <c r="H481" s="498"/>
      <c r="I481" s="498"/>
      <c r="J481" s="498"/>
      <c r="K481" s="498"/>
      <c r="L481" s="498"/>
      <c r="M481" s="498"/>
      <c r="N481" s="498"/>
      <c r="O481" s="498"/>
      <c r="P481" s="498"/>
      <c r="Q481" s="498"/>
      <c r="R481" s="498"/>
      <c r="S481" s="498"/>
      <c r="T481" s="498"/>
      <c r="U481" s="498"/>
      <c r="V481" s="498"/>
      <c r="W481" s="498"/>
      <c r="X481" s="498"/>
      <c r="Y481" s="498"/>
      <c r="Z481" s="498"/>
      <c r="AA481" s="498"/>
      <c r="AB481" s="498"/>
      <c r="AC481" s="498"/>
      <c r="AD481" s="498"/>
      <c r="AE481" s="498"/>
      <c r="AF481" s="498"/>
      <c r="AG481" s="498"/>
      <c r="AH481" s="498"/>
      <c r="AI481" s="498"/>
      <c r="AJ481" s="498"/>
      <c r="AK481" s="498"/>
      <c r="AL481" s="498"/>
      <c r="AM481" s="498"/>
      <c r="AN481" s="498"/>
      <c r="AO481" s="498"/>
      <c r="AP481" s="498"/>
      <c r="AQ481" s="498"/>
    </row>
    <row r="482" spans="5:43" ht="15" customHeight="1">
      <c r="E482" s="498"/>
      <c r="F482" s="498"/>
      <c r="G482" s="498"/>
      <c r="H482" s="498"/>
      <c r="I482" s="498"/>
      <c r="J482" s="498"/>
      <c r="K482" s="498"/>
      <c r="L482" s="498"/>
      <c r="M482" s="498"/>
      <c r="N482" s="498"/>
      <c r="O482" s="498"/>
      <c r="P482" s="498"/>
      <c r="Q482" s="498"/>
      <c r="R482" s="498"/>
      <c r="S482" s="498"/>
      <c r="T482" s="498"/>
      <c r="U482" s="498"/>
      <c r="V482" s="498"/>
      <c r="W482" s="498"/>
      <c r="X482" s="498"/>
      <c r="Y482" s="498"/>
      <c r="Z482" s="498"/>
      <c r="AA482" s="498"/>
      <c r="AB482" s="498"/>
      <c r="AC482" s="498"/>
      <c r="AD482" s="498"/>
      <c r="AE482" s="498"/>
      <c r="AF482" s="498"/>
      <c r="AG482" s="498"/>
      <c r="AH482" s="498"/>
      <c r="AI482" s="498"/>
      <c r="AJ482" s="498"/>
      <c r="AK482" s="498"/>
      <c r="AL482" s="498"/>
      <c r="AM482" s="498"/>
      <c r="AN482" s="498"/>
      <c r="AO482" s="498"/>
      <c r="AP482" s="498"/>
      <c r="AQ482" s="498"/>
    </row>
    <row r="483" spans="5:43" ht="15" customHeight="1">
      <c r="E483" s="498"/>
      <c r="F483" s="498"/>
      <c r="G483" s="498"/>
      <c r="H483" s="498"/>
      <c r="I483" s="498"/>
      <c r="J483" s="498"/>
      <c r="K483" s="498"/>
      <c r="L483" s="498"/>
      <c r="M483" s="498"/>
      <c r="N483" s="498"/>
      <c r="O483" s="498"/>
      <c r="P483" s="498"/>
      <c r="Q483" s="498"/>
      <c r="R483" s="498"/>
      <c r="S483" s="498"/>
      <c r="T483" s="498"/>
      <c r="U483" s="498"/>
      <c r="V483" s="498"/>
      <c r="W483" s="498"/>
      <c r="X483" s="498"/>
      <c r="Y483" s="498"/>
      <c r="Z483" s="498"/>
      <c r="AA483" s="498"/>
      <c r="AB483" s="498"/>
      <c r="AC483" s="498"/>
      <c r="AD483" s="498"/>
      <c r="AE483" s="498"/>
      <c r="AF483" s="498"/>
      <c r="AG483" s="498"/>
      <c r="AH483" s="498"/>
      <c r="AI483" s="498"/>
      <c r="AJ483" s="498"/>
      <c r="AK483" s="498"/>
      <c r="AL483" s="498"/>
      <c r="AM483" s="498"/>
      <c r="AN483" s="498"/>
      <c r="AO483" s="498"/>
      <c r="AP483" s="498"/>
      <c r="AQ483" s="498"/>
    </row>
    <row r="484" spans="5:43" ht="15" customHeight="1">
      <c r="E484" s="557"/>
      <c r="F484" s="498"/>
      <c r="G484" s="498"/>
      <c r="H484" s="498"/>
      <c r="I484" s="498"/>
      <c r="J484" s="498"/>
      <c r="K484" s="498"/>
      <c r="L484" s="498"/>
      <c r="M484" s="498"/>
      <c r="N484" s="498"/>
      <c r="O484" s="498"/>
      <c r="P484" s="498"/>
      <c r="Q484" s="498"/>
      <c r="R484" s="498"/>
      <c r="S484" s="498"/>
      <c r="T484" s="498"/>
      <c r="U484" s="498"/>
      <c r="V484" s="498"/>
      <c r="W484" s="498"/>
      <c r="X484" s="498"/>
      <c r="Y484" s="498"/>
      <c r="Z484" s="498"/>
      <c r="AA484" s="498"/>
      <c r="AB484" s="498"/>
      <c r="AC484" s="498"/>
      <c r="AD484" s="498"/>
      <c r="AE484" s="498"/>
      <c r="AF484" s="498"/>
      <c r="AG484" s="498"/>
      <c r="AH484" s="498"/>
      <c r="AI484" s="498"/>
      <c r="AJ484" s="498"/>
      <c r="AK484" s="498"/>
      <c r="AL484" s="498"/>
      <c r="AM484" s="498"/>
      <c r="AN484" s="498"/>
      <c r="AO484" s="498"/>
      <c r="AP484" s="498"/>
      <c r="AQ484" s="498"/>
    </row>
    <row r="485" spans="5:43" ht="15" customHeight="1">
      <c r="E485" s="557"/>
      <c r="F485" s="498"/>
      <c r="G485" s="498"/>
      <c r="H485" s="498"/>
      <c r="I485" s="498"/>
      <c r="J485" s="498"/>
      <c r="K485" s="498"/>
      <c r="L485" s="498"/>
      <c r="M485" s="498"/>
      <c r="N485" s="498"/>
      <c r="O485" s="498"/>
      <c r="P485" s="498"/>
      <c r="Q485" s="498"/>
      <c r="R485" s="498"/>
      <c r="S485" s="498"/>
      <c r="T485" s="498"/>
      <c r="U485" s="498"/>
      <c r="V485" s="498"/>
      <c r="W485" s="498"/>
      <c r="X485" s="498"/>
      <c r="Y485" s="498"/>
      <c r="Z485" s="498"/>
      <c r="AA485" s="498"/>
      <c r="AB485" s="498"/>
      <c r="AC485" s="498"/>
      <c r="AD485" s="498"/>
      <c r="AE485" s="498"/>
      <c r="AF485" s="498"/>
      <c r="AG485" s="498"/>
      <c r="AH485" s="498"/>
      <c r="AI485" s="498"/>
      <c r="AJ485" s="498"/>
      <c r="AK485" s="498"/>
      <c r="AL485" s="498"/>
      <c r="AM485" s="498"/>
      <c r="AN485" s="498"/>
      <c r="AO485" s="498"/>
      <c r="AP485" s="498"/>
      <c r="AQ485" s="498"/>
    </row>
    <row r="486" spans="5:43" ht="15" customHeight="1">
      <c r="E486" s="557"/>
      <c r="F486" s="498"/>
      <c r="G486" s="498"/>
      <c r="H486" s="498"/>
      <c r="I486" s="498"/>
      <c r="J486" s="498"/>
      <c r="K486" s="498"/>
      <c r="L486" s="498"/>
      <c r="M486" s="498"/>
      <c r="N486" s="498"/>
      <c r="O486" s="498"/>
      <c r="P486" s="498"/>
      <c r="Q486" s="498"/>
      <c r="R486" s="498"/>
      <c r="S486" s="498"/>
      <c r="T486" s="498"/>
      <c r="U486" s="498"/>
      <c r="V486" s="498"/>
      <c r="W486" s="498"/>
      <c r="X486" s="498"/>
      <c r="Y486" s="498"/>
      <c r="Z486" s="498"/>
      <c r="AA486" s="498"/>
      <c r="AB486" s="498"/>
      <c r="AC486" s="498"/>
      <c r="AD486" s="498"/>
      <c r="AE486" s="498"/>
      <c r="AF486" s="498"/>
      <c r="AG486" s="498"/>
      <c r="AH486" s="498"/>
      <c r="AI486" s="498"/>
      <c r="AJ486" s="498"/>
      <c r="AK486" s="498"/>
      <c r="AL486" s="498"/>
      <c r="AM486" s="498"/>
      <c r="AN486" s="498"/>
      <c r="AO486" s="498"/>
      <c r="AP486" s="498"/>
      <c r="AQ486" s="498"/>
    </row>
    <row r="487" spans="5:43" ht="15" customHeight="1">
      <c r="E487" s="557"/>
      <c r="F487" s="498"/>
      <c r="G487" s="498"/>
      <c r="H487" s="498"/>
      <c r="I487" s="498"/>
      <c r="J487" s="498"/>
      <c r="K487" s="498"/>
      <c r="L487" s="498"/>
      <c r="M487" s="498"/>
      <c r="N487" s="498"/>
      <c r="O487" s="498"/>
      <c r="P487" s="498"/>
      <c r="Q487" s="498"/>
      <c r="R487" s="498"/>
      <c r="S487" s="498"/>
      <c r="T487" s="498"/>
      <c r="U487" s="498"/>
      <c r="V487" s="498"/>
      <c r="W487" s="498"/>
      <c r="X487" s="498"/>
      <c r="Y487" s="498"/>
      <c r="Z487" s="498"/>
      <c r="AA487" s="498"/>
      <c r="AB487" s="498"/>
      <c r="AC487" s="498"/>
      <c r="AD487" s="498"/>
      <c r="AE487" s="498"/>
      <c r="AF487" s="498"/>
      <c r="AG487" s="498"/>
      <c r="AH487" s="498"/>
      <c r="AI487" s="498"/>
      <c r="AJ487" s="498"/>
      <c r="AK487" s="498"/>
      <c r="AL487" s="498"/>
      <c r="AM487" s="498"/>
      <c r="AN487" s="498"/>
      <c r="AO487" s="498"/>
      <c r="AP487" s="498"/>
      <c r="AQ487" s="498"/>
    </row>
    <row r="488" spans="5:43" ht="15" customHeight="1">
      <c r="E488" s="557"/>
      <c r="F488" s="498"/>
      <c r="G488" s="498"/>
      <c r="H488" s="498"/>
      <c r="I488" s="498"/>
      <c r="J488" s="498"/>
      <c r="K488" s="498"/>
      <c r="L488" s="498"/>
      <c r="M488" s="498"/>
      <c r="N488" s="498"/>
      <c r="O488" s="498"/>
      <c r="P488" s="498"/>
      <c r="Q488" s="498"/>
      <c r="R488" s="498"/>
      <c r="S488" s="498"/>
      <c r="T488" s="498"/>
      <c r="U488" s="498"/>
      <c r="V488" s="498"/>
      <c r="W488" s="498"/>
      <c r="X488" s="498"/>
      <c r="Y488" s="498"/>
      <c r="Z488" s="498"/>
      <c r="AA488" s="498"/>
      <c r="AB488" s="498"/>
      <c r="AC488" s="498"/>
      <c r="AD488" s="498"/>
      <c r="AE488" s="498"/>
      <c r="AF488" s="498"/>
      <c r="AG488" s="498"/>
      <c r="AH488" s="498"/>
      <c r="AI488" s="498"/>
      <c r="AJ488" s="498"/>
      <c r="AK488" s="498"/>
      <c r="AL488" s="498"/>
      <c r="AM488" s="498"/>
      <c r="AN488" s="498"/>
      <c r="AO488" s="498"/>
      <c r="AP488" s="498"/>
      <c r="AQ488" s="498"/>
    </row>
    <row r="489" spans="5:43" ht="15" customHeight="1">
      <c r="E489" s="557"/>
      <c r="F489" s="498"/>
      <c r="G489" s="498"/>
      <c r="H489" s="498"/>
      <c r="I489" s="498"/>
      <c r="J489" s="498"/>
      <c r="K489" s="498"/>
      <c r="L489" s="498"/>
      <c r="M489" s="498"/>
      <c r="N489" s="498"/>
      <c r="O489" s="498"/>
      <c r="P489" s="498"/>
      <c r="Q489" s="498"/>
      <c r="R489" s="498"/>
      <c r="S489" s="498"/>
      <c r="T489" s="498"/>
      <c r="U489" s="498"/>
      <c r="V489" s="498"/>
      <c r="W489" s="498"/>
      <c r="X489" s="498"/>
      <c r="Y489" s="498"/>
      <c r="Z489" s="498"/>
      <c r="AA489" s="498"/>
      <c r="AB489" s="498"/>
      <c r="AC489" s="498"/>
      <c r="AD489" s="498"/>
      <c r="AE489" s="498"/>
      <c r="AF489" s="498"/>
      <c r="AG489" s="498"/>
      <c r="AH489" s="498"/>
      <c r="AI489" s="498"/>
      <c r="AJ489" s="419"/>
      <c r="AK489" s="419"/>
      <c r="AL489" s="419"/>
      <c r="AM489" s="498"/>
      <c r="AN489" s="498"/>
      <c r="AO489" s="498"/>
      <c r="AP489" s="498"/>
      <c r="AQ489" s="498"/>
    </row>
    <row r="490" spans="5:43" ht="15" customHeight="1">
      <c r="E490" s="557"/>
      <c r="F490" s="498"/>
      <c r="G490" s="498"/>
      <c r="H490" s="498"/>
      <c r="I490" s="498"/>
      <c r="J490" s="498"/>
      <c r="K490" s="498"/>
      <c r="L490" s="498"/>
      <c r="M490" s="498"/>
      <c r="N490" s="498"/>
      <c r="O490" s="498"/>
      <c r="P490" s="498"/>
      <c r="Q490" s="498"/>
      <c r="R490" s="498"/>
      <c r="S490" s="498"/>
      <c r="T490" s="498"/>
      <c r="U490" s="498"/>
      <c r="V490" s="498"/>
      <c r="W490" s="498"/>
      <c r="X490" s="498"/>
      <c r="Y490" s="498"/>
      <c r="Z490" s="498"/>
      <c r="AA490" s="498"/>
      <c r="AB490" s="498"/>
      <c r="AC490" s="498"/>
      <c r="AD490" s="498"/>
      <c r="AE490" s="498"/>
      <c r="AF490" s="498"/>
      <c r="AG490" s="498"/>
      <c r="AH490" s="498"/>
      <c r="AI490" s="498"/>
      <c r="AJ490" s="498"/>
      <c r="AK490" s="498"/>
      <c r="AL490" s="498"/>
      <c r="AM490" s="498"/>
      <c r="AN490" s="498"/>
      <c r="AO490" s="498"/>
      <c r="AP490" s="498"/>
      <c r="AQ490" s="498"/>
    </row>
  </sheetData>
  <conditionalFormatting sqref="AJ426:AQ432">
    <cfRule type="cellIs" dxfId="25" priority="1" operator="lessThan">
      <formula>1</formula>
    </cfRule>
    <cfRule type="cellIs" dxfId="24"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2">
    <tabColor rgb="FF7030A0"/>
    <pageSetUpPr fitToPage="1"/>
  </sheetPr>
  <dimension ref="A1:AR464"/>
  <sheetViews>
    <sheetView zoomScale="70" zoomScaleNormal="70" workbookViewId="0">
      <pane xSplit="10" ySplit="7" topLeftCell="AI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14.2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627</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677</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695</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695</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t="s">
        <v>56</v>
      </c>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t="s">
        <v>56</v>
      </c>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t="s">
        <v>56</v>
      </c>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NPgN!I73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NPgN!I74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G95" s="55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F96" s="560"/>
      <c r="AG96" s="55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F97" s="560"/>
      <c r="AG97" s="559"/>
      <c r="AJ97" s="236"/>
      <c r="AK97" s="236"/>
      <c r="AL97" s="236"/>
      <c r="AM97" s="236"/>
      <c r="AN97" s="236"/>
      <c r="AO97" s="236"/>
      <c r="AP97" s="236"/>
      <c r="AQ97" s="236"/>
    </row>
    <row r="98" spans="4:43" s="309" customFormat="1" ht="15" customHeight="1">
      <c r="E98" s="163" t="str">
        <f>Input!E98</f>
        <v>Non-variant allowed faults</v>
      </c>
      <c r="G98" s="309" t="s">
        <v>844</v>
      </c>
      <c r="I98" s="409"/>
      <c r="AE98" s="562"/>
      <c r="AF98" s="560"/>
      <c r="AG98" s="559"/>
      <c r="AJ98" s="236"/>
      <c r="AK98" s="236"/>
      <c r="AL98" s="236"/>
      <c r="AM98" s="236"/>
      <c r="AN98" s="236"/>
      <c r="AO98" s="236"/>
      <c r="AP98" s="236"/>
      <c r="AQ98" s="236"/>
    </row>
    <row r="99" spans="4:43" s="309" customFormat="1" ht="15" customHeight="1">
      <c r="E99" s="551" t="s">
        <v>999</v>
      </c>
      <c r="G99" s="309" t="s">
        <v>844</v>
      </c>
      <c r="I99" s="409"/>
      <c r="AF99" s="560"/>
      <c r="AG99" s="55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F100" s="560"/>
      <c r="AG100" s="55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G101" s="559"/>
      <c r="AJ101" s="236"/>
      <c r="AK101" s="236"/>
      <c r="AL101" s="236"/>
      <c r="AM101" s="236"/>
      <c r="AN101" s="236"/>
      <c r="AO101" s="236"/>
      <c r="AP101" s="236"/>
      <c r="AQ101" s="236"/>
    </row>
    <row r="102" spans="4:43" s="309" customFormat="1" ht="15" customHeight="1">
      <c r="E102" s="163"/>
      <c r="I102" s="409"/>
      <c r="AJ102" s="559"/>
      <c r="AK102" s="559"/>
      <c r="AL102" s="559"/>
      <c r="AM102" s="559"/>
      <c r="AN102" s="559"/>
      <c r="AO102" s="559"/>
      <c r="AP102" s="559"/>
      <c r="AQ102" s="559"/>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G105" s="559"/>
      <c r="AH105" s="55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F106" s="560"/>
      <c r="AG106" s="559"/>
      <c r="AH106" s="55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G107" s="559"/>
      <c r="AH107" s="55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G108" s="559"/>
      <c r="AH108" s="559"/>
      <c r="AJ108" s="238"/>
      <c r="AK108" s="238"/>
      <c r="AL108" s="238"/>
      <c r="AM108" s="238"/>
      <c r="AN108" s="238"/>
      <c r="AO108" s="238"/>
      <c r="AP108" s="238"/>
      <c r="AQ108" s="238"/>
    </row>
    <row r="109" spans="4:43" s="309" customFormat="1" ht="15" customHeight="1">
      <c r="E109" s="410" t="str">
        <f>Input!E109</f>
        <v>Allocation to faults</v>
      </c>
      <c r="G109" s="309" t="s">
        <v>49</v>
      </c>
      <c r="I109" s="149"/>
      <c r="AG109" s="559"/>
      <c r="AH109" s="559"/>
      <c r="AJ109" s="238"/>
      <c r="AK109" s="238"/>
      <c r="AL109" s="238"/>
      <c r="AM109" s="238"/>
      <c r="AN109" s="238"/>
      <c r="AO109" s="238"/>
      <c r="AP109" s="238"/>
      <c r="AQ109" s="238"/>
    </row>
    <row r="110" spans="4:43" s="309" customFormat="1" ht="15" customHeight="1">
      <c r="E110" s="553" t="s">
        <v>994</v>
      </c>
      <c r="G110" s="309" t="s">
        <v>49</v>
      </c>
      <c r="I110" s="498"/>
      <c r="AG110" s="559"/>
      <c r="AH110" s="559"/>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G111" s="559"/>
      <c r="AH111" s="55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G112" s="559"/>
      <c r="AH112" s="559"/>
      <c r="AJ112" s="238"/>
      <c r="AK112" s="238"/>
      <c r="AL112" s="238"/>
      <c r="AM112" s="238"/>
      <c r="AN112" s="238"/>
      <c r="AO112" s="238"/>
      <c r="AP112" s="238"/>
      <c r="AQ112" s="238"/>
    </row>
    <row r="113" spans="5:43" ht="15" customHeight="1">
      <c r="AG113" s="559"/>
      <c r="AH113" s="559"/>
    </row>
    <row r="114" spans="5:43" s="309" customFormat="1" ht="15" customHeight="1">
      <c r="E114" s="149" t="str">
        <f>Input!E114</f>
        <v>Allowed Expenditure - High Value Projects</v>
      </c>
      <c r="G114" s="309" t="s">
        <v>844</v>
      </c>
      <c r="I114" s="409"/>
      <c r="AG114" s="559"/>
      <c r="AH114" s="55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G115" s="559"/>
      <c r="AH115" s="55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G116" s="559"/>
      <c r="AH116" s="55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G117" s="559"/>
      <c r="AH117" s="559"/>
      <c r="AJ117" s="238"/>
      <c r="AK117" s="238"/>
      <c r="AL117" s="238"/>
      <c r="AM117" s="238"/>
      <c r="AN117" s="238"/>
      <c r="AO117" s="238"/>
      <c r="AP117" s="238"/>
      <c r="AQ117" s="238"/>
    </row>
    <row r="118" spans="5:43" s="309" customFormat="1" ht="15" customHeight="1">
      <c r="E118" s="410" t="str">
        <f>Input!E118</f>
        <v>Allocation to faults</v>
      </c>
      <c r="G118" s="309" t="s">
        <v>49</v>
      </c>
      <c r="I118" s="149"/>
      <c r="AG118" s="559"/>
      <c r="AH118" s="559"/>
      <c r="AJ118" s="238"/>
      <c r="AK118" s="238"/>
      <c r="AL118" s="238"/>
      <c r="AM118" s="238"/>
      <c r="AN118" s="238"/>
      <c r="AO118" s="238"/>
      <c r="AP118" s="238"/>
      <c r="AQ118" s="238"/>
    </row>
    <row r="119" spans="5:43" s="309" customFormat="1" ht="15" customHeight="1">
      <c r="E119" s="553" t="s">
        <v>994</v>
      </c>
      <c r="G119" s="309" t="s">
        <v>49</v>
      </c>
      <c r="I119" s="498"/>
      <c r="AG119" s="559"/>
      <c r="AH119" s="559"/>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G120" s="559"/>
      <c r="AH120" s="55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G121" s="559"/>
      <c r="AH121" s="559"/>
      <c r="AJ121" s="238"/>
      <c r="AK121" s="238"/>
      <c r="AL121" s="238"/>
      <c r="AM121" s="238"/>
      <c r="AN121" s="238"/>
      <c r="AO121" s="238"/>
      <c r="AP121" s="238"/>
      <c r="AQ121" s="238"/>
    </row>
    <row r="122" spans="5:43" ht="15" customHeight="1">
      <c r="AG122" s="559"/>
      <c r="AH122" s="559"/>
    </row>
    <row r="123" spans="5:43" s="309" customFormat="1" ht="15" customHeight="1">
      <c r="E123" s="149" t="str">
        <f>Input!E123</f>
        <v xml:space="preserve">Allowed Expenditure - Visual Amenity Allowed (TIM neutral)                                                                                                      </v>
      </c>
      <c r="G123" s="309" t="s">
        <v>844</v>
      </c>
      <c r="I123" s="409"/>
      <c r="AG123" s="559"/>
      <c r="AH123" s="55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G124" s="559"/>
      <c r="AH124" s="55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G125" s="559"/>
      <c r="AH125" s="55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G126" s="559"/>
      <c r="AH126" s="559"/>
      <c r="AJ126" s="238"/>
      <c r="AK126" s="238"/>
      <c r="AL126" s="238"/>
      <c r="AM126" s="238"/>
      <c r="AN126" s="238"/>
      <c r="AO126" s="238"/>
      <c r="AP126" s="238"/>
      <c r="AQ126" s="238"/>
    </row>
    <row r="127" spans="5:43" s="309" customFormat="1" ht="15" customHeight="1">
      <c r="E127" s="410" t="str">
        <f>Input!E127</f>
        <v>Allocation to faults</v>
      </c>
      <c r="G127" s="309" t="s">
        <v>49</v>
      </c>
      <c r="I127" s="149"/>
      <c r="AG127" s="559"/>
      <c r="AH127" s="559"/>
      <c r="AJ127" s="238"/>
      <c r="AK127" s="238"/>
      <c r="AL127" s="238"/>
      <c r="AM127" s="238"/>
      <c r="AN127" s="238"/>
      <c r="AO127" s="238"/>
      <c r="AP127" s="238"/>
      <c r="AQ127" s="238"/>
    </row>
    <row r="128" spans="5:43" s="309" customFormat="1" ht="15" customHeight="1">
      <c r="E128" s="553" t="s">
        <v>994</v>
      </c>
      <c r="G128" s="309" t="s">
        <v>49</v>
      </c>
      <c r="I128" s="498"/>
      <c r="AG128" s="559"/>
      <c r="AH128" s="559"/>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G129" s="559"/>
      <c r="AH129" s="55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G130" s="559"/>
      <c r="AH130" s="559"/>
      <c r="AJ130" s="238"/>
      <c r="AK130" s="238"/>
      <c r="AL130" s="238"/>
      <c r="AM130" s="238"/>
      <c r="AN130" s="238"/>
      <c r="AO130" s="238"/>
      <c r="AP130" s="238"/>
      <c r="AQ130" s="238"/>
    </row>
    <row r="131" spans="5:43" ht="15" customHeight="1">
      <c r="AG131" s="559"/>
      <c r="AH131" s="559"/>
    </row>
    <row r="132" spans="5:43" s="309" customFormat="1" ht="15" customHeight="1">
      <c r="E132" s="149" t="str">
        <f>Input!E132</f>
        <v>Allowed Expenditure - Worst Served Customers Allowed (TIM neutral)</v>
      </c>
      <c r="G132" s="309" t="s">
        <v>844</v>
      </c>
      <c r="I132" s="409"/>
      <c r="AG132" s="559"/>
      <c r="AH132" s="55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G133" s="559"/>
      <c r="AH133" s="55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G134" s="559"/>
      <c r="AH134" s="55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G135" s="559"/>
      <c r="AH135" s="559"/>
      <c r="AJ135" s="238"/>
      <c r="AK135" s="238"/>
      <c r="AL135" s="238"/>
      <c r="AM135" s="238"/>
      <c r="AN135" s="238"/>
      <c r="AO135" s="238"/>
      <c r="AP135" s="238"/>
      <c r="AQ135" s="238"/>
    </row>
    <row r="136" spans="5:43" s="309" customFormat="1" ht="15" customHeight="1">
      <c r="E136" s="410" t="str">
        <f>Input!E136</f>
        <v>Allocation to faults</v>
      </c>
      <c r="G136" s="309" t="s">
        <v>49</v>
      </c>
      <c r="I136" s="149"/>
      <c r="AG136" s="559"/>
      <c r="AH136" s="559"/>
      <c r="AJ136" s="238"/>
      <c r="AK136" s="238"/>
      <c r="AL136" s="238"/>
      <c r="AM136" s="238"/>
      <c r="AN136" s="238"/>
      <c r="AO136" s="238"/>
      <c r="AP136" s="238"/>
      <c r="AQ136" s="238"/>
    </row>
    <row r="137" spans="5:43" s="309" customFormat="1" ht="15" customHeight="1">
      <c r="E137" s="553" t="s">
        <v>994</v>
      </c>
      <c r="G137" s="309" t="s">
        <v>49</v>
      </c>
      <c r="I137" s="498"/>
      <c r="AG137" s="559"/>
      <c r="AH137" s="559"/>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G138" s="559"/>
      <c r="AH138" s="55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G139" s="559"/>
      <c r="AH139" s="559"/>
      <c r="AJ139" s="238"/>
      <c r="AK139" s="238"/>
      <c r="AL139" s="238"/>
      <c r="AM139" s="238"/>
      <c r="AN139" s="238"/>
      <c r="AO139" s="238"/>
      <c r="AP139" s="238"/>
      <c r="AQ139" s="238"/>
    </row>
    <row r="140" spans="5:43" ht="15" customHeight="1">
      <c r="AG140" s="559"/>
      <c r="AH140" s="559"/>
    </row>
    <row r="141" spans="5:43" s="309" customFormat="1" ht="15" customHeight="1">
      <c r="E141" s="149" t="str">
        <f>Input!E141</f>
        <v xml:space="preserve">Allowed Expenditure - Smart Meter Allowed Expenditure                                                                                                                                          </v>
      </c>
      <c r="G141" s="309" t="s">
        <v>844</v>
      </c>
      <c r="I141" s="409"/>
      <c r="AG141" s="559"/>
      <c r="AH141" s="55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G142" s="559"/>
      <c r="AH142" s="55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G143" s="559"/>
      <c r="AH143" s="55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G144" s="559"/>
      <c r="AH144" s="559"/>
      <c r="AJ144" s="238"/>
      <c r="AK144" s="238"/>
      <c r="AL144" s="238"/>
      <c r="AM144" s="238"/>
      <c r="AN144" s="238"/>
      <c r="AO144" s="238"/>
      <c r="AP144" s="238"/>
      <c r="AQ144" s="238"/>
    </row>
    <row r="145" spans="5:43" s="309" customFormat="1" ht="15" customHeight="1">
      <c r="E145" s="410" t="str">
        <f>Input!E145</f>
        <v>Allocation to faults</v>
      </c>
      <c r="G145" s="309" t="s">
        <v>49</v>
      </c>
      <c r="I145" s="149"/>
      <c r="AG145" s="559"/>
      <c r="AH145" s="559"/>
      <c r="AJ145" s="238"/>
      <c r="AK145" s="238"/>
      <c r="AL145" s="238"/>
      <c r="AM145" s="238"/>
      <c r="AN145" s="238"/>
      <c r="AO145" s="238"/>
      <c r="AP145" s="238"/>
      <c r="AQ145" s="238"/>
    </row>
    <row r="146" spans="5:43" s="309" customFormat="1" ht="15" customHeight="1">
      <c r="E146" s="553" t="s">
        <v>994</v>
      </c>
      <c r="G146" s="309" t="s">
        <v>49</v>
      </c>
      <c r="I146" s="498"/>
      <c r="AG146" s="559"/>
      <c r="AH146" s="559"/>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G147" s="559"/>
      <c r="AH147" s="55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G148" s="559"/>
      <c r="AH148" s="559"/>
      <c r="AJ148" s="238"/>
      <c r="AK148" s="238"/>
      <c r="AL148" s="238"/>
      <c r="AM148" s="238"/>
      <c r="AN148" s="238"/>
      <c r="AO148" s="238"/>
      <c r="AP148" s="238"/>
      <c r="AQ148" s="238"/>
    </row>
    <row r="149" spans="5:43" ht="15" customHeight="1">
      <c r="AG149" s="559"/>
      <c r="AH149" s="559"/>
    </row>
    <row r="150" spans="5:43" s="309" customFormat="1" ht="15" customHeight="1">
      <c r="E150" s="149" t="str">
        <f>Input!E150</f>
        <v>Allowed Expenditure - Specified Street Works</v>
      </c>
      <c r="G150" s="309" t="s">
        <v>844</v>
      </c>
      <c r="I150" s="409"/>
      <c r="AG150" s="559"/>
      <c r="AH150" s="55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G151" s="559"/>
      <c r="AH151" s="55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G152" s="559"/>
      <c r="AH152" s="55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G153" s="559"/>
      <c r="AH153" s="559"/>
      <c r="AJ153" s="238"/>
      <c r="AK153" s="238"/>
      <c r="AL153" s="238"/>
      <c r="AM153" s="238"/>
      <c r="AN153" s="238"/>
      <c r="AO153" s="238"/>
      <c r="AP153" s="238"/>
      <c r="AQ153" s="238"/>
    </row>
    <row r="154" spans="5:43" s="309" customFormat="1" ht="15" customHeight="1">
      <c r="E154" s="410" t="str">
        <f>Input!E154</f>
        <v>Allocation to faults</v>
      </c>
      <c r="G154" s="309" t="s">
        <v>49</v>
      </c>
      <c r="I154" s="149"/>
      <c r="AG154" s="559"/>
      <c r="AH154" s="559"/>
      <c r="AJ154" s="238"/>
      <c r="AK154" s="238"/>
      <c r="AL154" s="238"/>
      <c r="AM154" s="238"/>
      <c r="AN154" s="238"/>
      <c r="AO154" s="238"/>
      <c r="AP154" s="238"/>
      <c r="AQ154" s="238"/>
    </row>
    <row r="155" spans="5:43" s="309" customFormat="1" ht="15" customHeight="1">
      <c r="E155" s="553" t="s">
        <v>994</v>
      </c>
      <c r="G155" s="309" t="s">
        <v>49</v>
      </c>
      <c r="I155" s="498"/>
      <c r="AG155" s="559"/>
      <c r="AH155" s="559"/>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G156" s="559"/>
      <c r="AH156" s="55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G157" s="559"/>
      <c r="AH157" s="559"/>
      <c r="AJ157" s="238"/>
      <c r="AK157" s="238"/>
      <c r="AL157" s="238"/>
      <c r="AM157" s="238"/>
      <c r="AN157" s="238"/>
      <c r="AO157" s="238"/>
      <c r="AP157" s="238"/>
      <c r="AQ157" s="238"/>
    </row>
    <row r="158" spans="5:43" ht="15" customHeight="1">
      <c r="AG158" s="559"/>
      <c r="AH158" s="559"/>
    </row>
    <row r="159" spans="5:43" s="309" customFormat="1" ht="15" customHeight="1">
      <c r="E159" s="149" t="str">
        <f>Input!E159</f>
        <v>Allowed Expenditure - Load Related</v>
      </c>
      <c r="G159" s="309" t="s">
        <v>844</v>
      </c>
      <c r="I159" s="409"/>
      <c r="AG159" s="559"/>
      <c r="AH159" s="55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G160" s="559"/>
      <c r="AH160" s="55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G161" s="559"/>
      <c r="AH161" s="55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G162" s="559"/>
      <c r="AH162" s="559"/>
      <c r="AJ162" s="238"/>
      <c r="AK162" s="238"/>
      <c r="AL162" s="238"/>
      <c r="AM162" s="238"/>
      <c r="AN162" s="238"/>
      <c r="AO162" s="238"/>
      <c r="AP162" s="238"/>
      <c r="AQ162" s="238"/>
    </row>
    <row r="163" spans="5:43" s="309" customFormat="1" ht="15" customHeight="1">
      <c r="E163" s="410" t="str">
        <f>Input!E163</f>
        <v>Allocation to faults</v>
      </c>
      <c r="G163" s="309" t="s">
        <v>49</v>
      </c>
      <c r="I163" s="149"/>
      <c r="AG163" s="559"/>
      <c r="AH163" s="559"/>
      <c r="AJ163" s="238"/>
      <c r="AK163" s="238"/>
      <c r="AL163" s="238"/>
      <c r="AM163" s="238"/>
      <c r="AN163" s="238"/>
      <c r="AO163" s="238"/>
      <c r="AP163" s="238"/>
      <c r="AQ163" s="238"/>
    </row>
    <row r="164" spans="5:43" s="309" customFormat="1" ht="15" customHeight="1">
      <c r="E164" s="553" t="s">
        <v>994</v>
      </c>
      <c r="G164" s="309" t="s">
        <v>49</v>
      </c>
      <c r="I164" s="498"/>
      <c r="AG164" s="559"/>
      <c r="AH164" s="559"/>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G165" s="559"/>
      <c r="AH165" s="55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G166" s="559"/>
      <c r="AH166" s="55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G213" s="560"/>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G214" s="560"/>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G215" s="560"/>
      <c r="AJ215" s="152"/>
      <c r="AK215" s="152"/>
      <c r="AL215" s="152"/>
      <c r="AM215" s="152"/>
      <c r="AN215" s="152"/>
      <c r="AO215" s="152"/>
      <c r="AP215" s="152"/>
      <c r="AQ215" s="152"/>
    </row>
    <row r="216" spans="4:44" s="309" customFormat="1" ht="15" customHeight="1">
      <c r="E216" s="163" t="str">
        <f>Input!E216</f>
        <v>Variant allowed faults</v>
      </c>
      <c r="G216" s="309" t="s">
        <v>844</v>
      </c>
      <c r="I216" s="409"/>
      <c r="AG216" s="560"/>
      <c r="AJ216" s="152"/>
      <c r="AK216" s="152"/>
      <c r="AL216" s="152"/>
      <c r="AM216" s="152"/>
      <c r="AN216" s="152"/>
      <c r="AO216" s="152"/>
      <c r="AP216" s="152"/>
      <c r="AQ216" s="152"/>
    </row>
    <row r="217" spans="4:44" s="309" customFormat="1" ht="15" customHeight="1">
      <c r="E217" s="551" t="s">
        <v>995</v>
      </c>
      <c r="G217" s="309" t="s">
        <v>844</v>
      </c>
      <c r="I217" s="409"/>
      <c r="AG217" s="560"/>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G218" s="560"/>
      <c r="AH218" s="561"/>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G219" s="560"/>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201"/>
      <c r="AL383" s="201"/>
      <c r="AM383" s="201"/>
      <c r="AN383" s="201"/>
      <c r="AO383" s="201"/>
      <c r="AP383" s="201"/>
      <c r="AQ383" s="201"/>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201"/>
      <c r="AL393" s="201"/>
      <c r="AM393" s="201"/>
      <c r="AN393" s="201"/>
      <c r="AO393" s="201"/>
      <c r="AP393" s="201"/>
      <c r="AQ393" s="201"/>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201"/>
      <c r="AL403" s="201"/>
      <c r="AM403" s="201"/>
      <c r="AN403" s="201"/>
      <c r="AO403" s="201"/>
      <c r="AP403" s="201"/>
      <c r="AQ403" s="201"/>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201"/>
      <c r="AL413" s="201"/>
      <c r="AM413" s="201"/>
      <c r="AN413" s="201"/>
      <c r="AO413" s="201"/>
      <c r="AP413" s="201"/>
      <c r="AQ413" s="201"/>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199"/>
      <c r="AK424" s="199"/>
      <c r="AL424" s="199"/>
      <c r="AM424" s="199"/>
      <c r="AN424" s="199"/>
      <c r="AO424" s="199"/>
      <c r="AP424" s="199"/>
      <c r="AQ424" s="199"/>
    </row>
    <row r="425" spans="4:43" s="157" customFormat="1" ht="12.75"/>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c r="AK436" s="227"/>
      <c r="AL436" s="227"/>
      <c r="AM436" s="227"/>
      <c r="AN436" s="227"/>
      <c r="AO436" s="227"/>
      <c r="AP436" s="227"/>
      <c r="AQ436" s="227"/>
    </row>
    <row r="437" spans="1:43" ht="15" customHeight="1">
      <c r="A437" s="400"/>
      <c r="E437" s="149" t="s">
        <v>579</v>
      </c>
      <c r="G437" s="149" t="s">
        <v>844</v>
      </c>
      <c r="H437" s="362"/>
      <c r="AJ437" s="227"/>
      <c r="AK437" s="227"/>
      <c r="AL437" s="227"/>
      <c r="AM437" s="227"/>
      <c r="AN437" s="227"/>
      <c r="AO437" s="227"/>
      <c r="AP437" s="227"/>
      <c r="AQ437" s="227"/>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23" priority="1" operator="lessThan">
      <formula>1</formula>
    </cfRule>
    <cfRule type="cellIs" dxfId="22"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4">
    <tabColor rgb="FF7030A0"/>
    <pageSetUpPr fitToPage="1"/>
  </sheetPr>
  <dimension ref="A1:AR464"/>
  <sheetViews>
    <sheetView zoomScale="70" zoomScaleNormal="70" workbookViewId="0">
      <pane xSplit="10" ySplit="7" topLeftCell="AH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12.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395"/>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628</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678</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678</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678</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ht="15" customHeight="1">
      <c r="A16" s="498"/>
      <c r="B16" s="498"/>
      <c r="C16" s="498"/>
      <c r="D16" s="498"/>
      <c r="E16" s="221" t="s">
        <v>996</v>
      </c>
      <c r="F16" s="157"/>
      <c r="G16" s="157"/>
      <c r="H16" s="157"/>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224"/>
      <c r="AK16" s="224"/>
      <c r="AL16" s="224"/>
      <c r="AM16" s="224"/>
      <c r="AN16" s="224"/>
      <c r="AO16" s="224"/>
      <c r="AP16" s="224"/>
      <c r="AQ16" s="224"/>
      <c r="AR16" s="498"/>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I25" s="149"/>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I26" s="498"/>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EMID!I73 + SWALES!I73 + SWEST!I73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EMID!I74 + SWALES!I74 + SWEST!I74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1:44"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1:44"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1:44" s="309" customFormat="1" ht="15" customHeight="1">
      <c r="E163" s="410" t="str">
        <f>Input!E163</f>
        <v>Allocation to faults</v>
      </c>
      <c r="G163" s="309" t="s">
        <v>49</v>
      </c>
      <c r="I163" s="149"/>
      <c r="AJ163" s="238"/>
      <c r="AK163" s="238"/>
      <c r="AL163" s="238"/>
      <c r="AM163" s="238"/>
      <c r="AN163" s="238"/>
      <c r="AO163" s="238"/>
      <c r="AP163" s="238"/>
      <c r="AQ163" s="238"/>
    </row>
    <row r="164" spans="1:44" s="309" customFormat="1" ht="15" customHeight="1">
      <c r="E164" s="553" t="s">
        <v>994</v>
      </c>
      <c r="G164" s="309" t="s">
        <v>49</v>
      </c>
      <c r="I164" s="498"/>
      <c r="AJ164" s="238"/>
      <c r="AK164" s="238"/>
      <c r="AL164" s="238"/>
      <c r="AM164" s="238"/>
      <c r="AN164" s="238"/>
      <c r="AO164" s="238"/>
      <c r="AP164" s="238"/>
      <c r="AQ164" s="238"/>
    </row>
    <row r="165" spans="1:44"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1:44" s="309" customFormat="1" ht="15" customHeight="1">
      <c r="E166" s="410" t="str">
        <f>Input!E166</f>
        <v>Allocation to controllable opex</v>
      </c>
      <c r="G166" s="309" t="s">
        <v>49</v>
      </c>
      <c r="I166" s="149"/>
      <c r="AJ166" s="238"/>
      <c r="AK166" s="238"/>
      <c r="AL166" s="238"/>
      <c r="AM166" s="238"/>
      <c r="AN166" s="238"/>
      <c r="AO166" s="238"/>
      <c r="AP166" s="238"/>
      <c r="AQ166" s="238"/>
    </row>
    <row r="168" spans="1:44" ht="15" customHeight="1">
      <c r="A168" s="498"/>
      <c r="B168" s="498"/>
      <c r="C168" s="498"/>
      <c r="D168" s="498"/>
      <c r="E168" s="498" t="str">
        <f>Input!E168</f>
        <v>Allowed Expenditure - Rail Electrification</v>
      </c>
      <c r="F168" s="498"/>
      <c r="G168" s="309" t="s">
        <v>844</v>
      </c>
      <c r="H168" s="498"/>
      <c r="I168" s="498"/>
      <c r="J168" s="498"/>
      <c r="K168" s="498"/>
      <c r="L168" s="498"/>
      <c r="M168" s="498"/>
      <c r="N168" s="498"/>
      <c r="O168" s="498"/>
      <c r="P168" s="498"/>
      <c r="Q168" s="498"/>
      <c r="R168" s="498"/>
      <c r="S168" s="498"/>
      <c r="T168" s="498"/>
      <c r="U168" s="498"/>
      <c r="V168" s="498"/>
      <c r="W168" s="498"/>
      <c r="X168" s="498"/>
      <c r="Y168" s="498"/>
      <c r="Z168" s="498"/>
      <c r="AA168" s="498"/>
      <c r="AB168" s="498"/>
      <c r="AC168" s="498"/>
      <c r="AD168" s="498"/>
      <c r="AE168" s="498"/>
      <c r="AF168" s="498"/>
      <c r="AG168" s="498"/>
      <c r="AH168" s="498"/>
      <c r="AI168" s="498"/>
      <c r="AJ168" s="221"/>
      <c r="AK168" s="221"/>
      <c r="AL168" s="221"/>
      <c r="AM168" s="221"/>
      <c r="AN168" s="221"/>
      <c r="AO168" s="221"/>
      <c r="AP168" s="221"/>
      <c r="AQ168" s="221"/>
      <c r="AR168" s="498"/>
    </row>
    <row r="169" spans="1:44" ht="15" customHeight="1">
      <c r="A169" s="498"/>
      <c r="B169" s="498"/>
      <c r="C169" s="498"/>
      <c r="D169" s="498"/>
      <c r="E169" s="410" t="str">
        <f>Input!E169</f>
        <v>Allocation to load related capex</v>
      </c>
      <c r="F169" s="498"/>
      <c r="G169" s="309" t="s">
        <v>49</v>
      </c>
      <c r="H169" s="498"/>
      <c r="I169" s="498"/>
      <c r="J169" s="498"/>
      <c r="K169" s="498"/>
      <c r="L169" s="498"/>
      <c r="M169" s="498"/>
      <c r="N169" s="498"/>
      <c r="O169" s="498"/>
      <c r="P169" s="498"/>
      <c r="Q169" s="498"/>
      <c r="R169" s="498"/>
      <c r="S169" s="498"/>
      <c r="T169" s="498"/>
      <c r="U169" s="498"/>
      <c r="V169" s="498"/>
      <c r="W169" s="498"/>
      <c r="X169" s="498"/>
      <c r="Y169" s="498"/>
      <c r="Z169" s="498"/>
      <c r="AA169" s="498"/>
      <c r="AB169" s="498"/>
      <c r="AC169" s="498"/>
      <c r="AD169" s="498"/>
      <c r="AE169" s="498"/>
      <c r="AF169" s="498"/>
      <c r="AG169" s="498"/>
      <c r="AH169" s="498"/>
      <c r="AI169" s="498"/>
      <c r="AJ169" s="238"/>
      <c r="AK169" s="238"/>
      <c r="AL169" s="238"/>
      <c r="AM169" s="238"/>
      <c r="AN169" s="238"/>
      <c r="AO169" s="238"/>
      <c r="AP169" s="238"/>
      <c r="AQ169" s="238"/>
      <c r="AR169" s="498"/>
    </row>
    <row r="170" spans="1:44" ht="15" customHeight="1">
      <c r="A170" s="498"/>
      <c r="B170" s="498"/>
      <c r="C170" s="498"/>
      <c r="D170" s="498"/>
      <c r="E170" s="410" t="str">
        <f>Input!E170</f>
        <v>Allocation to non-load related capex - asset replacement</v>
      </c>
      <c r="F170" s="498"/>
      <c r="G170" s="309" t="s">
        <v>49</v>
      </c>
      <c r="H170" s="498"/>
      <c r="I170" s="498"/>
      <c r="J170" s="498"/>
      <c r="K170" s="498"/>
      <c r="L170" s="498"/>
      <c r="M170" s="498"/>
      <c r="N170" s="498"/>
      <c r="O170" s="498"/>
      <c r="P170" s="498"/>
      <c r="Q170" s="498"/>
      <c r="R170" s="498"/>
      <c r="S170" s="498"/>
      <c r="T170" s="498"/>
      <c r="U170" s="498"/>
      <c r="V170" s="498"/>
      <c r="W170" s="498"/>
      <c r="X170" s="498"/>
      <c r="Y170" s="498"/>
      <c r="Z170" s="498"/>
      <c r="AA170" s="498"/>
      <c r="AB170" s="498"/>
      <c r="AC170" s="498"/>
      <c r="AD170" s="498"/>
      <c r="AE170" s="498"/>
      <c r="AF170" s="498"/>
      <c r="AG170" s="498"/>
      <c r="AH170" s="498"/>
      <c r="AI170" s="498"/>
      <c r="AJ170" s="238"/>
      <c r="AK170" s="238"/>
      <c r="AL170" s="238"/>
      <c r="AM170" s="238"/>
      <c r="AN170" s="238"/>
      <c r="AO170" s="238"/>
      <c r="AP170" s="238"/>
      <c r="AQ170" s="238"/>
      <c r="AR170" s="498"/>
    </row>
    <row r="171" spans="1:44" ht="15" customHeight="1">
      <c r="A171" s="498"/>
      <c r="B171" s="498"/>
      <c r="C171" s="498"/>
      <c r="D171" s="498"/>
      <c r="E171" s="410" t="str">
        <f>Input!E171</f>
        <v>Allocation to non-load related capex - other</v>
      </c>
      <c r="F171" s="498"/>
      <c r="G171" s="309" t="s">
        <v>49</v>
      </c>
      <c r="H171" s="498"/>
      <c r="I171" s="498"/>
      <c r="J171" s="498"/>
      <c r="K171" s="498"/>
      <c r="L171" s="498"/>
      <c r="M171" s="498"/>
      <c r="N171" s="498"/>
      <c r="O171" s="498"/>
      <c r="P171" s="498"/>
      <c r="Q171" s="498"/>
      <c r="R171" s="498"/>
      <c r="S171" s="498"/>
      <c r="T171" s="498"/>
      <c r="U171" s="498"/>
      <c r="V171" s="498"/>
      <c r="W171" s="498"/>
      <c r="X171" s="498"/>
      <c r="Y171" s="498"/>
      <c r="Z171" s="498"/>
      <c r="AA171" s="498"/>
      <c r="AB171" s="498"/>
      <c r="AC171" s="498"/>
      <c r="AD171" s="498"/>
      <c r="AE171" s="498"/>
      <c r="AF171" s="498"/>
      <c r="AG171" s="498"/>
      <c r="AH171" s="498"/>
      <c r="AI171" s="498"/>
      <c r="AJ171" s="238"/>
      <c r="AK171" s="238"/>
      <c r="AL171" s="238"/>
      <c r="AM171" s="238"/>
      <c r="AN171" s="238"/>
      <c r="AO171" s="238"/>
      <c r="AP171" s="238"/>
      <c r="AQ171" s="238"/>
      <c r="AR171" s="498"/>
    </row>
    <row r="172" spans="1:44" ht="15" customHeight="1">
      <c r="A172" s="498"/>
      <c r="B172" s="498"/>
      <c r="C172" s="498"/>
      <c r="D172" s="498"/>
      <c r="E172" s="410" t="str">
        <f>Input!E172</f>
        <v>Allocation to faults</v>
      </c>
      <c r="F172" s="498"/>
      <c r="G172" s="309" t="s">
        <v>49</v>
      </c>
      <c r="H172" s="498"/>
      <c r="I172" s="498"/>
      <c r="J172" s="498"/>
      <c r="K172" s="498"/>
      <c r="L172" s="498"/>
      <c r="M172" s="498"/>
      <c r="N172" s="498"/>
      <c r="O172" s="498"/>
      <c r="P172" s="498"/>
      <c r="Q172" s="498"/>
      <c r="R172" s="498"/>
      <c r="S172" s="498"/>
      <c r="T172" s="498"/>
      <c r="U172" s="498"/>
      <c r="V172" s="498"/>
      <c r="W172" s="498"/>
      <c r="X172" s="498"/>
      <c r="Y172" s="498"/>
      <c r="Z172" s="498"/>
      <c r="AA172" s="498"/>
      <c r="AB172" s="498"/>
      <c r="AC172" s="498"/>
      <c r="AD172" s="498"/>
      <c r="AE172" s="498"/>
      <c r="AF172" s="498"/>
      <c r="AG172" s="498"/>
      <c r="AH172" s="498"/>
      <c r="AI172" s="498"/>
      <c r="AJ172" s="238"/>
      <c r="AK172" s="238"/>
      <c r="AL172" s="238"/>
      <c r="AM172" s="238"/>
      <c r="AN172" s="238"/>
      <c r="AO172" s="238"/>
      <c r="AP172" s="238"/>
      <c r="AQ172" s="238"/>
      <c r="AR172" s="498"/>
    </row>
    <row r="173" spans="1:44" ht="15" customHeight="1">
      <c r="A173" s="498"/>
      <c r="B173" s="498"/>
      <c r="C173" s="498"/>
      <c r="D173" s="498"/>
      <c r="E173" s="553" t="s">
        <v>994</v>
      </c>
      <c r="F173" s="498"/>
      <c r="G173" s="309" t="s">
        <v>49</v>
      </c>
      <c r="H173" s="498"/>
      <c r="I173" s="498"/>
      <c r="J173" s="498"/>
      <c r="K173" s="498"/>
      <c r="L173" s="498"/>
      <c r="M173" s="498"/>
      <c r="N173" s="498"/>
      <c r="O173" s="498"/>
      <c r="P173" s="498"/>
      <c r="Q173" s="498"/>
      <c r="R173" s="498"/>
      <c r="S173" s="498"/>
      <c r="T173" s="498"/>
      <c r="U173" s="498"/>
      <c r="V173" s="498"/>
      <c r="W173" s="498"/>
      <c r="X173" s="498"/>
      <c r="Y173" s="498"/>
      <c r="Z173" s="498"/>
      <c r="AA173" s="498"/>
      <c r="AB173" s="498"/>
      <c r="AC173" s="498"/>
      <c r="AD173" s="498"/>
      <c r="AE173" s="498"/>
      <c r="AF173" s="498"/>
      <c r="AG173" s="498"/>
      <c r="AH173" s="498"/>
      <c r="AI173" s="498"/>
      <c r="AJ173" s="238"/>
      <c r="AK173" s="238"/>
      <c r="AL173" s="238"/>
      <c r="AM173" s="238"/>
      <c r="AN173" s="238"/>
      <c r="AO173" s="238"/>
      <c r="AP173" s="238"/>
      <c r="AQ173" s="238"/>
      <c r="AR173" s="498"/>
    </row>
    <row r="174" spans="1:44" ht="15" customHeight="1">
      <c r="A174" s="498"/>
      <c r="B174" s="498"/>
      <c r="C174" s="498"/>
      <c r="D174" s="498"/>
      <c r="E174" s="410" t="str">
        <f>Input!E174</f>
        <v>Allocation to 100% ‘revenue pool’ expenditure</v>
      </c>
      <c r="F174" s="498"/>
      <c r="G174" s="309" t="s">
        <v>49</v>
      </c>
      <c r="H174" s="498"/>
      <c r="I174" s="498"/>
      <c r="J174" s="498"/>
      <c r="K174" s="498"/>
      <c r="L174" s="498"/>
      <c r="M174" s="498"/>
      <c r="N174" s="498"/>
      <c r="O174" s="498"/>
      <c r="P174" s="498"/>
      <c r="Q174" s="498"/>
      <c r="R174" s="498"/>
      <c r="S174" s="498"/>
      <c r="T174" s="498"/>
      <c r="U174" s="498"/>
      <c r="V174" s="498"/>
      <c r="W174" s="498"/>
      <c r="X174" s="498"/>
      <c r="Y174" s="498"/>
      <c r="Z174" s="498"/>
      <c r="AA174" s="498"/>
      <c r="AB174" s="498"/>
      <c r="AC174" s="498"/>
      <c r="AD174" s="498"/>
      <c r="AE174" s="498"/>
      <c r="AF174" s="498"/>
      <c r="AG174" s="498"/>
      <c r="AH174" s="498"/>
      <c r="AI174" s="498"/>
      <c r="AJ174" s="238"/>
      <c r="AK174" s="238"/>
      <c r="AL174" s="238"/>
      <c r="AM174" s="238"/>
      <c r="AN174" s="238"/>
      <c r="AO174" s="238"/>
      <c r="AP174" s="238"/>
      <c r="AQ174" s="238"/>
      <c r="AR174" s="498"/>
    </row>
    <row r="175" spans="1:44" ht="15" customHeight="1">
      <c r="A175" s="498"/>
      <c r="B175" s="498"/>
      <c r="C175" s="498"/>
      <c r="D175" s="498"/>
      <c r="E175" s="410" t="str">
        <f>Input!E175</f>
        <v>Allocation to controllable opex</v>
      </c>
      <c r="F175" s="498"/>
      <c r="G175" s="309" t="s">
        <v>49</v>
      </c>
      <c r="H175" s="498"/>
      <c r="I175" s="498"/>
      <c r="J175" s="498"/>
      <c r="K175" s="498"/>
      <c r="L175" s="498"/>
      <c r="M175" s="498"/>
      <c r="N175" s="498"/>
      <c r="O175" s="498"/>
      <c r="P175" s="498"/>
      <c r="Q175" s="498"/>
      <c r="R175" s="498"/>
      <c r="S175" s="498"/>
      <c r="T175" s="498"/>
      <c r="U175" s="498"/>
      <c r="V175" s="498"/>
      <c r="W175" s="498"/>
      <c r="X175" s="498"/>
      <c r="Y175" s="498"/>
      <c r="Z175" s="498"/>
      <c r="AA175" s="498"/>
      <c r="AB175" s="498"/>
      <c r="AC175" s="498"/>
      <c r="AD175" s="498"/>
      <c r="AE175" s="498"/>
      <c r="AF175" s="498"/>
      <c r="AG175" s="498"/>
      <c r="AH175" s="498"/>
      <c r="AI175" s="498"/>
      <c r="AJ175" s="238"/>
      <c r="AK175" s="238"/>
      <c r="AL175" s="238"/>
      <c r="AM175" s="238"/>
      <c r="AN175" s="238"/>
      <c r="AO175" s="238"/>
      <c r="AP175" s="238"/>
      <c r="AQ175" s="238"/>
      <c r="AR175" s="498"/>
    </row>
    <row r="176" spans="1:44" ht="15" customHeight="1">
      <c r="A176" s="498"/>
      <c r="B176" s="498"/>
      <c r="C176" s="498"/>
      <c r="D176" s="498"/>
      <c r="E176" s="498"/>
      <c r="F176" s="498"/>
      <c r="G176" s="498"/>
      <c r="H176" s="498"/>
      <c r="I176" s="498"/>
      <c r="J176" s="498"/>
      <c r="K176" s="498"/>
      <c r="L176" s="498"/>
      <c r="M176" s="498"/>
      <c r="N176" s="498"/>
      <c r="O176" s="498"/>
      <c r="P176" s="498"/>
      <c r="Q176" s="498"/>
      <c r="R176" s="498"/>
      <c r="S176" s="498"/>
      <c r="T176" s="498"/>
      <c r="U176" s="498"/>
      <c r="V176" s="498"/>
      <c r="W176" s="498"/>
      <c r="X176" s="498"/>
      <c r="Y176" s="498"/>
      <c r="Z176" s="498"/>
      <c r="AA176" s="498"/>
      <c r="AB176" s="498"/>
      <c r="AC176" s="498"/>
      <c r="AD176" s="498"/>
      <c r="AE176" s="498"/>
      <c r="AF176" s="498"/>
      <c r="AG176" s="498"/>
      <c r="AH176" s="498"/>
      <c r="AI176" s="498"/>
      <c r="AJ176" s="498"/>
      <c r="AK176" s="498"/>
      <c r="AL176" s="498"/>
      <c r="AM176" s="498"/>
      <c r="AN176" s="498"/>
      <c r="AO176" s="498"/>
      <c r="AP176" s="498"/>
      <c r="AQ176" s="498"/>
      <c r="AR176" s="498"/>
    </row>
    <row r="177" spans="1:44" s="309" customFormat="1" ht="15" customHeight="1">
      <c r="E177" s="149" t="str">
        <f>Input!E177</f>
        <v>Spare 1</v>
      </c>
      <c r="G177" s="309" t="s">
        <v>844</v>
      </c>
      <c r="I177" s="409"/>
      <c r="AJ177" s="221"/>
      <c r="AK177" s="221"/>
      <c r="AL177" s="221"/>
      <c r="AM177" s="221"/>
      <c r="AN177" s="221"/>
      <c r="AO177" s="221"/>
      <c r="AP177" s="221"/>
      <c r="AQ177" s="221"/>
    </row>
    <row r="178" spans="1:44" s="309" customFormat="1" ht="15" customHeight="1">
      <c r="E178" s="410" t="str">
        <f>Input!E178</f>
        <v>Allocation to load related capex</v>
      </c>
      <c r="G178" s="309" t="s">
        <v>49</v>
      </c>
      <c r="I178" s="149"/>
      <c r="AJ178" s="238"/>
      <c r="AK178" s="238"/>
      <c r="AL178" s="238"/>
      <c r="AM178" s="238"/>
      <c r="AN178" s="238"/>
      <c r="AO178" s="238"/>
      <c r="AP178" s="238"/>
      <c r="AQ178" s="238"/>
    </row>
    <row r="179" spans="1:44"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1:44"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1:44" s="309" customFormat="1" ht="15" customHeight="1">
      <c r="E181" s="410" t="str">
        <f>Input!E181</f>
        <v>Allocation to faults</v>
      </c>
      <c r="G181" s="309" t="s">
        <v>49</v>
      </c>
      <c r="I181" s="149"/>
      <c r="AJ181" s="238"/>
      <c r="AK181" s="238"/>
      <c r="AL181" s="238"/>
      <c r="AM181" s="238"/>
      <c r="AN181" s="238"/>
      <c r="AO181" s="238"/>
      <c r="AP181" s="238"/>
      <c r="AQ181" s="238"/>
    </row>
    <row r="182" spans="1:44" s="309" customFormat="1" ht="15" customHeight="1">
      <c r="E182" s="553" t="s">
        <v>994</v>
      </c>
      <c r="I182" s="498"/>
      <c r="AJ182" s="238"/>
      <c r="AK182" s="238"/>
      <c r="AL182" s="238"/>
      <c r="AM182" s="238"/>
      <c r="AN182" s="238"/>
      <c r="AO182" s="238"/>
      <c r="AP182" s="238"/>
      <c r="AQ182" s="238"/>
    </row>
    <row r="183" spans="1:44"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1:44" s="309" customFormat="1" ht="15" customHeight="1">
      <c r="E184" s="410" t="str">
        <f>Input!E184</f>
        <v>Allocation to controllable opex</v>
      </c>
      <c r="G184" s="309" t="s">
        <v>49</v>
      </c>
      <c r="I184" s="149"/>
      <c r="AJ184" s="238"/>
      <c r="AK184" s="238"/>
      <c r="AL184" s="238"/>
      <c r="AM184" s="238"/>
      <c r="AN184" s="238"/>
      <c r="AO184" s="238"/>
      <c r="AP184" s="238"/>
      <c r="AQ184" s="238"/>
    </row>
    <row r="186" spans="1:44" ht="15" customHeight="1">
      <c r="E186" s="149" t="str">
        <f>E28</f>
        <v>Spare 2</v>
      </c>
      <c r="F186" s="309"/>
      <c r="G186" s="309" t="s">
        <v>844</v>
      </c>
      <c r="AJ186" s="221"/>
      <c r="AK186" s="221"/>
      <c r="AL186" s="221"/>
      <c r="AM186" s="221"/>
      <c r="AN186" s="221"/>
      <c r="AO186" s="221"/>
      <c r="AP186" s="221"/>
      <c r="AQ186" s="221"/>
    </row>
    <row r="187" spans="1:44" ht="15" customHeight="1">
      <c r="E187" s="410" t="str">
        <f>Input!E187</f>
        <v>Allocation to load related capex</v>
      </c>
      <c r="F187" s="309"/>
      <c r="G187" s="309" t="s">
        <v>49</v>
      </c>
      <c r="AJ187" s="238"/>
      <c r="AK187" s="238"/>
      <c r="AL187" s="238"/>
      <c r="AM187" s="238"/>
      <c r="AN187" s="238"/>
      <c r="AO187" s="238"/>
      <c r="AP187" s="238"/>
      <c r="AQ187" s="238"/>
    </row>
    <row r="188" spans="1:44" ht="15" customHeight="1">
      <c r="E188" s="410" t="str">
        <f>Input!E188</f>
        <v>Allocation to non-load related capex - asset replacement</v>
      </c>
      <c r="F188" s="309"/>
      <c r="G188" s="309" t="s">
        <v>49</v>
      </c>
      <c r="AJ188" s="238"/>
      <c r="AK188" s="238"/>
      <c r="AL188" s="238"/>
      <c r="AM188" s="238"/>
      <c r="AN188" s="238"/>
      <c r="AO188" s="238"/>
      <c r="AP188" s="238"/>
      <c r="AQ188" s="238"/>
    </row>
    <row r="189" spans="1:44" ht="15" customHeight="1">
      <c r="E189" s="410" t="str">
        <f>Input!E189</f>
        <v>Allocation to non-load related capex - other</v>
      </c>
      <c r="F189" s="309"/>
      <c r="G189" s="309" t="s">
        <v>49</v>
      </c>
      <c r="AJ189" s="238"/>
      <c r="AK189" s="238"/>
      <c r="AL189" s="238"/>
      <c r="AM189" s="238"/>
      <c r="AN189" s="238"/>
      <c r="AO189" s="238"/>
      <c r="AP189" s="238"/>
      <c r="AQ189" s="238"/>
    </row>
    <row r="190" spans="1:44" ht="15" customHeight="1">
      <c r="E190" s="410" t="str">
        <f>Input!E190</f>
        <v>Allocation to faults</v>
      </c>
      <c r="F190" s="309"/>
      <c r="G190" s="309" t="s">
        <v>49</v>
      </c>
      <c r="AJ190" s="238"/>
      <c r="AK190" s="238"/>
      <c r="AL190" s="238"/>
      <c r="AM190" s="238"/>
      <c r="AN190" s="238"/>
      <c r="AO190" s="238"/>
      <c r="AP190" s="238"/>
      <c r="AQ190" s="238"/>
    </row>
    <row r="191" spans="1:44" ht="15" customHeight="1">
      <c r="A191" s="498"/>
      <c r="B191" s="498"/>
      <c r="C191" s="498"/>
      <c r="D191" s="498"/>
      <c r="E191" s="553" t="s">
        <v>994</v>
      </c>
      <c r="F191" s="309"/>
      <c r="G191" s="309" t="s">
        <v>49</v>
      </c>
      <c r="H191" s="498"/>
      <c r="I191" s="498"/>
      <c r="J191" s="498"/>
      <c r="K191" s="498"/>
      <c r="L191" s="498"/>
      <c r="M191" s="498"/>
      <c r="N191" s="498"/>
      <c r="O191" s="498"/>
      <c r="P191" s="498"/>
      <c r="Q191" s="498"/>
      <c r="R191" s="498"/>
      <c r="S191" s="498"/>
      <c r="T191" s="498"/>
      <c r="U191" s="498"/>
      <c r="V191" s="498"/>
      <c r="W191" s="498"/>
      <c r="X191" s="498"/>
      <c r="Y191" s="498"/>
      <c r="Z191" s="498"/>
      <c r="AA191" s="498"/>
      <c r="AB191" s="498"/>
      <c r="AC191" s="498"/>
      <c r="AD191" s="498"/>
      <c r="AE191" s="498"/>
      <c r="AF191" s="498"/>
      <c r="AG191" s="498"/>
      <c r="AH191" s="498"/>
      <c r="AI191" s="498"/>
      <c r="AJ191" s="238"/>
      <c r="AK191" s="238"/>
      <c r="AL191" s="238"/>
      <c r="AM191" s="238"/>
      <c r="AN191" s="238"/>
      <c r="AO191" s="238"/>
      <c r="AP191" s="238"/>
      <c r="AQ191" s="238"/>
      <c r="AR191" s="498"/>
    </row>
    <row r="192" spans="1:44" ht="15" customHeight="1">
      <c r="E192" s="410" t="str">
        <f>Input!E192</f>
        <v>Allocation to 100% ‘revenue pool’ expenditure</v>
      </c>
      <c r="F192" s="309"/>
      <c r="G192" s="309" t="s">
        <v>49</v>
      </c>
      <c r="AJ192" s="238"/>
      <c r="AK192" s="238"/>
      <c r="AL192" s="238"/>
      <c r="AM192" s="238"/>
      <c r="AN192" s="238"/>
      <c r="AO192" s="238"/>
      <c r="AP192" s="238"/>
      <c r="AQ192" s="238"/>
    </row>
    <row r="193" spans="1:44" ht="15" customHeight="1">
      <c r="E193" s="410" t="str">
        <f>Input!E193</f>
        <v>Allocation to controllable opex</v>
      </c>
      <c r="F193" s="309"/>
      <c r="G193" s="309" t="s">
        <v>49</v>
      </c>
      <c r="AJ193" s="238"/>
      <c r="AK193" s="238"/>
      <c r="AL193" s="238"/>
      <c r="AM193" s="238"/>
      <c r="AN193" s="238"/>
      <c r="AO193" s="238"/>
      <c r="AP193" s="238"/>
      <c r="AQ193" s="238"/>
    </row>
    <row r="195" spans="1:44" ht="15" customHeight="1">
      <c r="E195" s="149" t="str">
        <f>E29</f>
        <v>Spare 3</v>
      </c>
      <c r="F195" s="309"/>
      <c r="G195" s="309" t="s">
        <v>844</v>
      </c>
      <c r="AJ195" s="221"/>
      <c r="AK195" s="221"/>
      <c r="AL195" s="221"/>
      <c r="AM195" s="221"/>
      <c r="AN195" s="221"/>
      <c r="AO195" s="221"/>
      <c r="AP195" s="221"/>
      <c r="AQ195" s="221"/>
    </row>
    <row r="196" spans="1:44" ht="15" customHeight="1">
      <c r="E196" s="410" t="str">
        <f>Input!E196</f>
        <v>Allocation to load related capex</v>
      </c>
      <c r="F196" s="309"/>
      <c r="G196" s="309" t="s">
        <v>49</v>
      </c>
      <c r="AJ196" s="238"/>
      <c r="AK196" s="238"/>
      <c r="AL196" s="238"/>
      <c r="AM196" s="238"/>
      <c r="AN196" s="238"/>
      <c r="AO196" s="238"/>
      <c r="AP196" s="238"/>
      <c r="AQ196" s="238"/>
    </row>
    <row r="197" spans="1:44" ht="15" customHeight="1">
      <c r="E197" s="410" t="str">
        <f>Input!E197</f>
        <v>Allocation to non-load related capex - asset replacement</v>
      </c>
      <c r="F197" s="309"/>
      <c r="G197" s="309" t="s">
        <v>49</v>
      </c>
      <c r="AJ197" s="238"/>
      <c r="AK197" s="238"/>
      <c r="AL197" s="238"/>
      <c r="AM197" s="238"/>
      <c r="AN197" s="238"/>
      <c r="AO197" s="238"/>
      <c r="AP197" s="238"/>
      <c r="AQ197" s="238"/>
    </row>
    <row r="198" spans="1:44" ht="15" customHeight="1">
      <c r="E198" s="410" t="str">
        <f>Input!E198</f>
        <v>Allocation to non-load related capex - other</v>
      </c>
      <c r="F198" s="309"/>
      <c r="G198" s="309" t="s">
        <v>49</v>
      </c>
      <c r="AJ198" s="238"/>
      <c r="AK198" s="238"/>
      <c r="AL198" s="238"/>
      <c r="AM198" s="238"/>
      <c r="AN198" s="238"/>
      <c r="AO198" s="238"/>
      <c r="AP198" s="238"/>
      <c r="AQ198" s="238"/>
    </row>
    <row r="199" spans="1:44" ht="15" customHeight="1">
      <c r="E199" s="410" t="str">
        <f>Input!E199</f>
        <v>Allocation to faults</v>
      </c>
      <c r="F199" s="309"/>
      <c r="G199" s="309" t="s">
        <v>49</v>
      </c>
      <c r="AJ199" s="238"/>
      <c r="AK199" s="238"/>
      <c r="AL199" s="238"/>
      <c r="AM199" s="238"/>
      <c r="AN199" s="238"/>
      <c r="AO199" s="238"/>
      <c r="AP199" s="238"/>
      <c r="AQ199" s="238"/>
    </row>
    <row r="200" spans="1:44" ht="15" customHeight="1">
      <c r="A200" s="498"/>
      <c r="B200" s="498"/>
      <c r="C200" s="498"/>
      <c r="D200" s="498"/>
      <c r="E200" s="553" t="s">
        <v>994</v>
      </c>
      <c r="F200" s="309"/>
      <c r="G200" s="309" t="s">
        <v>49</v>
      </c>
      <c r="H200" s="498"/>
      <c r="I200" s="498"/>
      <c r="J200" s="498"/>
      <c r="K200" s="498"/>
      <c r="L200" s="498"/>
      <c r="M200" s="498"/>
      <c r="N200" s="498"/>
      <c r="O200" s="498"/>
      <c r="P200" s="498"/>
      <c r="Q200" s="498"/>
      <c r="R200" s="498"/>
      <c r="S200" s="498"/>
      <c r="T200" s="498"/>
      <c r="U200" s="498"/>
      <c r="V200" s="498"/>
      <c r="W200" s="498"/>
      <c r="X200" s="498"/>
      <c r="Y200" s="498"/>
      <c r="Z200" s="498"/>
      <c r="AA200" s="498"/>
      <c r="AB200" s="498"/>
      <c r="AC200" s="498"/>
      <c r="AD200" s="498"/>
      <c r="AE200" s="498"/>
      <c r="AF200" s="498"/>
      <c r="AG200" s="498"/>
      <c r="AH200" s="498"/>
      <c r="AI200" s="498"/>
      <c r="AJ200" s="238"/>
      <c r="AK200" s="238"/>
      <c r="AL200" s="238"/>
      <c r="AM200" s="238"/>
      <c r="AN200" s="238"/>
      <c r="AO200" s="238"/>
      <c r="AP200" s="238"/>
      <c r="AQ200" s="238"/>
      <c r="AR200" s="498"/>
    </row>
    <row r="201" spans="1:44" ht="15" customHeight="1">
      <c r="E201" s="410" t="str">
        <f>Input!E201</f>
        <v>Allocation to 100% ‘revenue pool’ expenditure</v>
      </c>
      <c r="F201" s="309"/>
      <c r="G201" s="309" t="s">
        <v>49</v>
      </c>
      <c r="AJ201" s="238"/>
      <c r="AK201" s="238"/>
      <c r="AL201" s="238"/>
      <c r="AM201" s="238"/>
      <c r="AN201" s="238"/>
      <c r="AO201" s="238"/>
      <c r="AP201" s="238"/>
      <c r="AQ201" s="238"/>
    </row>
    <row r="202" spans="1:44" ht="15" customHeight="1">
      <c r="E202" s="410" t="str">
        <f>Input!E202</f>
        <v>Allocation to controllable opex</v>
      </c>
      <c r="F202" s="309"/>
      <c r="G202" s="309" t="s">
        <v>49</v>
      </c>
      <c r="AJ202" s="238"/>
      <c r="AK202" s="238"/>
      <c r="AL202" s="238"/>
      <c r="AM202" s="238"/>
      <c r="AN202" s="238"/>
      <c r="AO202" s="238"/>
      <c r="AP202" s="238"/>
      <c r="AQ202" s="238"/>
    </row>
    <row r="204" spans="1:44"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1:44" s="309" customFormat="1" ht="15" customHeight="1">
      <c r="E205" s="410" t="str">
        <f>Input!E205</f>
        <v>Allocation to load related capex</v>
      </c>
      <c r="G205" s="309" t="s">
        <v>49</v>
      </c>
      <c r="I205" s="409"/>
      <c r="AJ205" s="238"/>
      <c r="AK205" s="238"/>
      <c r="AL205" s="238"/>
      <c r="AM205" s="238"/>
      <c r="AN205" s="238"/>
      <c r="AO205" s="238"/>
      <c r="AP205" s="238"/>
      <c r="AQ205" s="238"/>
    </row>
    <row r="206" spans="1:44"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1:44"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1:44"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1: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1:44" ht="15" customHeight="1">
      <c r="E243" s="149" t="str">
        <f>Input!E243</f>
        <v>Other legacy adjustments' Revenue adjustment from previous controls (Base)</v>
      </c>
      <c r="G243" s="19" t="s">
        <v>844</v>
      </c>
      <c r="AJ243" s="227"/>
      <c r="AK243" s="227"/>
      <c r="AL243" s="227"/>
      <c r="AM243" s="227"/>
      <c r="AN243" s="227"/>
      <c r="AO243" s="227"/>
      <c r="AP243" s="227"/>
      <c r="AQ243" s="227"/>
    </row>
    <row r="244" spans="1:44"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1: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1:44"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1:44"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1:44"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1:44" ht="15" customHeight="1">
      <c r="A250" s="498"/>
      <c r="B250" s="498"/>
      <c r="C250" s="498"/>
      <c r="D250" s="498"/>
      <c r="E250" s="498"/>
      <c r="F250" s="19"/>
      <c r="G250" s="19"/>
      <c r="H250" s="498"/>
      <c r="I250" s="498"/>
      <c r="J250" s="498"/>
      <c r="K250" s="498"/>
      <c r="L250" s="498"/>
      <c r="M250" s="498"/>
      <c r="N250" s="498"/>
      <c r="O250" s="498"/>
      <c r="P250" s="498"/>
      <c r="Q250" s="498"/>
      <c r="R250" s="498"/>
      <c r="S250" s="498"/>
      <c r="T250" s="498"/>
      <c r="U250" s="498"/>
      <c r="V250" s="498"/>
      <c r="W250" s="498"/>
      <c r="X250" s="498"/>
      <c r="Y250" s="498"/>
      <c r="Z250" s="498"/>
      <c r="AA250" s="498"/>
      <c r="AB250" s="498"/>
      <c r="AC250" s="498"/>
      <c r="AD250" s="498"/>
      <c r="AE250" s="498"/>
      <c r="AF250" s="498"/>
      <c r="AG250" s="498"/>
      <c r="AH250" s="498"/>
      <c r="AI250" s="498"/>
      <c r="AJ250" s="157"/>
      <c r="AK250" s="157"/>
      <c r="AL250" s="157"/>
      <c r="AM250" s="157"/>
      <c r="AN250" s="157"/>
      <c r="AO250" s="157"/>
      <c r="AP250" s="157"/>
      <c r="AQ250" s="157"/>
      <c r="AR250" s="498"/>
    </row>
    <row r="251" spans="1:44" ht="15" customHeight="1">
      <c r="E251" s="149" t="str">
        <f>Input!E251</f>
        <v>Legacy Losses Incentive</v>
      </c>
      <c r="G251" s="19" t="s">
        <v>844</v>
      </c>
      <c r="AJ251" s="236"/>
      <c r="AK251" s="236"/>
      <c r="AL251" s="236"/>
      <c r="AM251" s="236"/>
      <c r="AN251" s="236"/>
      <c r="AO251" s="236"/>
      <c r="AP251" s="236"/>
      <c r="AQ251" s="236"/>
    </row>
    <row r="253" spans="1: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1: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1: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1: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201"/>
      <c r="AL383" s="201"/>
      <c r="AM383" s="201"/>
      <c r="AN383" s="201"/>
      <c r="AO383" s="201"/>
      <c r="AP383" s="201"/>
      <c r="AQ383" s="201"/>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201"/>
      <c r="AL393" s="201"/>
      <c r="AM393" s="201"/>
      <c r="AN393" s="201"/>
      <c r="AO393" s="201"/>
      <c r="AP393" s="201"/>
      <c r="AQ393" s="201"/>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201"/>
      <c r="AL403" s="201"/>
      <c r="AM403" s="201"/>
      <c r="AN403" s="201"/>
      <c r="AO403" s="201"/>
      <c r="AP403" s="201"/>
      <c r="AQ403" s="201"/>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201"/>
      <c r="AL413" s="201"/>
      <c r="AM413" s="201"/>
      <c r="AN413" s="201"/>
      <c r="AO413" s="201"/>
      <c r="AP413" s="201"/>
      <c r="AQ413" s="201"/>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4" s="157" customFormat="1" ht="12.75">
      <c r="AG433" s="24"/>
      <c r="AJ433" s="246"/>
      <c r="AK433" s="246"/>
      <c r="AL433" s="246"/>
      <c r="AM433" s="246"/>
      <c r="AN433" s="246"/>
      <c r="AO433" s="246"/>
      <c r="AP433" s="246"/>
      <c r="AQ433" s="246"/>
    </row>
    <row r="434" spans="1:44" s="149" customFormat="1"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4" s="149" customFormat="1" ht="15" customHeight="1">
      <c r="A435" s="400"/>
    </row>
    <row r="436" spans="1:44" s="149" customFormat="1" ht="15" customHeight="1">
      <c r="A436" s="400"/>
      <c r="E436" s="149" t="s">
        <v>578</v>
      </c>
      <c r="G436" s="149" t="s">
        <v>844</v>
      </c>
      <c r="H436" s="362"/>
      <c r="AJ436" s="227"/>
      <c r="AK436" s="227"/>
      <c r="AL436" s="227"/>
      <c r="AM436" s="227"/>
      <c r="AN436" s="227"/>
      <c r="AO436" s="227"/>
      <c r="AP436" s="227"/>
      <c r="AQ436" s="227"/>
    </row>
    <row r="437" spans="1:44" s="149" customFormat="1" ht="15" customHeight="1">
      <c r="A437" s="400"/>
      <c r="E437" s="149" t="s">
        <v>579</v>
      </c>
      <c r="G437" s="149" t="s">
        <v>844</v>
      </c>
      <c r="H437" s="362"/>
      <c r="AJ437" s="227"/>
      <c r="AK437" s="227"/>
      <c r="AL437" s="227"/>
      <c r="AM437" s="227"/>
      <c r="AN437" s="227"/>
      <c r="AO437" s="227"/>
      <c r="AP437" s="227"/>
      <c r="AQ437" s="227"/>
    </row>
    <row r="438" spans="1:44" s="157" customFormat="1" ht="12.75">
      <c r="A438" s="414"/>
      <c r="AL438" s="195"/>
      <c r="AM438" s="195"/>
      <c r="AN438" s="195"/>
      <c r="AO438" s="195"/>
      <c r="AP438" s="195"/>
      <c r="AQ438" s="195"/>
    </row>
    <row r="439" spans="1:44" s="415" customFormat="1" ht="15" customHeight="1">
      <c r="A439" s="152"/>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c r="AR439" s="152"/>
    </row>
    <row r="440" spans="1:44" s="149" customFormat="1"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1" spans="1:44" s="149" customFormat="1" ht="15" customHeight="1"/>
    <row r="442" spans="1:44" s="149" customFormat="1" ht="15" customHeight="1">
      <c r="E442" s="149" t="s">
        <v>617</v>
      </c>
      <c r="G442" s="149" t="s">
        <v>844</v>
      </c>
      <c r="AJ442" s="227"/>
      <c r="AK442" s="227"/>
      <c r="AL442" s="227"/>
      <c r="AM442" s="227"/>
      <c r="AN442" s="227"/>
      <c r="AO442" s="227"/>
      <c r="AP442" s="227"/>
      <c r="AQ442" s="227"/>
    </row>
    <row r="444" spans="1:44" s="149" customFormat="1"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4" s="152" customFormat="1" ht="15" customHeight="1"/>
    <row r="446" spans="1:44" s="152" customFormat="1" ht="15" customHeight="1">
      <c r="E446" s="152" t="s">
        <v>810</v>
      </c>
      <c r="G446" s="149" t="s">
        <v>844</v>
      </c>
      <c r="AJ446" s="236"/>
      <c r="AK446" s="236"/>
      <c r="AL446" s="236"/>
      <c r="AM446" s="236"/>
      <c r="AN446" s="236"/>
      <c r="AO446" s="236"/>
      <c r="AP446" s="236"/>
      <c r="AQ446" s="236"/>
    </row>
    <row r="447" spans="1:44" ht="15" customHeight="1">
      <c r="E447" s="149" t="s">
        <v>816</v>
      </c>
      <c r="G447" s="149" t="s">
        <v>844</v>
      </c>
      <c r="AJ447" s="236"/>
      <c r="AK447" s="236"/>
      <c r="AL447" s="236"/>
      <c r="AM447" s="236"/>
      <c r="AN447" s="236"/>
      <c r="AO447" s="236"/>
      <c r="AP447" s="236"/>
      <c r="AQ447" s="236"/>
    </row>
    <row r="448" spans="1:44"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21" priority="4" operator="lessThan">
      <formula>1</formula>
    </cfRule>
    <cfRule type="cellIs" dxfId="20" priority="5"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5">
    <tabColor rgb="FF7030A0"/>
    <pageSetUpPr fitToPage="1"/>
  </sheetPr>
  <dimension ref="A1:AR464"/>
  <sheetViews>
    <sheetView zoomScale="70" zoomScaleNormal="70" workbookViewId="0">
      <pane xSplit="10" ySplit="7" topLeftCell="AJ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10.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395"/>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629</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679</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679</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679</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ht="15" customHeight="1">
      <c r="A16" s="498"/>
      <c r="B16" s="498"/>
      <c r="C16" s="498"/>
      <c r="D16" s="498"/>
      <c r="E16" s="221" t="s">
        <v>996</v>
      </c>
      <c r="F16" s="157"/>
      <c r="G16" s="157"/>
      <c r="H16" s="157"/>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224"/>
      <c r="AK16" s="224"/>
      <c r="AL16" s="224"/>
      <c r="AM16" s="224"/>
      <c r="AN16" s="224"/>
      <c r="AO16" s="224"/>
      <c r="AP16" s="224"/>
      <c r="AQ16" s="224"/>
      <c r="AR16" s="498"/>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SWEST!I73 + SWALES!I73 + WMID!I73</f>
        <v>#REF!</v>
      </c>
      <c r="J76" s="88"/>
      <c r="K76" s="88"/>
      <c r="L76" s="88"/>
      <c r="M76" s="88"/>
      <c r="N76" s="88"/>
      <c r="O76" s="88"/>
      <c r="P76" s="88"/>
      <c r="Q76" s="88"/>
      <c r="R76" s="88"/>
      <c r="S76" s="88"/>
      <c r="T76" s="88"/>
      <c r="U76" s="88"/>
      <c r="V76" s="88"/>
      <c r="W76" s="88"/>
      <c r="X76" s="88"/>
      <c r="Y76" s="88"/>
      <c r="Z76" s="88"/>
      <c r="AJ76" s="89"/>
      <c r="AK76" s="280"/>
    </row>
    <row r="77" spans="1:43" s="19" customFormat="1" ht="15" customHeight="1">
      <c r="E77" s="149" t="s">
        <v>872</v>
      </c>
      <c r="G77" s="195" t="s">
        <v>844</v>
      </c>
      <c r="I77" s="236" t="e">
        <f>I74 + SWEST!I74 + SWALES!I74 + WMID!I74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556"/>
      <c r="AK103" s="556"/>
      <c r="AL103" s="556"/>
      <c r="AM103" s="556"/>
      <c r="AN103" s="556"/>
      <c r="AO103" s="556"/>
      <c r="AP103" s="556"/>
      <c r="AQ103" s="556"/>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1:44"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1:44"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1:44" s="309" customFormat="1" ht="15" customHeight="1">
      <c r="E163" s="410" t="str">
        <f>Input!E163</f>
        <v>Allocation to faults</v>
      </c>
      <c r="G163" s="309" t="s">
        <v>49</v>
      </c>
      <c r="I163" s="149"/>
      <c r="AJ163" s="238"/>
      <c r="AK163" s="238"/>
      <c r="AL163" s="238"/>
      <c r="AM163" s="238"/>
      <c r="AN163" s="238"/>
      <c r="AO163" s="238"/>
      <c r="AP163" s="238"/>
      <c r="AQ163" s="238"/>
    </row>
    <row r="164" spans="1:44" s="309" customFormat="1" ht="15" customHeight="1">
      <c r="E164" s="553" t="s">
        <v>994</v>
      </c>
      <c r="G164" s="309" t="s">
        <v>49</v>
      </c>
      <c r="I164" s="498"/>
      <c r="AJ164" s="238"/>
      <c r="AK164" s="238"/>
      <c r="AL164" s="238"/>
      <c r="AM164" s="238"/>
      <c r="AN164" s="238"/>
      <c r="AO164" s="238"/>
      <c r="AP164" s="238"/>
      <c r="AQ164" s="238"/>
    </row>
    <row r="165" spans="1:44"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1:44" s="309" customFormat="1" ht="15" customHeight="1">
      <c r="E166" s="410" t="str">
        <f>Input!E166</f>
        <v>Allocation to controllable opex</v>
      </c>
      <c r="G166" s="309" t="s">
        <v>49</v>
      </c>
      <c r="I166" s="149"/>
      <c r="AJ166" s="238"/>
      <c r="AK166" s="238"/>
      <c r="AL166" s="238"/>
      <c r="AM166" s="238"/>
      <c r="AN166" s="238"/>
      <c r="AO166" s="238"/>
      <c r="AP166" s="238"/>
      <c r="AQ166" s="238"/>
    </row>
    <row r="168" spans="1:44" ht="15" customHeight="1">
      <c r="A168" s="498"/>
      <c r="B168" s="498"/>
      <c r="C168" s="498"/>
      <c r="D168" s="498"/>
      <c r="E168" s="498" t="str">
        <f>Input!E168</f>
        <v>Allowed Expenditure - Rail Electrification</v>
      </c>
      <c r="F168" s="498"/>
      <c r="G168" s="309" t="s">
        <v>844</v>
      </c>
      <c r="H168" s="498"/>
      <c r="I168" s="498"/>
      <c r="J168" s="498"/>
      <c r="K168" s="498"/>
      <c r="L168" s="498"/>
      <c r="M168" s="498"/>
      <c r="N168" s="498"/>
      <c r="O168" s="498"/>
      <c r="P168" s="498"/>
      <c r="Q168" s="498"/>
      <c r="R168" s="498"/>
      <c r="S168" s="498"/>
      <c r="T168" s="498"/>
      <c r="U168" s="498"/>
      <c r="V168" s="498"/>
      <c r="W168" s="498"/>
      <c r="X168" s="498"/>
      <c r="Y168" s="498"/>
      <c r="Z168" s="498"/>
      <c r="AA168" s="498"/>
      <c r="AB168" s="498"/>
      <c r="AC168" s="498"/>
      <c r="AD168" s="498"/>
      <c r="AE168" s="498"/>
      <c r="AF168" s="498"/>
      <c r="AG168" s="498"/>
      <c r="AH168" s="498"/>
      <c r="AI168" s="498"/>
      <c r="AJ168" s="221"/>
      <c r="AK168" s="221"/>
      <c r="AL168" s="221"/>
      <c r="AM168" s="221"/>
      <c r="AN168" s="221"/>
      <c r="AO168" s="221"/>
      <c r="AP168" s="221"/>
      <c r="AQ168" s="221"/>
      <c r="AR168" s="498"/>
    </row>
    <row r="169" spans="1:44" ht="15" customHeight="1">
      <c r="A169" s="498"/>
      <c r="B169" s="498"/>
      <c r="C169" s="498"/>
      <c r="D169" s="498"/>
      <c r="E169" s="410" t="str">
        <f>Input!E169</f>
        <v>Allocation to load related capex</v>
      </c>
      <c r="F169" s="498"/>
      <c r="G169" s="309" t="s">
        <v>49</v>
      </c>
      <c r="H169" s="498"/>
      <c r="I169" s="498"/>
      <c r="J169" s="498"/>
      <c r="K169" s="498"/>
      <c r="L169" s="498"/>
      <c r="M169" s="498"/>
      <c r="N169" s="498"/>
      <c r="O169" s="498"/>
      <c r="P169" s="498"/>
      <c r="Q169" s="498"/>
      <c r="R169" s="498"/>
      <c r="S169" s="498"/>
      <c r="T169" s="498"/>
      <c r="U169" s="498"/>
      <c r="V169" s="498"/>
      <c r="W169" s="498"/>
      <c r="X169" s="498"/>
      <c r="Y169" s="498"/>
      <c r="Z169" s="498"/>
      <c r="AA169" s="498"/>
      <c r="AB169" s="498"/>
      <c r="AC169" s="498"/>
      <c r="AD169" s="498"/>
      <c r="AE169" s="498"/>
      <c r="AF169" s="498"/>
      <c r="AG169" s="498"/>
      <c r="AH169" s="498"/>
      <c r="AI169" s="498"/>
      <c r="AJ169" s="238"/>
      <c r="AK169" s="238"/>
      <c r="AL169" s="238"/>
      <c r="AM169" s="238"/>
      <c r="AN169" s="238"/>
      <c r="AO169" s="238"/>
      <c r="AP169" s="238"/>
      <c r="AQ169" s="238"/>
      <c r="AR169" s="498"/>
    </row>
    <row r="170" spans="1:44" ht="15" customHeight="1">
      <c r="A170" s="498"/>
      <c r="B170" s="498"/>
      <c r="C170" s="498"/>
      <c r="D170" s="498"/>
      <c r="E170" s="410" t="str">
        <f>Input!E170</f>
        <v>Allocation to non-load related capex - asset replacement</v>
      </c>
      <c r="F170" s="498"/>
      <c r="G170" s="309" t="s">
        <v>49</v>
      </c>
      <c r="H170" s="498"/>
      <c r="I170" s="498"/>
      <c r="J170" s="498"/>
      <c r="K170" s="498"/>
      <c r="L170" s="498"/>
      <c r="M170" s="498"/>
      <c r="N170" s="498"/>
      <c r="O170" s="498"/>
      <c r="P170" s="498"/>
      <c r="Q170" s="498"/>
      <c r="R170" s="498"/>
      <c r="S170" s="498"/>
      <c r="T170" s="498"/>
      <c r="U170" s="498"/>
      <c r="V170" s="498"/>
      <c r="W170" s="498"/>
      <c r="X170" s="498"/>
      <c r="Y170" s="498"/>
      <c r="Z170" s="498"/>
      <c r="AA170" s="498"/>
      <c r="AB170" s="498"/>
      <c r="AC170" s="498"/>
      <c r="AD170" s="498"/>
      <c r="AE170" s="498"/>
      <c r="AF170" s="498"/>
      <c r="AG170" s="498"/>
      <c r="AH170" s="498"/>
      <c r="AI170" s="498"/>
      <c r="AJ170" s="238"/>
      <c r="AK170" s="238"/>
      <c r="AL170" s="238"/>
      <c r="AM170" s="238"/>
      <c r="AN170" s="238"/>
      <c r="AO170" s="238"/>
      <c r="AP170" s="238"/>
      <c r="AQ170" s="238"/>
      <c r="AR170" s="498"/>
    </row>
    <row r="171" spans="1:44" ht="15" customHeight="1">
      <c r="A171" s="498"/>
      <c r="B171" s="498"/>
      <c r="C171" s="498"/>
      <c r="D171" s="498"/>
      <c r="E171" s="410" t="str">
        <f>Input!E171</f>
        <v>Allocation to non-load related capex - other</v>
      </c>
      <c r="F171" s="498"/>
      <c r="G171" s="309" t="s">
        <v>49</v>
      </c>
      <c r="H171" s="498"/>
      <c r="I171" s="498"/>
      <c r="J171" s="498"/>
      <c r="K171" s="498"/>
      <c r="L171" s="498"/>
      <c r="M171" s="498"/>
      <c r="N171" s="498"/>
      <c r="O171" s="498"/>
      <c r="P171" s="498"/>
      <c r="Q171" s="498"/>
      <c r="R171" s="498"/>
      <c r="S171" s="498"/>
      <c r="T171" s="498"/>
      <c r="U171" s="498"/>
      <c r="V171" s="498"/>
      <c r="W171" s="498"/>
      <c r="X171" s="498"/>
      <c r="Y171" s="498"/>
      <c r="Z171" s="498"/>
      <c r="AA171" s="498"/>
      <c r="AB171" s="498"/>
      <c r="AC171" s="498"/>
      <c r="AD171" s="498"/>
      <c r="AE171" s="498"/>
      <c r="AF171" s="498"/>
      <c r="AG171" s="498"/>
      <c r="AH171" s="498"/>
      <c r="AI171" s="498"/>
      <c r="AJ171" s="238"/>
      <c r="AK171" s="238"/>
      <c r="AL171" s="238"/>
      <c r="AM171" s="238"/>
      <c r="AN171" s="238"/>
      <c r="AO171" s="238"/>
      <c r="AP171" s="238"/>
      <c r="AQ171" s="238"/>
      <c r="AR171" s="498"/>
    </row>
    <row r="172" spans="1:44" ht="15" customHeight="1">
      <c r="A172" s="498"/>
      <c r="B172" s="498"/>
      <c r="C172" s="498"/>
      <c r="D172" s="498"/>
      <c r="E172" s="410" t="str">
        <f>Input!E172</f>
        <v>Allocation to faults</v>
      </c>
      <c r="F172" s="498"/>
      <c r="G172" s="309" t="s">
        <v>49</v>
      </c>
      <c r="H172" s="498"/>
      <c r="I172" s="498"/>
      <c r="J172" s="498"/>
      <c r="K172" s="498"/>
      <c r="L172" s="498"/>
      <c r="M172" s="498"/>
      <c r="N172" s="498"/>
      <c r="O172" s="498"/>
      <c r="P172" s="498"/>
      <c r="Q172" s="498"/>
      <c r="R172" s="498"/>
      <c r="S172" s="498"/>
      <c r="T172" s="498"/>
      <c r="U172" s="498"/>
      <c r="V172" s="498"/>
      <c r="W172" s="498"/>
      <c r="X172" s="498"/>
      <c r="Y172" s="498"/>
      <c r="Z172" s="498"/>
      <c r="AA172" s="498"/>
      <c r="AB172" s="498"/>
      <c r="AC172" s="498"/>
      <c r="AD172" s="498"/>
      <c r="AE172" s="498"/>
      <c r="AF172" s="498"/>
      <c r="AG172" s="498"/>
      <c r="AH172" s="498"/>
      <c r="AI172" s="498"/>
      <c r="AJ172" s="238"/>
      <c r="AK172" s="238"/>
      <c r="AL172" s="238"/>
      <c r="AM172" s="238"/>
      <c r="AN172" s="238"/>
      <c r="AO172" s="238"/>
      <c r="AP172" s="238"/>
      <c r="AQ172" s="238"/>
      <c r="AR172" s="498"/>
    </row>
    <row r="173" spans="1:44" ht="15" customHeight="1">
      <c r="A173" s="498"/>
      <c r="B173" s="498"/>
      <c r="C173" s="498"/>
      <c r="D173" s="498"/>
      <c r="E173" s="553" t="s">
        <v>994</v>
      </c>
      <c r="F173" s="498"/>
      <c r="G173" s="309" t="s">
        <v>49</v>
      </c>
      <c r="H173" s="498"/>
      <c r="I173" s="498"/>
      <c r="J173" s="498"/>
      <c r="K173" s="498"/>
      <c r="L173" s="498"/>
      <c r="M173" s="498"/>
      <c r="N173" s="498"/>
      <c r="O173" s="498"/>
      <c r="P173" s="498"/>
      <c r="Q173" s="498"/>
      <c r="R173" s="498"/>
      <c r="S173" s="498"/>
      <c r="T173" s="498"/>
      <c r="U173" s="498"/>
      <c r="V173" s="498"/>
      <c r="W173" s="498"/>
      <c r="X173" s="498"/>
      <c r="Y173" s="498"/>
      <c r="Z173" s="498"/>
      <c r="AA173" s="498"/>
      <c r="AB173" s="498"/>
      <c r="AC173" s="498"/>
      <c r="AD173" s="498"/>
      <c r="AE173" s="498"/>
      <c r="AF173" s="498"/>
      <c r="AG173" s="498"/>
      <c r="AH173" s="498"/>
      <c r="AI173" s="498"/>
      <c r="AJ173" s="238"/>
      <c r="AK173" s="238"/>
      <c r="AL173" s="238"/>
      <c r="AM173" s="238"/>
      <c r="AN173" s="238"/>
      <c r="AO173" s="238"/>
      <c r="AP173" s="238"/>
      <c r="AQ173" s="238"/>
      <c r="AR173" s="498"/>
    </row>
    <row r="174" spans="1:44" ht="15" customHeight="1">
      <c r="A174" s="498"/>
      <c r="B174" s="498"/>
      <c r="C174" s="498"/>
      <c r="D174" s="498"/>
      <c r="E174" s="410" t="str">
        <f>Input!E174</f>
        <v>Allocation to 100% ‘revenue pool’ expenditure</v>
      </c>
      <c r="F174" s="498"/>
      <c r="G174" s="309" t="s">
        <v>49</v>
      </c>
      <c r="H174" s="498"/>
      <c r="I174" s="498"/>
      <c r="J174" s="498"/>
      <c r="K174" s="498"/>
      <c r="L174" s="498"/>
      <c r="M174" s="498"/>
      <c r="N174" s="498"/>
      <c r="O174" s="498"/>
      <c r="P174" s="498"/>
      <c r="Q174" s="498"/>
      <c r="R174" s="498"/>
      <c r="S174" s="498"/>
      <c r="T174" s="498"/>
      <c r="U174" s="498"/>
      <c r="V174" s="498"/>
      <c r="W174" s="498"/>
      <c r="X174" s="498"/>
      <c r="Y174" s="498"/>
      <c r="Z174" s="498"/>
      <c r="AA174" s="498"/>
      <c r="AB174" s="498"/>
      <c r="AC174" s="498"/>
      <c r="AD174" s="498"/>
      <c r="AE174" s="498"/>
      <c r="AF174" s="498"/>
      <c r="AG174" s="498"/>
      <c r="AH174" s="498"/>
      <c r="AI174" s="498"/>
      <c r="AJ174" s="238"/>
      <c r="AK174" s="238"/>
      <c r="AL174" s="238"/>
      <c r="AM174" s="238"/>
      <c r="AN174" s="238"/>
      <c r="AO174" s="238"/>
      <c r="AP174" s="238"/>
      <c r="AQ174" s="238"/>
      <c r="AR174" s="498"/>
    </row>
    <row r="175" spans="1:44" ht="15" customHeight="1">
      <c r="A175" s="498"/>
      <c r="B175" s="498"/>
      <c r="C175" s="498"/>
      <c r="D175" s="498"/>
      <c r="E175" s="410" t="str">
        <f>Input!E175</f>
        <v>Allocation to controllable opex</v>
      </c>
      <c r="F175" s="498"/>
      <c r="G175" s="309" t="s">
        <v>49</v>
      </c>
      <c r="H175" s="498"/>
      <c r="I175" s="498"/>
      <c r="J175" s="498"/>
      <c r="K175" s="498"/>
      <c r="L175" s="498"/>
      <c r="M175" s="498"/>
      <c r="N175" s="498"/>
      <c r="O175" s="498"/>
      <c r="P175" s="498"/>
      <c r="Q175" s="498"/>
      <c r="R175" s="498"/>
      <c r="S175" s="498"/>
      <c r="T175" s="498"/>
      <c r="U175" s="498"/>
      <c r="V175" s="498"/>
      <c r="W175" s="498"/>
      <c r="X175" s="498"/>
      <c r="Y175" s="498"/>
      <c r="Z175" s="498"/>
      <c r="AA175" s="498"/>
      <c r="AB175" s="498"/>
      <c r="AC175" s="498"/>
      <c r="AD175" s="498"/>
      <c r="AE175" s="498"/>
      <c r="AF175" s="498"/>
      <c r="AG175" s="498"/>
      <c r="AH175" s="498"/>
      <c r="AI175" s="498"/>
      <c r="AJ175" s="238"/>
      <c r="AK175" s="238"/>
      <c r="AL175" s="238"/>
      <c r="AM175" s="238"/>
      <c r="AN175" s="238"/>
      <c r="AO175" s="238"/>
      <c r="AP175" s="238"/>
      <c r="AQ175" s="238"/>
      <c r="AR175" s="498"/>
    </row>
    <row r="176" spans="1:44" ht="15" customHeight="1">
      <c r="A176" s="498"/>
      <c r="B176" s="498"/>
      <c r="C176" s="498"/>
      <c r="D176" s="498"/>
      <c r="E176" s="498"/>
      <c r="F176" s="498"/>
      <c r="G176" s="498"/>
      <c r="H176" s="498"/>
      <c r="I176" s="498"/>
      <c r="J176" s="498"/>
      <c r="K176" s="498"/>
      <c r="L176" s="498"/>
      <c r="M176" s="498"/>
      <c r="N176" s="498"/>
      <c r="O176" s="498"/>
      <c r="P176" s="498"/>
      <c r="Q176" s="498"/>
      <c r="R176" s="498"/>
      <c r="S176" s="498"/>
      <c r="T176" s="498"/>
      <c r="U176" s="498"/>
      <c r="V176" s="498"/>
      <c r="W176" s="498"/>
      <c r="X176" s="498"/>
      <c r="Y176" s="498"/>
      <c r="Z176" s="498"/>
      <c r="AA176" s="498"/>
      <c r="AB176" s="498"/>
      <c r="AC176" s="498"/>
      <c r="AD176" s="498"/>
      <c r="AE176" s="498"/>
      <c r="AF176" s="498"/>
      <c r="AG176" s="498"/>
      <c r="AH176" s="498"/>
      <c r="AI176" s="498"/>
      <c r="AJ176" s="498"/>
      <c r="AK176" s="498"/>
      <c r="AL176" s="498"/>
      <c r="AM176" s="498"/>
      <c r="AN176" s="498"/>
      <c r="AO176" s="498"/>
      <c r="AP176" s="498"/>
      <c r="AQ176" s="498"/>
      <c r="AR176" s="498"/>
    </row>
    <row r="177" spans="1:44" s="309" customFormat="1" ht="15" customHeight="1">
      <c r="E177" s="149" t="str">
        <f>Input!E177</f>
        <v>Spare 1</v>
      </c>
      <c r="G177" s="309" t="s">
        <v>844</v>
      </c>
      <c r="I177" s="409"/>
      <c r="AJ177" s="221"/>
      <c r="AK177" s="221"/>
      <c r="AL177" s="221"/>
      <c r="AM177" s="221"/>
      <c r="AN177" s="221"/>
      <c r="AO177" s="221"/>
      <c r="AP177" s="221"/>
      <c r="AQ177" s="221"/>
    </row>
    <row r="178" spans="1:44" s="309" customFormat="1" ht="15" customHeight="1">
      <c r="E178" s="410" t="str">
        <f>Input!E178</f>
        <v>Allocation to load related capex</v>
      </c>
      <c r="G178" s="309" t="s">
        <v>49</v>
      </c>
      <c r="I178" s="149"/>
      <c r="AJ178" s="238"/>
      <c r="AK178" s="238"/>
      <c r="AL178" s="238"/>
      <c r="AM178" s="238"/>
      <c r="AN178" s="238"/>
      <c r="AO178" s="238"/>
      <c r="AP178" s="238"/>
      <c r="AQ178" s="238"/>
    </row>
    <row r="179" spans="1:44"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1:44"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1:44" s="309" customFormat="1" ht="15" customHeight="1">
      <c r="E181" s="410" t="str">
        <f>Input!E181</f>
        <v>Allocation to faults</v>
      </c>
      <c r="G181" s="309" t="s">
        <v>49</v>
      </c>
      <c r="I181" s="149"/>
      <c r="AJ181" s="238"/>
      <c r="AK181" s="238"/>
      <c r="AL181" s="238"/>
      <c r="AM181" s="238"/>
      <c r="AN181" s="238"/>
      <c r="AO181" s="238"/>
      <c r="AP181" s="238"/>
      <c r="AQ181" s="238"/>
    </row>
    <row r="182" spans="1:44" s="309" customFormat="1" ht="15" customHeight="1">
      <c r="E182" s="553" t="s">
        <v>994</v>
      </c>
      <c r="I182" s="498"/>
      <c r="AJ182" s="238"/>
      <c r="AK182" s="238"/>
      <c r="AL182" s="238"/>
      <c r="AM182" s="238"/>
      <c r="AN182" s="238"/>
      <c r="AO182" s="238"/>
      <c r="AP182" s="238"/>
      <c r="AQ182" s="238"/>
    </row>
    <row r="183" spans="1:44"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1:44" s="309" customFormat="1" ht="15" customHeight="1">
      <c r="E184" s="410" t="str">
        <f>Input!E184</f>
        <v>Allocation to controllable opex</v>
      </c>
      <c r="G184" s="309" t="s">
        <v>49</v>
      </c>
      <c r="I184" s="149"/>
      <c r="AJ184" s="238"/>
      <c r="AK184" s="238"/>
      <c r="AL184" s="238"/>
      <c r="AM184" s="238"/>
      <c r="AN184" s="238"/>
      <c r="AO184" s="238"/>
      <c r="AP184" s="238"/>
      <c r="AQ184" s="238"/>
    </row>
    <row r="186" spans="1:44" ht="15" customHeight="1">
      <c r="E186" s="149" t="str">
        <f>E28</f>
        <v>Spare 2</v>
      </c>
      <c r="F186" s="309"/>
      <c r="G186" s="309" t="s">
        <v>844</v>
      </c>
      <c r="AJ186" s="221"/>
      <c r="AK186" s="221"/>
      <c r="AL186" s="221"/>
      <c r="AM186" s="221"/>
      <c r="AN186" s="221"/>
      <c r="AO186" s="221"/>
      <c r="AP186" s="221"/>
      <c r="AQ186" s="221"/>
    </row>
    <row r="187" spans="1:44" ht="15" customHeight="1">
      <c r="E187" s="410" t="str">
        <f>Input!E187</f>
        <v>Allocation to load related capex</v>
      </c>
      <c r="F187" s="309"/>
      <c r="G187" s="309" t="s">
        <v>49</v>
      </c>
      <c r="AJ187" s="238"/>
      <c r="AK187" s="238"/>
      <c r="AL187" s="238"/>
      <c r="AM187" s="238"/>
      <c r="AN187" s="238"/>
      <c r="AO187" s="238"/>
      <c r="AP187" s="238"/>
      <c r="AQ187" s="238"/>
    </row>
    <row r="188" spans="1:44" ht="15" customHeight="1">
      <c r="E188" s="410" t="str">
        <f>Input!E188</f>
        <v>Allocation to non-load related capex - asset replacement</v>
      </c>
      <c r="F188" s="309"/>
      <c r="G188" s="309" t="s">
        <v>49</v>
      </c>
      <c r="AJ188" s="238"/>
      <c r="AK188" s="238"/>
      <c r="AL188" s="238"/>
      <c r="AM188" s="238"/>
      <c r="AN188" s="238"/>
      <c r="AO188" s="238"/>
      <c r="AP188" s="238"/>
      <c r="AQ188" s="238"/>
    </row>
    <row r="189" spans="1:44" ht="15" customHeight="1">
      <c r="E189" s="410" t="str">
        <f>Input!E189</f>
        <v>Allocation to non-load related capex - other</v>
      </c>
      <c r="F189" s="309"/>
      <c r="G189" s="309" t="s">
        <v>49</v>
      </c>
      <c r="AJ189" s="238"/>
      <c r="AK189" s="238"/>
      <c r="AL189" s="238"/>
      <c r="AM189" s="238"/>
      <c r="AN189" s="238"/>
      <c r="AO189" s="238"/>
      <c r="AP189" s="238"/>
      <c r="AQ189" s="238"/>
    </row>
    <row r="190" spans="1:44" ht="15" customHeight="1">
      <c r="E190" s="410" t="str">
        <f>Input!E190</f>
        <v>Allocation to faults</v>
      </c>
      <c r="F190" s="309"/>
      <c r="G190" s="309" t="s">
        <v>49</v>
      </c>
      <c r="AJ190" s="238"/>
      <c r="AK190" s="238"/>
      <c r="AL190" s="238"/>
      <c r="AM190" s="238"/>
      <c r="AN190" s="238"/>
      <c r="AO190" s="238"/>
      <c r="AP190" s="238"/>
      <c r="AQ190" s="238"/>
    </row>
    <row r="191" spans="1:44" ht="15" customHeight="1">
      <c r="A191" s="498"/>
      <c r="B191" s="498"/>
      <c r="C191" s="498"/>
      <c r="D191" s="498"/>
      <c r="E191" s="553" t="s">
        <v>994</v>
      </c>
      <c r="F191" s="309"/>
      <c r="G191" s="309" t="s">
        <v>49</v>
      </c>
      <c r="H191" s="498"/>
      <c r="I191" s="498"/>
      <c r="J191" s="498"/>
      <c r="K191" s="498"/>
      <c r="L191" s="498"/>
      <c r="M191" s="498"/>
      <c r="N191" s="498"/>
      <c r="O191" s="498"/>
      <c r="P191" s="498"/>
      <c r="Q191" s="498"/>
      <c r="R191" s="498"/>
      <c r="S191" s="498"/>
      <c r="T191" s="498"/>
      <c r="U191" s="498"/>
      <c r="V191" s="498"/>
      <c r="W191" s="498"/>
      <c r="X191" s="498"/>
      <c r="Y191" s="498"/>
      <c r="Z191" s="498"/>
      <c r="AA191" s="498"/>
      <c r="AB191" s="498"/>
      <c r="AC191" s="498"/>
      <c r="AD191" s="498"/>
      <c r="AE191" s="498"/>
      <c r="AF191" s="498"/>
      <c r="AG191" s="498"/>
      <c r="AH191" s="498"/>
      <c r="AI191" s="498"/>
      <c r="AJ191" s="238"/>
      <c r="AK191" s="238"/>
      <c r="AL191" s="238"/>
      <c r="AM191" s="238"/>
      <c r="AN191" s="238"/>
      <c r="AO191" s="238"/>
      <c r="AP191" s="238"/>
      <c r="AQ191" s="238"/>
      <c r="AR191" s="498"/>
    </row>
    <row r="192" spans="1:44" ht="15" customHeight="1">
      <c r="E192" s="410" t="str">
        <f>Input!E192</f>
        <v>Allocation to 100% ‘revenue pool’ expenditure</v>
      </c>
      <c r="F192" s="309"/>
      <c r="G192" s="309" t="s">
        <v>49</v>
      </c>
      <c r="AJ192" s="238"/>
      <c r="AK192" s="238"/>
      <c r="AL192" s="238"/>
      <c r="AM192" s="238"/>
      <c r="AN192" s="238"/>
      <c r="AO192" s="238"/>
      <c r="AP192" s="238"/>
      <c r="AQ192" s="238"/>
    </row>
    <row r="193" spans="1:44" ht="15" customHeight="1">
      <c r="E193" s="410" t="str">
        <f>Input!E193</f>
        <v>Allocation to controllable opex</v>
      </c>
      <c r="F193" s="309"/>
      <c r="G193" s="309" t="s">
        <v>49</v>
      </c>
      <c r="AJ193" s="238"/>
      <c r="AK193" s="238"/>
      <c r="AL193" s="238"/>
      <c r="AM193" s="238"/>
      <c r="AN193" s="238"/>
      <c r="AO193" s="238"/>
      <c r="AP193" s="238"/>
      <c r="AQ193" s="238"/>
    </row>
    <row r="195" spans="1:44" ht="15" customHeight="1">
      <c r="E195" s="149" t="str">
        <f>E29</f>
        <v>Spare 3</v>
      </c>
      <c r="F195" s="309"/>
      <c r="G195" s="309" t="s">
        <v>844</v>
      </c>
      <c r="AJ195" s="221"/>
      <c r="AK195" s="221"/>
      <c r="AL195" s="221"/>
      <c r="AM195" s="221"/>
      <c r="AN195" s="221"/>
      <c r="AO195" s="221"/>
      <c r="AP195" s="221"/>
      <c r="AQ195" s="221"/>
    </row>
    <row r="196" spans="1:44" ht="15" customHeight="1">
      <c r="E196" s="410" t="str">
        <f>Input!E196</f>
        <v>Allocation to load related capex</v>
      </c>
      <c r="F196" s="309"/>
      <c r="G196" s="309" t="s">
        <v>49</v>
      </c>
      <c r="AJ196" s="238"/>
      <c r="AK196" s="238"/>
      <c r="AL196" s="238"/>
      <c r="AM196" s="238"/>
      <c r="AN196" s="238"/>
      <c r="AO196" s="238"/>
      <c r="AP196" s="238"/>
      <c r="AQ196" s="238"/>
    </row>
    <row r="197" spans="1:44" ht="15" customHeight="1">
      <c r="E197" s="410" t="str">
        <f>Input!E197</f>
        <v>Allocation to non-load related capex - asset replacement</v>
      </c>
      <c r="F197" s="309"/>
      <c r="G197" s="309" t="s">
        <v>49</v>
      </c>
      <c r="AJ197" s="238"/>
      <c r="AK197" s="238"/>
      <c r="AL197" s="238"/>
      <c r="AM197" s="238"/>
      <c r="AN197" s="238"/>
      <c r="AO197" s="238"/>
      <c r="AP197" s="238"/>
      <c r="AQ197" s="238"/>
    </row>
    <row r="198" spans="1:44" ht="15" customHeight="1">
      <c r="E198" s="410" t="str">
        <f>Input!E198</f>
        <v>Allocation to non-load related capex - other</v>
      </c>
      <c r="F198" s="309"/>
      <c r="G198" s="309" t="s">
        <v>49</v>
      </c>
      <c r="AJ198" s="238"/>
      <c r="AK198" s="238"/>
      <c r="AL198" s="238"/>
      <c r="AM198" s="238"/>
      <c r="AN198" s="238"/>
      <c r="AO198" s="238"/>
      <c r="AP198" s="238"/>
      <c r="AQ198" s="238"/>
    </row>
    <row r="199" spans="1:44" ht="15" customHeight="1">
      <c r="E199" s="410" t="str">
        <f>Input!E199</f>
        <v>Allocation to faults</v>
      </c>
      <c r="F199" s="309"/>
      <c r="G199" s="309" t="s">
        <v>49</v>
      </c>
      <c r="AJ199" s="238"/>
      <c r="AK199" s="238"/>
      <c r="AL199" s="238"/>
      <c r="AM199" s="238"/>
      <c r="AN199" s="238"/>
      <c r="AO199" s="238"/>
      <c r="AP199" s="238"/>
      <c r="AQ199" s="238"/>
    </row>
    <row r="200" spans="1:44" ht="15" customHeight="1">
      <c r="A200" s="498"/>
      <c r="B200" s="498"/>
      <c r="C200" s="498"/>
      <c r="D200" s="498"/>
      <c r="E200" s="553" t="s">
        <v>994</v>
      </c>
      <c r="F200" s="309"/>
      <c r="G200" s="309" t="s">
        <v>49</v>
      </c>
      <c r="H200" s="498"/>
      <c r="I200" s="498"/>
      <c r="J200" s="498"/>
      <c r="K200" s="498"/>
      <c r="L200" s="498"/>
      <c r="M200" s="498"/>
      <c r="N200" s="498"/>
      <c r="O200" s="498"/>
      <c r="P200" s="498"/>
      <c r="Q200" s="498"/>
      <c r="R200" s="498"/>
      <c r="S200" s="498"/>
      <c r="T200" s="498"/>
      <c r="U200" s="498"/>
      <c r="V200" s="498"/>
      <c r="W200" s="498"/>
      <c r="X200" s="498"/>
      <c r="Y200" s="498"/>
      <c r="Z200" s="498"/>
      <c r="AA200" s="498"/>
      <c r="AB200" s="498"/>
      <c r="AC200" s="498"/>
      <c r="AD200" s="498"/>
      <c r="AE200" s="498"/>
      <c r="AF200" s="498"/>
      <c r="AG200" s="498"/>
      <c r="AH200" s="498"/>
      <c r="AI200" s="498"/>
      <c r="AJ200" s="238"/>
      <c r="AK200" s="238"/>
      <c r="AL200" s="238"/>
      <c r="AM200" s="238"/>
      <c r="AN200" s="238"/>
      <c r="AO200" s="238"/>
      <c r="AP200" s="238"/>
      <c r="AQ200" s="238"/>
      <c r="AR200" s="498"/>
    </row>
    <row r="201" spans="1:44" ht="15" customHeight="1">
      <c r="E201" s="410" t="str">
        <f>Input!E201</f>
        <v>Allocation to 100% ‘revenue pool’ expenditure</v>
      </c>
      <c r="F201" s="309"/>
      <c r="G201" s="309" t="s">
        <v>49</v>
      </c>
      <c r="AJ201" s="238"/>
      <c r="AK201" s="238"/>
      <c r="AL201" s="238"/>
      <c r="AM201" s="238"/>
      <c r="AN201" s="238"/>
      <c r="AO201" s="238"/>
      <c r="AP201" s="238"/>
      <c r="AQ201" s="238"/>
    </row>
    <row r="202" spans="1:44" ht="15" customHeight="1">
      <c r="E202" s="410" t="str">
        <f>Input!E202</f>
        <v>Allocation to controllable opex</v>
      </c>
      <c r="F202" s="309"/>
      <c r="G202" s="309" t="s">
        <v>49</v>
      </c>
      <c r="AJ202" s="238"/>
      <c r="AK202" s="238"/>
      <c r="AL202" s="238"/>
      <c r="AM202" s="238"/>
      <c r="AN202" s="238"/>
      <c r="AO202" s="238"/>
      <c r="AP202" s="238"/>
      <c r="AQ202" s="238"/>
    </row>
    <row r="204" spans="1:44"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1:44" s="309" customFormat="1" ht="15" customHeight="1">
      <c r="E205" s="410" t="str">
        <f>Input!E205</f>
        <v>Allocation to load related capex</v>
      </c>
      <c r="G205" s="309" t="s">
        <v>49</v>
      </c>
      <c r="I205" s="409"/>
      <c r="AJ205" s="238"/>
      <c r="AK205" s="238"/>
      <c r="AL205" s="238"/>
      <c r="AM205" s="238"/>
      <c r="AN205" s="238"/>
      <c r="AO205" s="238"/>
      <c r="AP205" s="238"/>
      <c r="AQ205" s="238"/>
    </row>
    <row r="206" spans="1:44"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1:44"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1:44"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1: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1:44" ht="15" customHeight="1">
      <c r="E243" s="149" t="str">
        <f>Input!E243</f>
        <v>Other legacy adjustments' Revenue adjustment from previous controls (Base)</v>
      </c>
      <c r="G243" s="19" t="s">
        <v>844</v>
      </c>
      <c r="AJ243" s="227"/>
      <c r="AK243" s="227"/>
      <c r="AL243" s="227"/>
      <c r="AM243" s="227"/>
      <c r="AN243" s="227"/>
      <c r="AO243" s="227"/>
      <c r="AP243" s="227"/>
      <c r="AQ243" s="227"/>
    </row>
    <row r="244" spans="1:44"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1: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1:44"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1:44"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1:44"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1:44" ht="15" customHeight="1">
      <c r="A250" s="498"/>
      <c r="B250" s="498"/>
      <c r="C250" s="498"/>
      <c r="D250" s="498"/>
      <c r="E250" s="498"/>
      <c r="F250" s="19"/>
      <c r="G250" s="19"/>
      <c r="H250" s="498"/>
      <c r="I250" s="498"/>
      <c r="J250" s="498"/>
      <c r="K250" s="498"/>
      <c r="L250" s="498"/>
      <c r="M250" s="498"/>
      <c r="N250" s="498"/>
      <c r="O250" s="498"/>
      <c r="P250" s="498"/>
      <c r="Q250" s="498"/>
      <c r="R250" s="498"/>
      <c r="S250" s="498"/>
      <c r="T250" s="498"/>
      <c r="U250" s="498"/>
      <c r="V250" s="498"/>
      <c r="W250" s="498"/>
      <c r="X250" s="498"/>
      <c r="Y250" s="498"/>
      <c r="Z250" s="498"/>
      <c r="AA250" s="498"/>
      <c r="AB250" s="498"/>
      <c r="AC250" s="498"/>
      <c r="AD250" s="498"/>
      <c r="AE250" s="498"/>
      <c r="AF250" s="498"/>
      <c r="AG250" s="498"/>
      <c r="AH250" s="498"/>
      <c r="AI250" s="498"/>
      <c r="AJ250" s="157"/>
      <c r="AK250" s="157"/>
      <c r="AL250" s="157"/>
      <c r="AM250" s="157"/>
      <c r="AN250" s="157"/>
      <c r="AO250" s="157"/>
      <c r="AP250" s="157"/>
      <c r="AQ250" s="157"/>
      <c r="AR250" s="498"/>
    </row>
    <row r="251" spans="1:44" ht="15" customHeight="1">
      <c r="E251" s="149" t="str">
        <f>Input!E251</f>
        <v>Legacy Losses Incentive</v>
      </c>
      <c r="G251" s="19" t="s">
        <v>844</v>
      </c>
      <c r="AJ251" s="236"/>
      <c r="AK251" s="236"/>
      <c r="AL251" s="236"/>
      <c r="AM251" s="236"/>
      <c r="AN251" s="236"/>
      <c r="AO251" s="236"/>
      <c r="AP251" s="236"/>
      <c r="AQ251" s="236"/>
    </row>
    <row r="253" spans="1: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1: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1: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1: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4" s="157" customFormat="1" ht="12.75">
      <c r="AG433" s="24"/>
      <c r="AJ433" s="246"/>
      <c r="AK433" s="246"/>
      <c r="AL433" s="246"/>
      <c r="AM433" s="246"/>
      <c r="AN433" s="246"/>
      <c r="AO433" s="246"/>
      <c r="AP433" s="246"/>
      <c r="AQ433" s="246"/>
    </row>
    <row r="434" spans="1:44" s="149" customFormat="1"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4" s="149" customFormat="1" ht="15" customHeight="1">
      <c r="A435" s="400"/>
    </row>
    <row r="436" spans="1:44" s="149" customFormat="1" ht="15" customHeight="1">
      <c r="A436" s="400"/>
      <c r="E436" s="149" t="s">
        <v>578</v>
      </c>
      <c r="G436" s="149" t="s">
        <v>844</v>
      </c>
      <c r="H436" s="362"/>
      <c r="AJ436" s="227"/>
      <c r="AK436" s="227"/>
      <c r="AL436" s="227"/>
      <c r="AM436" s="227"/>
      <c r="AN436" s="227"/>
      <c r="AO436" s="227"/>
      <c r="AP436" s="227"/>
      <c r="AQ436" s="227"/>
    </row>
    <row r="437" spans="1:44" s="149" customFormat="1" ht="15" customHeight="1">
      <c r="A437" s="400"/>
      <c r="E437" s="149" t="s">
        <v>579</v>
      </c>
      <c r="G437" s="149" t="s">
        <v>844</v>
      </c>
      <c r="H437" s="362"/>
      <c r="AJ437" s="227"/>
      <c r="AK437" s="227"/>
      <c r="AL437" s="227"/>
      <c r="AM437" s="227"/>
      <c r="AN437" s="227"/>
      <c r="AO437" s="227"/>
      <c r="AP437" s="227"/>
      <c r="AQ437" s="227"/>
    </row>
    <row r="438" spans="1:44" s="157" customFormat="1" ht="12.75">
      <c r="A438" s="414"/>
      <c r="AL438" s="195"/>
      <c r="AM438" s="195"/>
      <c r="AN438" s="195"/>
      <c r="AO438" s="195"/>
      <c r="AP438" s="195"/>
      <c r="AQ438" s="195"/>
    </row>
    <row r="439" spans="1:44" s="415" customFormat="1" ht="15" customHeight="1">
      <c r="A439" s="152"/>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c r="AR439" s="152"/>
    </row>
    <row r="440" spans="1:44" s="149" customFormat="1"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1" spans="1:44" s="149" customFormat="1" ht="15" customHeight="1"/>
    <row r="442" spans="1:44" s="149" customFormat="1" ht="15" customHeight="1">
      <c r="E442" s="149" t="s">
        <v>617</v>
      </c>
      <c r="G442" s="149" t="s">
        <v>844</v>
      </c>
      <c r="AJ442" s="227"/>
      <c r="AK442" s="227"/>
      <c r="AL442" s="227"/>
      <c r="AM442" s="227"/>
      <c r="AN442" s="227"/>
      <c r="AO442" s="227"/>
      <c r="AP442" s="227"/>
      <c r="AQ442" s="227"/>
    </row>
    <row r="444" spans="1:44" s="149" customFormat="1"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4" s="152" customFormat="1" ht="15" customHeight="1"/>
    <row r="446" spans="1:44" s="152" customFormat="1" ht="15" customHeight="1">
      <c r="E446" s="152" t="s">
        <v>810</v>
      </c>
      <c r="G446" s="149" t="s">
        <v>844</v>
      </c>
      <c r="AJ446" s="236"/>
      <c r="AK446" s="236"/>
      <c r="AL446" s="236"/>
      <c r="AM446" s="236"/>
      <c r="AN446" s="236"/>
      <c r="AO446" s="236"/>
      <c r="AP446" s="236"/>
      <c r="AQ446" s="236"/>
    </row>
    <row r="447" spans="1:44" ht="15" customHeight="1">
      <c r="E447" s="149" t="s">
        <v>816</v>
      </c>
      <c r="G447" s="149" t="s">
        <v>844</v>
      </c>
      <c r="AJ447" s="236"/>
      <c r="AK447" s="236"/>
      <c r="AL447" s="236"/>
      <c r="AM447" s="236"/>
      <c r="AN447" s="236"/>
      <c r="AO447" s="236"/>
      <c r="AP447" s="236"/>
      <c r="AQ447" s="236"/>
    </row>
    <row r="448" spans="1:44"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19" priority="4" operator="lessThan">
      <formula>1</formula>
    </cfRule>
    <cfRule type="cellIs" dxfId="18" priority="5"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6">
    <tabColor rgb="FF7030A0"/>
    <pageSetUpPr fitToPage="1"/>
  </sheetPr>
  <dimension ref="A1:AR464"/>
  <sheetViews>
    <sheetView zoomScale="70" zoomScaleNormal="70" workbookViewId="0">
      <pane xSplit="10" ySplit="7" topLeftCell="AH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14.75" style="149" customWidth="1"/>
    <col min="7" max="7" width="12.625" style="149" customWidth="1"/>
    <col min="8" max="8" width="6"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395"/>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630</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680</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680</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697</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ht="15" customHeight="1">
      <c r="A16" s="498"/>
      <c r="B16" s="498"/>
      <c r="C16" s="498"/>
      <c r="D16" s="498"/>
      <c r="E16" s="221" t="s">
        <v>996</v>
      </c>
      <c r="F16" s="157"/>
      <c r="G16" s="157"/>
      <c r="H16" s="157"/>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224"/>
      <c r="AK16" s="224"/>
      <c r="AL16" s="224"/>
      <c r="AM16" s="224"/>
      <c r="AN16" s="224"/>
      <c r="AO16" s="224"/>
      <c r="AP16" s="224"/>
      <c r="AQ16" s="224"/>
      <c r="AR16" s="498"/>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EMID!I73 + SWEST!I73 + WMID!I73</f>
        <v>#REF!</v>
      </c>
      <c r="J76" s="88"/>
      <c r="K76" s="88"/>
      <c r="L76" s="88"/>
      <c r="M76" s="88"/>
      <c r="N76" s="88"/>
      <c r="O76" s="88"/>
      <c r="P76" s="88"/>
      <c r="Q76" s="88"/>
      <c r="R76" s="88"/>
      <c r="S76" s="88"/>
      <c r="T76" s="88"/>
      <c r="U76" s="88"/>
      <c r="V76" s="88"/>
      <c r="W76" s="88"/>
      <c r="X76" s="88"/>
      <c r="Y76" s="88"/>
      <c r="Z76" s="88"/>
      <c r="AJ76" s="89"/>
      <c r="AK76" s="280"/>
    </row>
    <row r="77" spans="1:43" s="19" customFormat="1" ht="15" customHeight="1">
      <c r="E77" s="149" t="s">
        <v>872</v>
      </c>
      <c r="G77" s="195" t="s">
        <v>844</v>
      </c>
      <c r="I77" s="236" t="e">
        <f>I74 + EMID!I74 + SWEST!I74 + WMID!I74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1:44"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1:44"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1:44" s="309" customFormat="1" ht="15" customHeight="1">
      <c r="E163" s="410" t="str">
        <f>Input!E163</f>
        <v>Allocation to faults</v>
      </c>
      <c r="G163" s="309" t="s">
        <v>49</v>
      </c>
      <c r="I163" s="149"/>
      <c r="AJ163" s="238"/>
      <c r="AK163" s="238"/>
      <c r="AL163" s="238"/>
      <c r="AM163" s="238"/>
      <c r="AN163" s="238"/>
      <c r="AO163" s="238"/>
      <c r="AP163" s="238"/>
      <c r="AQ163" s="238"/>
    </row>
    <row r="164" spans="1:44" s="309" customFormat="1" ht="15" customHeight="1">
      <c r="E164" s="553" t="s">
        <v>994</v>
      </c>
      <c r="G164" s="309" t="s">
        <v>49</v>
      </c>
      <c r="I164" s="498"/>
      <c r="AJ164" s="238"/>
      <c r="AK164" s="238"/>
      <c r="AL164" s="238"/>
      <c r="AM164" s="238"/>
      <c r="AN164" s="238"/>
      <c r="AO164" s="238"/>
      <c r="AP164" s="238"/>
      <c r="AQ164" s="238"/>
    </row>
    <row r="165" spans="1:44"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1:44" s="309" customFormat="1" ht="15" customHeight="1">
      <c r="E166" s="410" t="str">
        <f>Input!E166</f>
        <v>Allocation to controllable opex</v>
      </c>
      <c r="G166" s="309" t="s">
        <v>49</v>
      </c>
      <c r="I166" s="149"/>
      <c r="AJ166" s="238"/>
      <c r="AK166" s="238"/>
      <c r="AL166" s="238"/>
      <c r="AM166" s="238"/>
      <c r="AN166" s="238"/>
      <c r="AO166" s="238"/>
      <c r="AP166" s="238"/>
      <c r="AQ166" s="238"/>
    </row>
    <row r="168" spans="1:44" ht="15" customHeight="1">
      <c r="A168" s="498"/>
      <c r="B168" s="498"/>
      <c r="C168" s="498"/>
      <c r="D168" s="498"/>
      <c r="E168" s="498" t="str">
        <f>Input!E168</f>
        <v>Allowed Expenditure - Rail Electrification</v>
      </c>
      <c r="F168" s="498"/>
      <c r="G168" s="309" t="s">
        <v>844</v>
      </c>
      <c r="H168" s="498"/>
      <c r="I168" s="498"/>
      <c r="J168" s="498"/>
      <c r="K168" s="498"/>
      <c r="L168" s="498"/>
      <c r="M168" s="498"/>
      <c r="N168" s="498"/>
      <c r="O168" s="498"/>
      <c r="P168" s="498"/>
      <c r="Q168" s="498"/>
      <c r="R168" s="498"/>
      <c r="S168" s="498"/>
      <c r="T168" s="498"/>
      <c r="U168" s="498"/>
      <c r="V168" s="498"/>
      <c r="W168" s="498"/>
      <c r="X168" s="498"/>
      <c r="Y168" s="498"/>
      <c r="Z168" s="498"/>
      <c r="AA168" s="498"/>
      <c r="AB168" s="498"/>
      <c r="AC168" s="498"/>
      <c r="AD168" s="498"/>
      <c r="AE168" s="498"/>
      <c r="AF168" s="498"/>
      <c r="AG168" s="498"/>
      <c r="AH168" s="498"/>
      <c r="AI168" s="498"/>
      <c r="AJ168" s="221"/>
      <c r="AK168" s="221"/>
      <c r="AL168" s="221"/>
      <c r="AM168" s="221"/>
      <c r="AN168" s="221"/>
      <c r="AO168" s="221"/>
      <c r="AP168" s="221"/>
      <c r="AQ168" s="221"/>
      <c r="AR168" s="498"/>
    </row>
    <row r="169" spans="1:44" ht="15" customHeight="1">
      <c r="A169" s="498"/>
      <c r="B169" s="498"/>
      <c r="C169" s="498"/>
      <c r="D169" s="498"/>
      <c r="E169" s="410" t="str">
        <f>Input!E169</f>
        <v>Allocation to load related capex</v>
      </c>
      <c r="F169" s="498"/>
      <c r="G169" s="309" t="s">
        <v>49</v>
      </c>
      <c r="H169" s="498"/>
      <c r="I169" s="498"/>
      <c r="J169" s="498"/>
      <c r="K169" s="498"/>
      <c r="L169" s="498"/>
      <c r="M169" s="498"/>
      <c r="N169" s="498"/>
      <c r="O169" s="498"/>
      <c r="P169" s="498"/>
      <c r="Q169" s="498"/>
      <c r="R169" s="498"/>
      <c r="S169" s="498"/>
      <c r="T169" s="498"/>
      <c r="U169" s="498"/>
      <c r="V169" s="498"/>
      <c r="W169" s="498"/>
      <c r="X169" s="498"/>
      <c r="Y169" s="498"/>
      <c r="Z169" s="498"/>
      <c r="AA169" s="498"/>
      <c r="AB169" s="498"/>
      <c r="AC169" s="498"/>
      <c r="AD169" s="498"/>
      <c r="AE169" s="498"/>
      <c r="AF169" s="498"/>
      <c r="AG169" s="498"/>
      <c r="AH169" s="498"/>
      <c r="AI169" s="498"/>
      <c r="AJ169" s="238"/>
      <c r="AK169" s="238"/>
      <c r="AL169" s="238"/>
      <c r="AM169" s="238"/>
      <c r="AN169" s="238"/>
      <c r="AO169" s="238"/>
      <c r="AP169" s="238"/>
      <c r="AQ169" s="238"/>
      <c r="AR169" s="498"/>
    </row>
    <row r="170" spans="1:44" ht="15" customHeight="1">
      <c r="A170" s="498"/>
      <c r="B170" s="498"/>
      <c r="C170" s="498"/>
      <c r="D170" s="498"/>
      <c r="E170" s="410" t="str">
        <f>Input!E170</f>
        <v>Allocation to non-load related capex - asset replacement</v>
      </c>
      <c r="F170" s="498"/>
      <c r="G170" s="309" t="s">
        <v>49</v>
      </c>
      <c r="H170" s="498"/>
      <c r="I170" s="498"/>
      <c r="J170" s="498"/>
      <c r="K170" s="498"/>
      <c r="L170" s="498"/>
      <c r="M170" s="498"/>
      <c r="N170" s="498"/>
      <c r="O170" s="498"/>
      <c r="P170" s="498"/>
      <c r="Q170" s="498"/>
      <c r="R170" s="498"/>
      <c r="S170" s="498"/>
      <c r="T170" s="498"/>
      <c r="U170" s="498"/>
      <c r="V170" s="498"/>
      <c r="W170" s="498"/>
      <c r="X170" s="498"/>
      <c r="Y170" s="498"/>
      <c r="Z170" s="498"/>
      <c r="AA170" s="498"/>
      <c r="AB170" s="498"/>
      <c r="AC170" s="498"/>
      <c r="AD170" s="498"/>
      <c r="AE170" s="498"/>
      <c r="AF170" s="498"/>
      <c r="AG170" s="498"/>
      <c r="AH170" s="498"/>
      <c r="AI170" s="498"/>
      <c r="AJ170" s="238"/>
      <c r="AK170" s="238"/>
      <c r="AL170" s="238"/>
      <c r="AM170" s="238"/>
      <c r="AN170" s="238"/>
      <c r="AO170" s="238"/>
      <c r="AP170" s="238"/>
      <c r="AQ170" s="238"/>
      <c r="AR170" s="498"/>
    </row>
    <row r="171" spans="1:44" ht="15" customHeight="1">
      <c r="A171" s="498"/>
      <c r="B171" s="498"/>
      <c r="C171" s="498"/>
      <c r="D171" s="498"/>
      <c r="E171" s="410" t="str">
        <f>Input!E171</f>
        <v>Allocation to non-load related capex - other</v>
      </c>
      <c r="F171" s="498"/>
      <c r="G171" s="309" t="s">
        <v>49</v>
      </c>
      <c r="H171" s="498"/>
      <c r="I171" s="498"/>
      <c r="J171" s="498"/>
      <c r="K171" s="498"/>
      <c r="L171" s="498"/>
      <c r="M171" s="498"/>
      <c r="N171" s="498"/>
      <c r="O171" s="498"/>
      <c r="P171" s="498"/>
      <c r="Q171" s="498"/>
      <c r="R171" s="498"/>
      <c r="S171" s="498"/>
      <c r="T171" s="498"/>
      <c r="U171" s="498"/>
      <c r="V171" s="498"/>
      <c r="W171" s="498"/>
      <c r="X171" s="498"/>
      <c r="Y171" s="498"/>
      <c r="Z171" s="498"/>
      <c r="AA171" s="498"/>
      <c r="AB171" s="498"/>
      <c r="AC171" s="498"/>
      <c r="AD171" s="498"/>
      <c r="AE171" s="498"/>
      <c r="AF171" s="498"/>
      <c r="AG171" s="498"/>
      <c r="AH171" s="498"/>
      <c r="AI171" s="498"/>
      <c r="AJ171" s="238"/>
      <c r="AK171" s="238"/>
      <c r="AL171" s="238"/>
      <c r="AM171" s="238"/>
      <c r="AN171" s="238"/>
      <c r="AO171" s="238"/>
      <c r="AP171" s="238"/>
      <c r="AQ171" s="238"/>
      <c r="AR171" s="498"/>
    </row>
    <row r="172" spans="1:44" ht="15" customHeight="1">
      <c r="A172" s="498"/>
      <c r="B172" s="498"/>
      <c r="C172" s="498"/>
      <c r="D172" s="498"/>
      <c r="E172" s="410" t="str">
        <f>Input!E172</f>
        <v>Allocation to faults</v>
      </c>
      <c r="F172" s="498"/>
      <c r="G172" s="309" t="s">
        <v>49</v>
      </c>
      <c r="H172" s="498"/>
      <c r="I172" s="498"/>
      <c r="J172" s="498"/>
      <c r="K172" s="498"/>
      <c r="L172" s="498"/>
      <c r="M172" s="498"/>
      <c r="N172" s="498"/>
      <c r="O172" s="498"/>
      <c r="P172" s="498"/>
      <c r="Q172" s="498"/>
      <c r="R172" s="498"/>
      <c r="S172" s="498"/>
      <c r="T172" s="498"/>
      <c r="U172" s="498"/>
      <c r="V172" s="498"/>
      <c r="W172" s="498"/>
      <c r="X172" s="498"/>
      <c r="Y172" s="498"/>
      <c r="Z172" s="498"/>
      <c r="AA172" s="498"/>
      <c r="AB172" s="498"/>
      <c r="AC172" s="498"/>
      <c r="AD172" s="498"/>
      <c r="AE172" s="498"/>
      <c r="AF172" s="498"/>
      <c r="AG172" s="498"/>
      <c r="AH172" s="498"/>
      <c r="AI172" s="498"/>
      <c r="AJ172" s="238"/>
      <c r="AK172" s="238"/>
      <c r="AL172" s="238"/>
      <c r="AM172" s="238"/>
      <c r="AN172" s="238"/>
      <c r="AO172" s="238"/>
      <c r="AP172" s="238"/>
      <c r="AQ172" s="238"/>
      <c r="AR172" s="498"/>
    </row>
    <row r="173" spans="1:44" ht="15" customHeight="1">
      <c r="A173" s="498"/>
      <c r="B173" s="498"/>
      <c r="C173" s="498"/>
      <c r="D173" s="498"/>
      <c r="E173" s="553" t="s">
        <v>994</v>
      </c>
      <c r="F173" s="498"/>
      <c r="G173" s="309" t="s">
        <v>49</v>
      </c>
      <c r="H173" s="498"/>
      <c r="I173" s="498"/>
      <c r="J173" s="498"/>
      <c r="K173" s="498"/>
      <c r="L173" s="498"/>
      <c r="M173" s="498"/>
      <c r="N173" s="498"/>
      <c r="O173" s="498"/>
      <c r="P173" s="498"/>
      <c r="Q173" s="498"/>
      <c r="R173" s="498"/>
      <c r="S173" s="498"/>
      <c r="T173" s="498"/>
      <c r="U173" s="498"/>
      <c r="V173" s="498"/>
      <c r="W173" s="498"/>
      <c r="X173" s="498"/>
      <c r="Y173" s="498"/>
      <c r="Z173" s="498"/>
      <c r="AA173" s="498"/>
      <c r="AB173" s="498"/>
      <c r="AC173" s="498"/>
      <c r="AD173" s="498"/>
      <c r="AE173" s="498"/>
      <c r="AF173" s="498"/>
      <c r="AG173" s="498"/>
      <c r="AH173" s="498"/>
      <c r="AI173" s="498"/>
      <c r="AJ173" s="238"/>
      <c r="AK173" s="238"/>
      <c r="AL173" s="238"/>
      <c r="AM173" s="238"/>
      <c r="AN173" s="238"/>
      <c r="AO173" s="238"/>
      <c r="AP173" s="238"/>
      <c r="AQ173" s="238"/>
      <c r="AR173" s="498"/>
    </row>
    <row r="174" spans="1:44" ht="15" customHeight="1">
      <c r="A174" s="498"/>
      <c r="B174" s="498"/>
      <c r="C174" s="498"/>
      <c r="D174" s="498"/>
      <c r="E174" s="410" t="str">
        <f>Input!E174</f>
        <v>Allocation to 100% ‘revenue pool’ expenditure</v>
      </c>
      <c r="F174" s="498"/>
      <c r="G174" s="309" t="s">
        <v>49</v>
      </c>
      <c r="H174" s="498"/>
      <c r="I174" s="498"/>
      <c r="J174" s="498"/>
      <c r="K174" s="498"/>
      <c r="L174" s="498"/>
      <c r="M174" s="498"/>
      <c r="N174" s="498"/>
      <c r="O174" s="498"/>
      <c r="P174" s="498"/>
      <c r="Q174" s="498"/>
      <c r="R174" s="498"/>
      <c r="S174" s="498"/>
      <c r="T174" s="498"/>
      <c r="U174" s="498"/>
      <c r="V174" s="498"/>
      <c r="W174" s="498"/>
      <c r="X174" s="498"/>
      <c r="Y174" s="498"/>
      <c r="Z174" s="498"/>
      <c r="AA174" s="498"/>
      <c r="AB174" s="498"/>
      <c r="AC174" s="498"/>
      <c r="AD174" s="498"/>
      <c r="AE174" s="498"/>
      <c r="AF174" s="498"/>
      <c r="AG174" s="498"/>
      <c r="AH174" s="498"/>
      <c r="AI174" s="498"/>
      <c r="AJ174" s="238"/>
      <c r="AK174" s="238"/>
      <c r="AL174" s="238"/>
      <c r="AM174" s="238"/>
      <c r="AN174" s="238"/>
      <c r="AO174" s="238"/>
      <c r="AP174" s="238"/>
      <c r="AQ174" s="238"/>
      <c r="AR174" s="498"/>
    </row>
    <row r="175" spans="1:44" ht="15" customHeight="1">
      <c r="A175" s="498"/>
      <c r="B175" s="498"/>
      <c r="C175" s="498"/>
      <c r="D175" s="498"/>
      <c r="E175" s="410" t="str">
        <f>Input!E175</f>
        <v>Allocation to controllable opex</v>
      </c>
      <c r="F175" s="498"/>
      <c r="G175" s="309" t="s">
        <v>49</v>
      </c>
      <c r="H175" s="498"/>
      <c r="I175" s="498"/>
      <c r="J175" s="498"/>
      <c r="K175" s="498"/>
      <c r="L175" s="498"/>
      <c r="M175" s="498"/>
      <c r="N175" s="498"/>
      <c r="O175" s="498"/>
      <c r="P175" s="498"/>
      <c r="Q175" s="498"/>
      <c r="R175" s="498"/>
      <c r="S175" s="498"/>
      <c r="T175" s="498"/>
      <c r="U175" s="498"/>
      <c r="V175" s="498"/>
      <c r="W175" s="498"/>
      <c r="X175" s="498"/>
      <c r="Y175" s="498"/>
      <c r="Z175" s="498"/>
      <c r="AA175" s="498"/>
      <c r="AB175" s="498"/>
      <c r="AC175" s="498"/>
      <c r="AD175" s="498"/>
      <c r="AE175" s="498"/>
      <c r="AF175" s="498"/>
      <c r="AG175" s="498"/>
      <c r="AH175" s="498"/>
      <c r="AI175" s="498"/>
      <c r="AJ175" s="238"/>
      <c r="AK175" s="238"/>
      <c r="AL175" s="238"/>
      <c r="AM175" s="238"/>
      <c r="AN175" s="238"/>
      <c r="AO175" s="238"/>
      <c r="AP175" s="238"/>
      <c r="AQ175" s="238"/>
      <c r="AR175" s="498"/>
    </row>
    <row r="176" spans="1:44" ht="15" customHeight="1">
      <c r="A176" s="498"/>
      <c r="B176" s="498"/>
      <c r="C176" s="498"/>
      <c r="D176" s="498"/>
      <c r="E176" s="498"/>
      <c r="F176" s="498"/>
      <c r="G176" s="498"/>
      <c r="H176" s="498"/>
      <c r="I176" s="498"/>
      <c r="J176" s="498"/>
      <c r="K176" s="498"/>
      <c r="L176" s="498"/>
      <c r="M176" s="498"/>
      <c r="N176" s="498"/>
      <c r="O176" s="498"/>
      <c r="P176" s="498"/>
      <c r="Q176" s="498"/>
      <c r="R176" s="498"/>
      <c r="S176" s="498"/>
      <c r="T176" s="498"/>
      <c r="U176" s="498"/>
      <c r="V176" s="498"/>
      <c r="W176" s="498"/>
      <c r="X176" s="498"/>
      <c r="Y176" s="498"/>
      <c r="Z176" s="498"/>
      <c r="AA176" s="498"/>
      <c r="AB176" s="498"/>
      <c r="AC176" s="498"/>
      <c r="AD176" s="498"/>
      <c r="AE176" s="498"/>
      <c r="AF176" s="498"/>
      <c r="AG176" s="498"/>
      <c r="AH176" s="498"/>
      <c r="AI176" s="498"/>
      <c r="AJ176" s="498"/>
      <c r="AK176" s="498"/>
      <c r="AL176" s="498"/>
      <c r="AM176" s="498"/>
      <c r="AN176" s="498"/>
      <c r="AO176" s="498"/>
      <c r="AP176" s="498"/>
      <c r="AQ176" s="498"/>
      <c r="AR176" s="498"/>
    </row>
    <row r="177" spans="1:44" s="309" customFormat="1" ht="15" customHeight="1">
      <c r="E177" s="149" t="str">
        <f>Input!E177</f>
        <v>Spare 1</v>
      </c>
      <c r="G177" s="309" t="s">
        <v>844</v>
      </c>
      <c r="I177" s="409"/>
      <c r="AJ177" s="221"/>
      <c r="AK177" s="221"/>
      <c r="AL177" s="221"/>
      <c r="AM177" s="221"/>
      <c r="AN177" s="221"/>
      <c r="AO177" s="221"/>
      <c r="AP177" s="221"/>
      <c r="AQ177" s="221"/>
    </row>
    <row r="178" spans="1:44" s="309" customFormat="1" ht="15" customHeight="1">
      <c r="E178" s="410" t="str">
        <f>Input!E178</f>
        <v>Allocation to load related capex</v>
      </c>
      <c r="G178" s="309" t="s">
        <v>49</v>
      </c>
      <c r="I178" s="149"/>
      <c r="AJ178" s="238"/>
      <c r="AK178" s="238"/>
      <c r="AL178" s="238"/>
      <c r="AM178" s="238"/>
      <c r="AN178" s="238"/>
      <c r="AO178" s="238"/>
      <c r="AP178" s="238"/>
      <c r="AQ178" s="238"/>
    </row>
    <row r="179" spans="1:44"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1:44"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1:44" s="309" customFormat="1" ht="15" customHeight="1">
      <c r="E181" s="410" t="str">
        <f>Input!E181</f>
        <v>Allocation to faults</v>
      </c>
      <c r="G181" s="309" t="s">
        <v>49</v>
      </c>
      <c r="I181" s="149"/>
      <c r="AJ181" s="238"/>
      <c r="AK181" s="238"/>
      <c r="AL181" s="238"/>
      <c r="AM181" s="238"/>
      <c r="AN181" s="238"/>
      <c r="AO181" s="238"/>
      <c r="AP181" s="238"/>
      <c r="AQ181" s="238"/>
    </row>
    <row r="182" spans="1:44" s="309" customFormat="1" ht="15" customHeight="1">
      <c r="E182" s="553" t="s">
        <v>994</v>
      </c>
      <c r="I182" s="498"/>
      <c r="AJ182" s="238"/>
      <c r="AK182" s="238"/>
      <c r="AL182" s="238"/>
      <c r="AM182" s="238"/>
      <c r="AN182" s="238"/>
      <c r="AO182" s="238"/>
      <c r="AP182" s="238"/>
      <c r="AQ182" s="238"/>
    </row>
    <row r="183" spans="1:44"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1:44" s="309" customFormat="1" ht="15" customHeight="1">
      <c r="E184" s="410" t="str">
        <f>Input!E184</f>
        <v>Allocation to controllable opex</v>
      </c>
      <c r="G184" s="309" t="s">
        <v>49</v>
      </c>
      <c r="I184" s="149"/>
      <c r="AJ184" s="238"/>
      <c r="AK184" s="238"/>
      <c r="AL184" s="238"/>
      <c r="AM184" s="238"/>
      <c r="AN184" s="238"/>
      <c r="AO184" s="238"/>
      <c r="AP184" s="238"/>
      <c r="AQ184" s="238"/>
    </row>
    <row r="186" spans="1:44" ht="15" customHeight="1">
      <c r="E186" s="149" t="str">
        <f>E28</f>
        <v>Spare 2</v>
      </c>
      <c r="F186" s="309"/>
      <c r="G186" s="309" t="s">
        <v>844</v>
      </c>
      <c r="AJ186" s="221"/>
      <c r="AK186" s="221"/>
      <c r="AL186" s="221"/>
      <c r="AM186" s="221"/>
      <c r="AN186" s="221"/>
      <c r="AO186" s="221"/>
      <c r="AP186" s="221"/>
      <c r="AQ186" s="221"/>
    </row>
    <row r="187" spans="1:44" ht="15" customHeight="1">
      <c r="E187" s="410" t="str">
        <f>Input!E187</f>
        <v>Allocation to load related capex</v>
      </c>
      <c r="F187" s="309"/>
      <c r="G187" s="309" t="s">
        <v>49</v>
      </c>
      <c r="AJ187" s="238"/>
      <c r="AK187" s="238"/>
      <c r="AL187" s="238"/>
      <c r="AM187" s="238"/>
      <c r="AN187" s="238"/>
      <c r="AO187" s="238"/>
      <c r="AP187" s="238"/>
      <c r="AQ187" s="238"/>
    </row>
    <row r="188" spans="1:44" ht="15" customHeight="1">
      <c r="E188" s="410" t="str">
        <f>Input!E188</f>
        <v>Allocation to non-load related capex - asset replacement</v>
      </c>
      <c r="F188" s="309"/>
      <c r="G188" s="309" t="s">
        <v>49</v>
      </c>
      <c r="AJ188" s="238"/>
      <c r="AK188" s="238"/>
      <c r="AL188" s="238"/>
      <c r="AM188" s="238"/>
      <c r="AN188" s="238"/>
      <c r="AO188" s="238"/>
      <c r="AP188" s="238"/>
      <c r="AQ188" s="238"/>
    </row>
    <row r="189" spans="1:44" ht="15" customHeight="1">
      <c r="E189" s="410" t="str">
        <f>Input!E189</f>
        <v>Allocation to non-load related capex - other</v>
      </c>
      <c r="F189" s="309"/>
      <c r="G189" s="309" t="s">
        <v>49</v>
      </c>
      <c r="AJ189" s="238"/>
      <c r="AK189" s="238"/>
      <c r="AL189" s="238"/>
      <c r="AM189" s="238"/>
      <c r="AN189" s="238"/>
      <c r="AO189" s="238"/>
      <c r="AP189" s="238"/>
      <c r="AQ189" s="238"/>
    </row>
    <row r="190" spans="1:44" ht="15" customHeight="1">
      <c r="E190" s="410" t="str">
        <f>Input!E190</f>
        <v>Allocation to faults</v>
      </c>
      <c r="F190" s="309"/>
      <c r="G190" s="309" t="s">
        <v>49</v>
      </c>
      <c r="AJ190" s="238"/>
      <c r="AK190" s="238"/>
      <c r="AL190" s="238"/>
      <c r="AM190" s="238"/>
      <c r="AN190" s="238"/>
      <c r="AO190" s="238"/>
      <c r="AP190" s="238"/>
      <c r="AQ190" s="238"/>
    </row>
    <row r="191" spans="1:44" ht="15" customHeight="1">
      <c r="A191" s="498"/>
      <c r="B191" s="498"/>
      <c r="C191" s="498"/>
      <c r="D191" s="498"/>
      <c r="E191" s="553" t="s">
        <v>994</v>
      </c>
      <c r="F191" s="309"/>
      <c r="G191" s="309" t="s">
        <v>49</v>
      </c>
      <c r="H191" s="498"/>
      <c r="I191" s="498"/>
      <c r="J191" s="498"/>
      <c r="K191" s="498"/>
      <c r="L191" s="498"/>
      <c r="M191" s="498"/>
      <c r="N191" s="498"/>
      <c r="O191" s="498"/>
      <c r="P191" s="498"/>
      <c r="Q191" s="498"/>
      <c r="R191" s="498"/>
      <c r="S191" s="498"/>
      <c r="T191" s="498"/>
      <c r="U191" s="498"/>
      <c r="V191" s="498"/>
      <c r="W191" s="498"/>
      <c r="X191" s="498"/>
      <c r="Y191" s="498"/>
      <c r="Z191" s="498"/>
      <c r="AA191" s="498"/>
      <c r="AB191" s="498"/>
      <c r="AC191" s="498"/>
      <c r="AD191" s="498"/>
      <c r="AE191" s="498"/>
      <c r="AF191" s="498"/>
      <c r="AG191" s="498"/>
      <c r="AH191" s="498"/>
      <c r="AI191" s="498"/>
      <c r="AJ191" s="238"/>
      <c r="AK191" s="238"/>
      <c r="AL191" s="238"/>
      <c r="AM191" s="238"/>
      <c r="AN191" s="238"/>
      <c r="AO191" s="238"/>
      <c r="AP191" s="238"/>
      <c r="AQ191" s="238"/>
      <c r="AR191" s="498"/>
    </row>
    <row r="192" spans="1:44" ht="15" customHeight="1">
      <c r="E192" s="410" t="str">
        <f>Input!E192</f>
        <v>Allocation to 100% ‘revenue pool’ expenditure</v>
      </c>
      <c r="F192" s="309"/>
      <c r="G192" s="309" t="s">
        <v>49</v>
      </c>
      <c r="AJ192" s="238"/>
      <c r="AK192" s="238"/>
      <c r="AL192" s="238"/>
      <c r="AM192" s="238"/>
      <c r="AN192" s="238"/>
      <c r="AO192" s="238"/>
      <c r="AP192" s="238"/>
      <c r="AQ192" s="238"/>
    </row>
    <row r="193" spans="1:44" ht="15" customHeight="1">
      <c r="E193" s="410" t="str">
        <f>Input!E193</f>
        <v>Allocation to controllable opex</v>
      </c>
      <c r="F193" s="309"/>
      <c r="G193" s="309" t="s">
        <v>49</v>
      </c>
      <c r="AJ193" s="238"/>
      <c r="AK193" s="238"/>
      <c r="AL193" s="238"/>
      <c r="AM193" s="238"/>
      <c r="AN193" s="238"/>
      <c r="AO193" s="238"/>
      <c r="AP193" s="238"/>
      <c r="AQ193" s="238"/>
    </row>
    <row r="195" spans="1:44" ht="15" customHeight="1">
      <c r="E195" s="149" t="str">
        <f>E29</f>
        <v>Spare 3</v>
      </c>
      <c r="F195" s="309"/>
      <c r="G195" s="309" t="s">
        <v>844</v>
      </c>
      <c r="AJ195" s="221"/>
      <c r="AK195" s="221"/>
      <c r="AL195" s="221"/>
      <c r="AM195" s="221"/>
      <c r="AN195" s="221"/>
      <c r="AO195" s="221"/>
      <c r="AP195" s="221"/>
      <c r="AQ195" s="221"/>
    </row>
    <row r="196" spans="1:44" ht="15" customHeight="1">
      <c r="E196" s="410" t="str">
        <f>Input!E196</f>
        <v>Allocation to load related capex</v>
      </c>
      <c r="F196" s="309"/>
      <c r="G196" s="309" t="s">
        <v>49</v>
      </c>
      <c r="AJ196" s="238"/>
      <c r="AK196" s="238"/>
      <c r="AL196" s="238"/>
      <c r="AM196" s="238"/>
      <c r="AN196" s="238"/>
      <c r="AO196" s="238"/>
      <c r="AP196" s="238"/>
      <c r="AQ196" s="238"/>
    </row>
    <row r="197" spans="1:44" ht="15" customHeight="1">
      <c r="E197" s="410" t="str">
        <f>Input!E197</f>
        <v>Allocation to non-load related capex - asset replacement</v>
      </c>
      <c r="F197" s="309"/>
      <c r="G197" s="309" t="s">
        <v>49</v>
      </c>
      <c r="AJ197" s="238"/>
      <c r="AK197" s="238"/>
      <c r="AL197" s="238"/>
      <c r="AM197" s="238"/>
      <c r="AN197" s="238"/>
      <c r="AO197" s="238"/>
      <c r="AP197" s="238"/>
      <c r="AQ197" s="238"/>
    </row>
    <row r="198" spans="1:44" ht="15" customHeight="1">
      <c r="E198" s="410" t="str">
        <f>Input!E198</f>
        <v>Allocation to non-load related capex - other</v>
      </c>
      <c r="F198" s="309"/>
      <c r="G198" s="309" t="s">
        <v>49</v>
      </c>
      <c r="AJ198" s="238"/>
      <c r="AK198" s="238"/>
      <c r="AL198" s="238"/>
      <c r="AM198" s="238"/>
      <c r="AN198" s="238"/>
      <c r="AO198" s="238"/>
      <c r="AP198" s="238"/>
      <c r="AQ198" s="238"/>
    </row>
    <row r="199" spans="1:44" ht="15" customHeight="1">
      <c r="E199" s="410" t="str">
        <f>Input!E199</f>
        <v>Allocation to faults</v>
      </c>
      <c r="F199" s="309"/>
      <c r="G199" s="309" t="s">
        <v>49</v>
      </c>
      <c r="AJ199" s="238"/>
      <c r="AK199" s="238"/>
      <c r="AL199" s="238"/>
      <c r="AM199" s="238"/>
      <c r="AN199" s="238"/>
      <c r="AO199" s="238"/>
      <c r="AP199" s="238"/>
      <c r="AQ199" s="238"/>
    </row>
    <row r="200" spans="1:44" ht="15" customHeight="1">
      <c r="A200" s="498"/>
      <c r="B200" s="498"/>
      <c r="C200" s="498"/>
      <c r="D200" s="498"/>
      <c r="E200" s="553" t="s">
        <v>994</v>
      </c>
      <c r="F200" s="309"/>
      <c r="G200" s="309" t="s">
        <v>49</v>
      </c>
      <c r="H200" s="498"/>
      <c r="I200" s="498"/>
      <c r="J200" s="498"/>
      <c r="K200" s="498"/>
      <c r="L200" s="498"/>
      <c r="M200" s="498"/>
      <c r="N200" s="498"/>
      <c r="O200" s="498"/>
      <c r="P200" s="498"/>
      <c r="Q200" s="498"/>
      <c r="R200" s="498"/>
      <c r="S200" s="498"/>
      <c r="T200" s="498"/>
      <c r="U200" s="498"/>
      <c r="V200" s="498"/>
      <c r="W200" s="498"/>
      <c r="X200" s="498"/>
      <c r="Y200" s="498"/>
      <c r="Z200" s="498"/>
      <c r="AA200" s="498"/>
      <c r="AB200" s="498"/>
      <c r="AC200" s="498"/>
      <c r="AD200" s="498"/>
      <c r="AE200" s="498"/>
      <c r="AF200" s="498"/>
      <c r="AG200" s="498"/>
      <c r="AH200" s="498"/>
      <c r="AI200" s="498"/>
      <c r="AJ200" s="238"/>
      <c r="AK200" s="238"/>
      <c r="AL200" s="238"/>
      <c r="AM200" s="238"/>
      <c r="AN200" s="238"/>
      <c r="AO200" s="238"/>
      <c r="AP200" s="238"/>
      <c r="AQ200" s="238"/>
      <c r="AR200" s="498"/>
    </row>
    <row r="201" spans="1:44" ht="15" customHeight="1">
      <c r="E201" s="410" t="str">
        <f>Input!E201</f>
        <v>Allocation to 100% ‘revenue pool’ expenditure</v>
      </c>
      <c r="F201" s="309"/>
      <c r="G201" s="309" t="s">
        <v>49</v>
      </c>
      <c r="AJ201" s="238"/>
      <c r="AK201" s="238"/>
      <c r="AL201" s="238"/>
      <c r="AM201" s="238"/>
      <c r="AN201" s="238"/>
      <c r="AO201" s="238"/>
      <c r="AP201" s="238"/>
      <c r="AQ201" s="238"/>
    </row>
    <row r="202" spans="1:44" ht="15" customHeight="1">
      <c r="E202" s="410" t="str">
        <f>Input!E202</f>
        <v>Allocation to controllable opex</v>
      </c>
      <c r="F202" s="309"/>
      <c r="G202" s="309" t="s">
        <v>49</v>
      </c>
      <c r="AJ202" s="238"/>
      <c r="AK202" s="238"/>
      <c r="AL202" s="238"/>
      <c r="AM202" s="238"/>
      <c r="AN202" s="238"/>
      <c r="AO202" s="238"/>
      <c r="AP202" s="238"/>
      <c r="AQ202" s="238"/>
    </row>
    <row r="204" spans="1:44"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1:44" s="309" customFormat="1" ht="15" customHeight="1">
      <c r="E205" s="410" t="str">
        <f>Input!E205</f>
        <v>Allocation to load related capex</v>
      </c>
      <c r="G205" s="309" t="s">
        <v>49</v>
      </c>
      <c r="I205" s="409"/>
      <c r="AJ205" s="238"/>
      <c r="AK205" s="238"/>
      <c r="AL205" s="238"/>
      <c r="AM205" s="238"/>
      <c r="AN205" s="238"/>
      <c r="AO205" s="238"/>
      <c r="AP205" s="238"/>
      <c r="AQ205" s="238"/>
    </row>
    <row r="206" spans="1:44"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1:44"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1:44"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1: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1:44" ht="15" customHeight="1">
      <c r="E243" s="149" t="str">
        <f>Input!E243</f>
        <v>Other legacy adjustments' Revenue adjustment from previous controls (Base)</v>
      </c>
      <c r="G243" s="19" t="s">
        <v>844</v>
      </c>
      <c r="AJ243" s="227"/>
      <c r="AK243" s="227"/>
      <c r="AL243" s="227"/>
      <c r="AM243" s="227"/>
      <c r="AN243" s="227"/>
      <c r="AO243" s="227"/>
      <c r="AP243" s="227"/>
      <c r="AQ243" s="227"/>
    </row>
    <row r="244" spans="1:44"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1: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1:44"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1:44"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1:44"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1:44" ht="15" customHeight="1">
      <c r="A250" s="498"/>
      <c r="B250" s="498"/>
      <c r="C250" s="498"/>
      <c r="D250" s="498"/>
      <c r="E250" s="498"/>
      <c r="F250" s="19"/>
      <c r="G250" s="19"/>
      <c r="H250" s="498"/>
      <c r="I250" s="498"/>
      <c r="J250" s="498"/>
      <c r="K250" s="498"/>
      <c r="L250" s="498"/>
      <c r="M250" s="498"/>
      <c r="N250" s="498"/>
      <c r="O250" s="498"/>
      <c r="P250" s="498"/>
      <c r="Q250" s="498"/>
      <c r="R250" s="498"/>
      <c r="S250" s="498"/>
      <c r="T250" s="498"/>
      <c r="U250" s="498"/>
      <c r="V250" s="498"/>
      <c r="W250" s="498"/>
      <c r="X250" s="498"/>
      <c r="Y250" s="498"/>
      <c r="Z250" s="498"/>
      <c r="AA250" s="498"/>
      <c r="AB250" s="498"/>
      <c r="AC250" s="498"/>
      <c r="AD250" s="498"/>
      <c r="AE250" s="498"/>
      <c r="AF250" s="498"/>
      <c r="AG250" s="498"/>
      <c r="AH250" s="498"/>
      <c r="AI250" s="498"/>
      <c r="AJ250" s="157"/>
      <c r="AK250" s="157"/>
      <c r="AL250" s="157"/>
      <c r="AM250" s="157"/>
      <c r="AN250" s="157"/>
      <c r="AO250" s="157"/>
      <c r="AP250" s="157"/>
      <c r="AQ250" s="157"/>
      <c r="AR250" s="498"/>
    </row>
    <row r="251" spans="1:44" ht="15" customHeight="1">
      <c r="E251" s="149" t="str">
        <f>Input!E251</f>
        <v>Legacy Losses Incentive</v>
      </c>
      <c r="G251" s="19" t="s">
        <v>844</v>
      </c>
      <c r="AJ251" s="236"/>
      <c r="AK251" s="236"/>
      <c r="AL251" s="236"/>
      <c r="AM251" s="236"/>
      <c r="AN251" s="236"/>
      <c r="AO251" s="236"/>
      <c r="AP251" s="236"/>
      <c r="AQ251" s="236"/>
    </row>
    <row r="253" spans="1: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1: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1: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1: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11</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4" s="157" customFormat="1" ht="12.75">
      <c r="AG433" s="24"/>
      <c r="AJ433" s="246"/>
      <c r="AK433" s="246"/>
      <c r="AL433" s="246"/>
      <c r="AM433" s="246"/>
      <c r="AN433" s="246"/>
      <c r="AO433" s="246"/>
      <c r="AP433" s="246"/>
      <c r="AQ433" s="246"/>
    </row>
    <row r="434" spans="1:44" s="149" customFormat="1"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4" s="149" customFormat="1" ht="15" customHeight="1">
      <c r="A435" s="400"/>
    </row>
    <row r="436" spans="1:44" s="149" customFormat="1" ht="15" customHeight="1">
      <c r="A436" s="400"/>
      <c r="E436" s="149" t="s">
        <v>578</v>
      </c>
      <c r="G436" s="149" t="s">
        <v>844</v>
      </c>
      <c r="H436" s="362"/>
      <c r="AJ436" s="227"/>
      <c r="AK436" s="227"/>
      <c r="AL436" s="227"/>
      <c r="AM436" s="227"/>
      <c r="AN436" s="227"/>
      <c r="AO436" s="227"/>
      <c r="AP436" s="227"/>
      <c r="AQ436" s="227"/>
    </row>
    <row r="437" spans="1:44" s="149" customFormat="1" ht="15" customHeight="1">
      <c r="A437" s="400"/>
      <c r="E437" s="149" t="s">
        <v>579</v>
      </c>
      <c r="G437" s="149" t="s">
        <v>844</v>
      </c>
      <c r="H437" s="362"/>
      <c r="AJ437" s="227"/>
      <c r="AK437" s="227"/>
      <c r="AL437" s="227"/>
      <c r="AM437" s="227"/>
      <c r="AN437" s="227"/>
      <c r="AO437" s="227"/>
      <c r="AP437" s="227"/>
      <c r="AQ437" s="227"/>
    </row>
    <row r="438" spans="1:44" s="157" customFormat="1" ht="12.75">
      <c r="A438" s="414"/>
      <c r="AL438" s="195"/>
      <c r="AM438" s="195"/>
      <c r="AN438" s="195"/>
      <c r="AO438" s="195"/>
      <c r="AP438" s="195"/>
      <c r="AQ438" s="195"/>
    </row>
    <row r="439" spans="1:44" s="415" customFormat="1" ht="15" customHeight="1">
      <c r="A439" s="152"/>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c r="AR439" s="152"/>
    </row>
    <row r="440" spans="1:44" s="149" customFormat="1"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1" spans="1:44" s="149" customFormat="1" ht="15" customHeight="1"/>
    <row r="442" spans="1:44" s="149" customFormat="1" ht="15" customHeight="1">
      <c r="E442" s="149" t="s">
        <v>617</v>
      </c>
      <c r="G442" s="149" t="s">
        <v>844</v>
      </c>
      <c r="AJ442" s="227"/>
      <c r="AK442" s="227"/>
      <c r="AL442" s="227"/>
      <c r="AM442" s="227"/>
      <c r="AN442" s="227"/>
      <c r="AO442" s="227"/>
      <c r="AP442" s="227"/>
      <c r="AQ442" s="227"/>
    </row>
    <row r="444" spans="1:44" s="149" customFormat="1"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4" s="152" customFormat="1" ht="15" customHeight="1"/>
    <row r="446" spans="1:44" s="152" customFormat="1" ht="15" customHeight="1">
      <c r="E446" s="152" t="s">
        <v>810</v>
      </c>
      <c r="G446" s="149" t="s">
        <v>844</v>
      </c>
      <c r="AJ446" s="236"/>
      <c r="AK446" s="236"/>
      <c r="AL446" s="236"/>
      <c r="AM446" s="236"/>
      <c r="AN446" s="236"/>
      <c r="AO446" s="236"/>
      <c r="AP446" s="236"/>
      <c r="AQ446" s="236"/>
    </row>
    <row r="447" spans="1:44" ht="15" customHeight="1">
      <c r="E447" s="149" t="s">
        <v>816</v>
      </c>
      <c r="G447" s="149" t="s">
        <v>844</v>
      </c>
      <c r="AJ447" s="236"/>
      <c r="AK447" s="236"/>
      <c r="AL447" s="236"/>
      <c r="AM447" s="236"/>
      <c r="AN447" s="236"/>
      <c r="AO447" s="236"/>
      <c r="AP447" s="236"/>
      <c r="AQ447" s="236"/>
    </row>
    <row r="448" spans="1:44"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17" priority="4" operator="lessThan">
      <formula>1</formula>
    </cfRule>
    <cfRule type="cellIs" dxfId="16" priority="5"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7">
    <tabColor rgb="FF7030A0"/>
    <pageSetUpPr fitToPage="1"/>
  </sheetPr>
  <dimension ref="A1:AR464"/>
  <sheetViews>
    <sheetView zoomScale="70" zoomScaleNormal="70" workbookViewId="0">
      <pane xSplit="10" ySplit="7" topLeftCell="AH8" activePane="bottomRight" state="frozen"/>
      <selection activeCell="AL483" sqref="AL483"/>
      <selection pane="topRight" activeCell="AL483" sqref="AL483"/>
      <selection pane="bottomLeft" activeCell="AL483" sqref="AL483"/>
      <selection pane="bottomRight" activeCell="AL483" sqref="AL483"/>
    </sheetView>
  </sheetViews>
  <sheetFormatPr defaultColWidth="9" defaultRowHeight="15" customHeight="1" outlineLevelCol="1"/>
  <cols>
    <col min="1" max="4" width="1.625" style="149" customWidth="1"/>
    <col min="5" max="5" width="73" style="149" customWidth="1"/>
    <col min="6" max="6" width="9.625" style="149" customWidth="1"/>
    <col min="7" max="7" width="12.625" style="149" customWidth="1"/>
    <col min="8" max="8" width="6.625" style="149" customWidth="1"/>
    <col min="9" max="9" width="9.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395"/>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631</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681</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681</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698</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ht="15" customHeight="1">
      <c r="A16" s="498"/>
      <c r="B16" s="498"/>
      <c r="C16" s="498"/>
      <c r="D16" s="498"/>
      <c r="E16" s="221" t="s">
        <v>996</v>
      </c>
      <c r="F16" s="157"/>
      <c r="G16" s="157"/>
      <c r="H16" s="157"/>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224"/>
      <c r="AK16" s="224"/>
      <c r="AL16" s="224"/>
      <c r="AM16" s="224"/>
      <c r="AN16" s="224"/>
      <c r="AO16" s="224"/>
      <c r="AP16" s="224"/>
      <c r="AQ16" s="224"/>
      <c r="AR16" s="498"/>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EMID!I73 + SWALES!I73 + WMID!I73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EMID!I74 + SWALES!I74 + WMID!I74</f>
        <v>#REF!</v>
      </c>
      <c r="J77" s="88"/>
      <c r="K77" s="88"/>
      <c r="L77" s="88"/>
      <c r="M77" s="88"/>
      <c r="N77" s="88"/>
      <c r="O77" s="88"/>
      <c r="P77" s="88"/>
      <c r="Q77" s="88"/>
      <c r="R77" s="88"/>
      <c r="S77" s="88"/>
      <c r="T77" s="88"/>
      <c r="U77" s="88"/>
      <c r="V77" s="88"/>
      <c r="W77" s="88"/>
      <c r="X77" s="88"/>
      <c r="Y77" s="88"/>
      <c r="Z77" s="88"/>
      <c r="AJ77" s="89"/>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1:44"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1:44"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1:44" s="309" customFormat="1" ht="15" customHeight="1">
      <c r="E163" s="410" t="str">
        <f>Input!E163</f>
        <v>Allocation to faults</v>
      </c>
      <c r="G163" s="309" t="s">
        <v>49</v>
      </c>
      <c r="I163" s="149"/>
      <c r="AJ163" s="238"/>
      <c r="AK163" s="238"/>
      <c r="AL163" s="238"/>
      <c r="AM163" s="238"/>
      <c r="AN163" s="238"/>
      <c r="AO163" s="238"/>
      <c r="AP163" s="238"/>
      <c r="AQ163" s="238"/>
    </row>
    <row r="164" spans="1:44" s="309" customFormat="1" ht="15" customHeight="1">
      <c r="E164" s="553" t="s">
        <v>994</v>
      </c>
      <c r="G164" s="309" t="s">
        <v>49</v>
      </c>
      <c r="I164" s="498"/>
      <c r="AJ164" s="238"/>
      <c r="AK164" s="238"/>
      <c r="AL164" s="238"/>
      <c r="AM164" s="238"/>
      <c r="AN164" s="238"/>
      <c r="AO164" s="238"/>
      <c r="AP164" s="238"/>
      <c r="AQ164" s="238"/>
    </row>
    <row r="165" spans="1:44"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1:44" s="309" customFormat="1" ht="15" customHeight="1">
      <c r="E166" s="410" t="str">
        <f>Input!E166</f>
        <v>Allocation to controllable opex</v>
      </c>
      <c r="G166" s="309" t="s">
        <v>49</v>
      </c>
      <c r="I166" s="149"/>
      <c r="AJ166" s="238"/>
      <c r="AK166" s="238"/>
      <c r="AL166" s="238"/>
      <c r="AM166" s="238"/>
      <c r="AN166" s="238"/>
      <c r="AO166" s="238"/>
      <c r="AP166" s="238"/>
      <c r="AQ166" s="238"/>
    </row>
    <row r="168" spans="1:44" ht="15" customHeight="1">
      <c r="A168" s="498"/>
      <c r="B168" s="498"/>
      <c r="C168" s="498"/>
      <c r="D168" s="498"/>
      <c r="E168" s="498" t="str">
        <f>Input!E168</f>
        <v>Allowed Expenditure - Rail Electrification</v>
      </c>
      <c r="F168" s="498"/>
      <c r="G168" s="309" t="s">
        <v>844</v>
      </c>
      <c r="H168" s="498"/>
      <c r="I168" s="498"/>
      <c r="J168" s="498"/>
      <c r="K168" s="498"/>
      <c r="L168" s="498"/>
      <c r="M168" s="498"/>
      <c r="N168" s="498"/>
      <c r="O168" s="498"/>
      <c r="P168" s="498"/>
      <c r="Q168" s="498"/>
      <c r="R168" s="498"/>
      <c r="S168" s="498"/>
      <c r="T168" s="498"/>
      <c r="U168" s="498"/>
      <c r="V168" s="498"/>
      <c r="W168" s="498"/>
      <c r="X168" s="498"/>
      <c r="Y168" s="498"/>
      <c r="Z168" s="498"/>
      <c r="AA168" s="498"/>
      <c r="AB168" s="498"/>
      <c r="AC168" s="498"/>
      <c r="AD168" s="498"/>
      <c r="AE168" s="498"/>
      <c r="AF168" s="498"/>
      <c r="AG168" s="498"/>
      <c r="AH168" s="498"/>
      <c r="AI168" s="498"/>
      <c r="AJ168" s="221"/>
      <c r="AK168" s="221"/>
      <c r="AL168" s="221"/>
      <c r="AM168" s="221"/>
      <c r="AN168" s="221"/>
      <c r="AO168" s="221"/>
      <c r="AP168" s="221"/>
      <c r="AQ168" s="221"/>
      <c r="AR168" s="498"/>
    </row>
    <row r="169" spans="1:44" ht="15" customHeight="1">
      <c r="A169" s="498"/>
      <c r="B169" s="498"/>
      <c r="C169" s="498"/>
      <c r="D169" s="498"/>
      <c r="E169" s="410" t="str">
        <f>Input!E169</f>
        <v>Allocation to load related capex</v>
      </c>
      <c r="F169" s="498"/>
      <c r="G169" s="309" t="s">
        <v>49</v>
      </c>
      <c r="H169" s="498"/>
      <c r="I169" s="498"/>
      <c r="J169" s="498"/>
      <c r="K169" s="498"/>
      <c r="L169" s="498"/>
      <c r="M169" s="498"/>
      <c r="N169" s="498"/>
      <c r="O169" s="498"/>
      <c r="P169" s="498"/>
      <c r="Q169" s="498"/>
      <c r="R169" s="498"/>
      <c r="S169" s="498"/>
      <c r="T169" s="498"/>
      <c r="U169" s="498"/>
      <c r="V169" s="498"/>
      <c r="W169" s="498"/>
      <c r="X169" s="498"/>
      <c r="Y169" s="498"/>
      <c r="Z169" s="498"/>
      <c r="AA169" s="498"/>
      <c r="AB169" s="498"/>
      <c r="AC169" s="498"/>
      <c r="AD169" s="498"/>
      <c r="AE169" s="498"/>
      <c r="AF169" s="498"/>
      <c r="AG169" s="498"/>
      <c r="AH169" s="498"/>
      <c r="AI169" s="498"/>
      <c r="AJ169" s="238"/>
      <c r="AK169" s="238"/>
      <c r="AL169" s="238"/>
      <c r="AM169" s="238"/>
      <c r="AN169" s="238"/>
      <c r="AO169" s="238"/>
      <c r="AP169" s="238"/>
      <c r="AQ169" s="238"/>
      <c r="AR169" s="498"/>
    </row>
    <row r="170" spans="1:44" ht="15" customHeight="1">
      <c r="A170" s="498"/>
      <c r="B170" s="498"/>
      <c r="C170" s="498"/>
      <c r="D170" s="498"/>
      <c r="E170" s="410" t="str">
        <f>Input!E170</f>
        <v>Allocation to non-load related capex - asset replacement</v>
      </c>
      <c r="F170" s="498"/>
      <c r="G170" s="309" t="s">
        <v>49</v>
      </c>
      <c r="H170" s="498"/>
      <c r="I170" s="498"/>
      <c r="J170" s="498"/>
      <c r="K170" s="498"/>
      <c r="L170" s="498"/>
      <c r="M170" s="498"/>
      <c r="N170" s="498"/>
      <c r="O170" s="498"/>
      <c r="P170" s="498"/>
      <c r="Q170" s="498"/>
      <c r="R170" s="498"/>
      <c r="S170" s="498"/>
      <c r="T170" s="498"/>
      <c r="U170" s="498"/>
      <c r="V170" s="498"/>
      <c r="W170" s="498"/>
      <c r="X170" s="498"/>
      <c r="Y170" s="498"/>
      <c r="Z170" s="498"/>
      <c r="AA170" s="498"/>
      <c r="AB170" s="498"/>
      <c r="AC170" s="498"/>
      <c r="AD170" s="498"/>
      <c r="AE170" s="498"/>
      <c r="AF170" s="498"/>
      <c r="AG170" s="498"/>
      <c r="AH170" s="498"/>
      <c r="AI170" s="498"/>
      <c r="AJ170" s="238"/>
      <c r="AK170" s="238"/>
      <c r="AL170" s="238"/>
      <c r="AM170" s="238"/>
      <c r="AN170" s="238"/>
      <c r="AO170" s="238"/>
      <c r="AP170" s="238"/>
      <c r="AQ170" s="238"/>
      <c r="AR170" s="498"/>
    </row>
    <row r="171" spans="1:44" ht="15" customHeight="1">
      <c r="A171" s="498"/>
      <c r="B171" s="498"/>
      <c r="C171" s="498"/>
      <c r="D171" s="498"/>
      <c r="E171" s="410" t="str">
        <f>Input!E171</f>
        <v>Allocation to non-load related capex - other</v>
      </c>
      <c r="F171" s="498"/>
      <c r="G171" s="309" t="s">
        <v>49</v>
      </c>
      <c r="H171" s="498"/>
      <c r="I171" s="498"/>
      <c r="J171" s="498"/>
      <c r="K171" s="498"/>
      <c r="L171" s="498"/>
      <c r="M171" s="498"/>
      <c r="N171" s="498"/>
      <c r="O171" s="498"/>
      <c r="P171" s="498"/>
      <c r="Q171" s="498"/>
      <c r="R171" s="498"/>
      <c r="S171" s="498"/>
      <c r="T171" s="498"/>
      <c r="U171" s="498"/>
      <c r="V171" s="498"/>
      <c r="W171" s="498"/>
      <c r="X171" s="498"/>
      <c r="Y171" s="498"/>
      <c r="Z171" s="498"/>
      <c r="AA171" s="498"/>
      <c r="AB171" s="498"/>
      <c r="AC171" s="498"/>
      <c r="AD171" s="498"/>
      <c r="AE171" s="498"/>
      <c r="AF171" s="498"/>
      <c r="AG171" s="498"/>
      <c r="AH171" s="498"/>
      <c r="AI171" s="498"/>
      <c r="AJ171" s="238"/>
      <c r="AK171" s="238"/>
      <c r="AL171" s="238"/>
      <c r="AM171" s="238"/>
      <c r="AN171" s="238"/>
      <c r="AO171" s="238"/>
      <c r="AP171" s="238"/>
      <c r="AQ171" s="238"/>
      <c r="AR171" s="498"/>
    </row>
    <row r="172" spans="1:44" ht="15" customHeight="1">
      <c r="A172" s="498"/>
      <c r="B172" s="498"/>
      <c r="C172" s="498"/>
      <c r="D172" s="498"/>
      <c r="E172" s="410" t="str">
        <f>Input!E172</f>
        <v>Allocation to faults</v>
      </c>
      <c r="F172" s="498"/>
      <c r="G172" s="309" t="s">
        <v>49</v>
      </c>
      <c r="H172" s="498"/>
      <c r="I172" s="498"/>
      <c r="J172" s="498"/>
      <c r="K172" s="498"/>
      <c r="L172" s="498"/>
      <c r="M172" s="498"/>
      <c r="N172" s="498"/>
      <c r="O172" s="498"/>
      <c r="P172" s="498"/>
      <c r="Q172" s="498"/>
      <c r="R172" s="498"/>
      <c r="S172" s="498"/>
      <c r="T172" s="498"/>
      <c r="U172" s="498"/>
      <c r="V172" s="498"/>
      <c r="W172" s="498"/>
      <c r="X172" s="498"/>
      <c r="Y172" s="498"/>
      <c r="Z172" s="498"/>
      <c r="AA172" s="498"/>
      <c r="AB172" s="498"/>
      <c r="AC172" s="498"/>
      <c r="AD172" s="498"/>
      <c r="AE172" s="498"/>
      <c r="AF172" s="498"/>
      <c r="AG172" s="498"/>
      <c r="AH172" s="498"/>
      <c r="AI172" s="498"/>
      <c r="AJ172" s="238"/>
      <c r="AK172" s="238"/>
      <c r="AL172" s="238"/>
      <c r="AM172" s="238"/>
      <c r="AN172" s="238"/>
      <c r="AO172" s="238"/>
      <c r="AP172" s="238"/>
      <c r="AQ172" s="238"/>
      <c r="AR172" s="498"/>
    </row>
    <row r="173" spans="1:44" ht="15" customHeight="1">
      <c r="A173" s="498"/>
      <c r="B173" s="498"/>
      <c r="C173" s="498"/>
      <c r="D173" s="498"/>
      <c r="E173" s="553" t="s">
        <v>994</v>
      </c>
      <c r="F173" s="498"/>
      <c r="G173" s="309" t="s">
        <v>49</v>
      </c>
      <c r="H173" s="498"/>
      <c r="I173" s="498"/>
      <c r="J173" s="498"/>
      <c r="K173" s="498"/>
      <c r="L173" s="498"/>
      <c r="M173" s="498"/>
      <c r="N173" s="498"/>
      <c r="O173" s="498"/>
      <c r="P173" s="498"/>
      <c r="Q173" s="498"/>
      <c r="R173" s="498"/>
      <c r="S173" s="498"/>
      <c r="T173" s="498"/>
      <c r="U173" s="498"/>
      <c r="V173" s="498"/>
      <c r="W173" s="498"/>
      <c r="X173" s="498"/>
      <c r="Y173" s="498"/>
      <c r="Z173" s="498"/>
      <c r="AA173" s="498"/>
      <c r="AB173" s="498"/>
      <c r="AC173" s="498"/>
      <c r="AD173" s="498"/>
      <c r="AE173" s="498"/>
      <c r="AF173" s="498"/>
      <c r="AG173" s="498"/>
      <c r="AH173" s="498"/>
      <c r="AI173" s="498"/>
      <c r="AJ173" s="238"/>
      <c r="AK173" s="238"/>
      <c r="AL173" s="238"/>
      <c r="AM173" s="238"/>
      <c r="AN173" s="238"/>
      <c r="AO173" s="238"/>
      <c r="AP173" s="238"/>
      <c r="AQ173" s="238"/>
      <c r="AR173" s="498"/>
    </row>
    <row r="174" spans="1:44" ht="15" customHeight="1">
      <c r="A174" s="498"/>
      <c r="B174" s="498"/>
      <c r="C174" s="498"/>
      <c r="D174" s="498"/>
      <c r="E174" s="410" t="str">
        <f>Input!E174</f>
        <v>Allocation to 100% ‘revenue pool’ expenditure</v>
      </c>
      <c r="F174" s="498"/>
      <c r="G174" s="309" t="s">
        <v>49</v>
      </c>
      <c r="H174" s="498"/>
      <c r="I174" s="498"/>
      <c r="J174" s="498"/>
      <c r="K174" s="498"/>
      <c r="L174" s="498"/>
      <c r="M174" s="498"/>
      <c r="N174" s="498"/>
      <c r="O174" s="498"/>
      <c r="P174" s="498"/>
      <c r="Q174" s="498"/>
      <c r="R174" s="498"/>
      <c r="S174" s="498"/>
      <c r="T174" s="498"/>
      <c r="U174" s="498"/>
      <c r="V174" s="498"/>
      <c r="W174" s="498"/>
      <c r="X174" s="498"/>
      <c r="Y174" s="498"/>
      <c r="Z174" s="498"/>
      <c r="AA174" s="498"/>
      <c r="AB174" s="498"/>
      <c r="AC174" s="498"/>
      <c r="AD174" s="498"/>
      <c r="AE174" s="498"/>
      <c r="AF174" s="498"/>
      <c r="AG174" s="498"/>
      <c r="AH174" s="498"/>
      <c r="AI174" s="498"/>
      <c r="AJ174" s="238"/>
      <c r="AK174" s="238"/>
      <c r="AL174" s="238"/>
      <c r="AM174" s="238"/>
      <c r="AN174" s="238"/>
      <c r="AO174" s="238"/>
      <c r="AP174" s="238"/>
      <c r="AQ174" s="238"/>
      <c r="AR174" s="498"/>
    </row>
    <row r="175" spans="1:44" ht="15" customHeight="1">
      <c r="A175" s="498"/>
      <c r="B175" s="498"/>
      <c r="C175" s="498"/>
      <c r="D175" s="498"/>
      <c r="E175" s="410" t="str">
        <f>Input!E175</f>
        <v>Allocation to controllable opex</v>
      </c>
      <c r="F175" s="498"/>
      <c r="G175" s="309" t="s">
        <v>49</v>
      </c>
      <c r="H175" s="498"/>
      <c r="I175" s="498"/>
      <c r="J175" s="498"/>
      <c r="K175" s="498"/>
      <c r="L175" s="498"/>
      <c r="M175" s="498"/>
      <c r="N175" s="498"/>
      <c r="O175" s="498"/>
      <c r="P175" s="498"/>
      <c r="Q175" s="498"/>
      <c r="R175" s="498"/>
      <c r="S175" s="498"/>
      <c r="T175" s="498"/>
      <c r="U175" s="498"/>
      <c r="V175" s="498"/>
      <c r="W175" s="498"/>
      <c r="X175" s="498"/>
      <c r="Y175" s="498"/>
      <c r="Z175" s="498"/>
      <c r="AA175" s="498"/>
      <c r="AB175" s="498"/>
      <c r="AC175" s="498"/>
      <c r="AD175" s="498"/>
      <c r="AE175" s="498"/>
      <c r="AF175" s="498"/>
      <c r="AG175" s="498"/>
      <c r="AH175" s="498"/>
      <c r="AI175" s="498"/>
      <c r="AJ175" s="238"/>
      <c r="AK175" s="238"/>
      <c r="AL175" s="238"/>
      <c r="AM175" s="238"/>
      <c r="AN175" s="238"/>
      <c r="AO175" s="238"/>
      <c r="AP175" s="238"/>
      <c r="AQ175" s="238"/>
      <c r="AR175" s="498"/>
    </row>
    <row r="176" spans="1:44" ht="15" customHeight="1">
      <c r="A176" s="498"/>
      <c r="B176" s="498"/>
      <c r="C176" s="498"/>
      <c r="D176" s="498"/>
      <c r="E176" s="498"/>
      <c r="F176" s="498"/>
      <c r="G176" s="498"/>
      <c r="H176" s="498"/>
      <c r="I176" s="498"/>
      <c r="J176" s="498"/>
      <c r="K176" s="498"/>
      <c r="L176" s="498"/>
      <c r="M176" s="498"/>
      <c r="N176" s="498"/>
      <c r="O176" s="498"/>
      <c r="P176" s="498"/>
      <c r="Q176" s="498"/>
      <c r="R176" s="498"/>
      <c r="S176" s="498"/>
      <c r="T176" s="498"/>
      <c r="U176" s="498"/>
      <c r="V176" s="498"/>
      <c r="W176" s="498"/>
      <c r="X176" s="498"/>
      <c r="Y176" s="498"/>
      <c r="Z176" s="498"/>
      <c r="AA176" s="498"/>
      <c r="AB176" s="498"/>
      <c r="AC176" s="498"/>
      <c r="AD176" s="498"/>
      <c r="AE176" s="498"/>
      <c r="AF176" s="498"/>
      <c r="AG176" s="498"/>
      <c r="AH176" s="498"/>
      <c r="AI176" s="498"/>
      <c r="AJ176" s="498"/>
      <c r="AK176" s="498"/>
      <c r="AL176" s="498"/>
      <c r="AM176" s="498"/>
      <c r="AN176" s="498"/>
      <c r="AO176" s="498"/>
      <c r="AP176" s="498"/>
      <c r="AQ176" s="498"/>
      <c r="AR176" s="498"/>
    </row>
    <row r="177" spans="1:44" s="309" customFormat="1" ht="15" customHeight="1">
      <c r="E177" s="149" t="str">
        <f>Input!E177</f>
        <v>Spare 1</v>
      </c>
      <c r="G177" s="309" t="s">
        <v>844</v>
      </c>
      <c r="I177" s="409"/>
      <c r="AJ177" s="221"/>
      <c r="AK177" s="221"/>
      <c r="AL177" s="221"/>
      <c r="AM177" s="221"/>
      <c r="AN177" s="221"/>
      <c r="AO177" s="221"/>
      <c r="AP177" s="221"/>
      <c r="AQ177" s="221"/>
    </row>
    <row r="178" spans="1:44" s="309" customFormat="1" ht="15" customHeight="1">
      <c r="E178" s="410" t="str">
        <f>Input!E178</f>
        <v>Allocation to load related capex</v>
      </c>
      <c r="G178" s="309" t="s">
        <v>49</v>
      </c>
      <c r="I178" s="149"/>
      <c r="AJ178" s="238"/>
      <c r="AK178" s="238"/>
      <c r="AL178" s="238"/>
      <c r="AM178" s="238"/>
      <c r="AN178" s="238"/>
      <c r="AO178" s="238"/>
      <c r="AP178" s="238"/>
      <c r="AQ178" s="238"/>
    </row>
    <row r="179" spans="1:44"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1:44"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1:44" s="309" customFormat="1" ht="15" customHeight="1">
      <c r="E181" s="410" t="str">
        <f>Input!E181</f>
        <v>Allocation to faults</v>
      </c>
      <c r="G181" s="309" t="s">
        <v>49</v>
      </c>
      <c r="I181" s="149"/>
      <c r="AJ181" s="238"/>
      <c r="AK181" s="238"/>
      <c r="AL181" s="238"/>
      <c r="AM181" s="238"/>
      <c r="AN181" s="238"/>
      <c r="AO181" s="238"/>
      <c r="AP181" s="238"/>
      <c r="AQ181" s="238"/>
    </row>
    <row r="182" spans="1:44" s="309" customFormat="1" ht="15" customHeight="1">
      <c r="E182" s="553" t="s">
        <v>994</v>
      </c>
      <c r="I182" s="498"/>
      <c r="AJ182" s="238"/>
      <c r="AK182" s="238"/>
      <c r="AL182" s="238"/>
      <c r="AM182" s="238"/>
      <c r="AN182" s="238"/>
      <c r="AO182" s="238"/>
      <c r="AP182" s="238"/>
      <c r="AQ182" s="238"/>
    </row>
    <row r="183" spans="1:44"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1:44" s="309" customFormat="1" ht="15" customHeight="1">
      <c r="E184" s="410" t="str">
        <f>Input!E184</f>
        <v>Allocation to controllable opex</v>
      </c>
      <c r="G184" s="309" t="s">
        <v>49</v>
      </c>
      <c r="I184" s="149"/>
      <c r="AJ184" s="238"/>
      <c r="AK184" s="238"/>
      <c r="AL184" s="238"/>
      <c r="AM184" s="238"/>
      <c r="AN184" s="238"/>
      <c r="AO184" s="238"/>
      <c r="AP184" s="238"/>
      <c r="AQ184" s="238"/>
    </row>
    <row r="186" spans="1:44" ht="15" customHeight="1">
      <c r="E186" s="149" t="str">
        <f>E28</f>
        <v>Spare 2</v>
      </c>
      <c r="F186" s="309"/>
      <c r="G186" s="309" t="s">
        <v>844</v>
      </c>
      <c r="AJ186" s="221"/>
      <c r="AK186" s="221"/>
      <c r="AL186" s="221"/>
      <c r="AM186" s="221"/>
      <c r="AN186" s="221"/>
      <c r="AO186" s="221"/>
      <c r="AP186" s="221"/>
      <c r="AQ186" s="221"/>
    </row>
    <row r="187" spans="1:44" ht="15" customHeight="1">
      <c r="E187" s="410" t="str">
        <f>Input!E187</f>
        <v>Allocation to load related capex</v>
      </c>
      <c r="F187" s="309"/>
      <c r="G187" s="309" t="s">
        <v>49</v>
      </c>
      <c r="AJ187" s="238"/>
      <c r="AK187" s="238"/>
      <c r="AL187" s="238"/>
      <c r="AM187" s="238"/>
      <c r="AN187" s="238"/>
      <c r="AO187" s="238"/>
      <c r="AP187" s="238"/>
      <c r="AQ187" s="238"/>
    </row>
    <row r="188" spans="1:44" ht="15" customHeight="1">
      <c r="E188" s="410" t="str">
        <f>Input!E188</f>
        <v>Allocation to non-load related capex - asset replacement</v>
      </c>
      <c r="F188" s="309"/>
      <c r="G188" s="309" t="s">
        <v>49</v>
      </c>
      <c r="AJ188" s="238"/>
      <c r="AK188" s="238"/>
      <c r="AL188" s="238"/>
      <c r="AM188" s="238"/>
      <c r="AN188" s="238"/>
      <c r="AO188" s="238"/>
      <c r="AP188" s="238"/>
      <c r="AQ188" s="238"/>
    </row>
    <row r="189" spans="1:44" ht="15" customHeight="1">
      <c r="E189" s="410" t="str">
        <f>Input!E189</f>
        <v>Allocation to non-load related capex - other</v>
      </c>
      <c r="F189" s="309"/>
      <c r="G189" s="309" t="s">
        <v>49</v>
      </c>
      <c r="AJ189" s="238"/>
      <c r="AK189" s="238"/>
      <c r="AL189" s="238"/>
      <c r="AM189" s="238"/>
      <c r="AN189" s="238"/>
      <c r="AO189" s="238"/>
      <c r="AP189" s="238"/>
      <c r="AQ189" s="238"/>
    </row>
    <row r="190" spans="1:44" ht="15" customHeight="1">
      <c r="E190" s="410" t="str">
        <f>Input!E190</f>
        <v>Allocation to faults</v>
      </c>
      <c r="F190" s="309"/>
      <c r="G190" s="309" t="s">
        <v>49</v>
      </c>
      <c r="AJ190" s="238"/>
      <c r="AK190" s="238"/>
      <c r="AL190" s="238"/>
      <c r="AM190" s="238"/>
      <c r="AN190" s="238"/>
      <c r="AO190" s="238"/>
      <c r="AP190" s="238"/>
      <c r="AQ190" s="238"/>
    </row>
    <row r="191" spans="1:44" ht="15" customHeight="1">
      <c r="A191" s="498"/>
      <c r="B191" s="498"/>
      <c r="C191" s="498"/>
      <c r="D191" s="498"/>
      <c r="E191" s="553" t="s">
        <v>994</v>
      </c>
      <c r="F191" s="309"/>
      <c r="G191" s="309" t="s">
        <v>49</v>
      </c>
      <c r="H191" s="498"/>
      <c r="I191" s="498"/>
      <c r="J191" s="498"/>
      <c r="K191" s="498"/>
      <c r="L191" s="498"/>
      <c r="M191" s="498"/>
      <c r="N191" s="498"/>
      <c r="O191" s="498"/>
      <c r="P191" s="498"/>
      <c r="Q191" s="498"/>
      <c r="R191" s="498"/>
      <c r="S191" s="498"/>
      <c r="T191" s="498"/>
      <c r="U191" s="498"/>
      <c r="V191" s="498"/>
      <c r="W191" s="498"/>
      <c r="X191" s="498"/>
      <c r="Y191" s="498"/>
      <c r="Z191" s="498"/>
      <c r="AA191" s="498"/>
      <c r="AB191" s="498"/>
      <c r="AC191" s="498"/>
      <c r="AD191" s="498"/>
      <c r="AE191" s="498"/>
      <c r="AF191" s="498"/>
      <c r="AG191" s="498"/>
      <c r="AH191" s="498"/>
      <c r="AI191" s="498"/>
      <c r="AJ191" s="238"/>
      <c r="AK191" s="238"/>
      <c r="AL191" s="238"/>
      <c r="AM191" s="238"/>
      <c r="AN191" s="238"/>
      <c r="AO191" s="238"/>
      <c r="AP191" s="238"/>
      <c r="AQ191" s="238"/>
      <c r="AR191" s="498"/>
    </row>
    <row r="192" spans="1:44" ht="15" customHeight="1">
      <c r="E192" s="410" t="str">
        <f>Input!E192</f>
        <v>Allocation to 100% ‘revenue pool’ expenditure</v>
      </c>
      <c r="F192" s="309"/>
      <c r="G192" s="309" t="s">
        <v>49</v>
      </c>
      <c r="AJ192" s="238"/>
      <c r="AK192" s="238"/>
      <c r="AL192" s="238"/>
      <c r="AM192" s="238"/>
      <c r="AN192" s="238"/>
      <c r="AO192" s="238"/>
      <c r="AP192" s="238"/>
      <c r="AQ192" s="238"/>
    </row>
    <row r="193" spans="1:44" ht="15" customHeight="1">
      <c r="E193" s="410" t="str">
        <f>Input!E193</f>
        <v>Allocation to controllable opex</v>
      </c>
      <c r="F193" s="309"/>
      <c r="G193" s="309" t="s">
        <v>49</v>
      </c>
      <c r="AJ193" s="238"/>
      <c r="AK193" s="238"/>
      <c r="AL193" s="238"/>
      <c r="AM193" s="238"/>
      <c r="AN193" s="238"/>
      <c r="AO193" s="238"/>
      <c r="AP193" s="238"/>
      <c r="AQ193" s="238"/>
    </row>
    <row r="195" spans="1:44" ht="15" customHeight="1">
      <c r="E195" s="149" t="str">
        <f>E29</f>
        <v>Spare 3</v>
      </c>
      <c r="F195" s="309"/>
      <c r="G195" s="309" t="s">
        <v>844</v>
      </c>
      <c r="AJ195" s="221"/>
      <c r="AK195" s="221"/>
      <c r="AL195" s="221"/>
      <c r="AM195" s="221"/>
      <c r="AN195" s="221"/>
      <c r="AO195" s="221"/>
      <c r="AP195" s="221"/>
      <c r="AQ195" s="221"/>
    </row>
    <row r="196" spans="1:44" ht="15" customHeight="1">
      <c r="E196" s="410" t="str">
        <f>Input!E196</f>
        <v>Allocation to load related capex</v>
      </c>
      <c r="F196" s="309"/>
      <c r="G196" s="309" t="s">
        <v>49</v>
      </c>
      <c r="AJ196" s="238"/>
      <c r="AK196" s="238"/>
      <c r="AL196" s="238"/>
      <c r="AM196" s="238"/>
      <c r="AN196" s="238"/>
      <c r="AO196" s="238"/>
      <c r="AP196" s="238"/>
      <c r="AQ196" s="238"/>
    </row>
    <row r="197" spans="1:44" ht="15" customHeight="1">
      <c r="E197" s="410" t="str">
        <f>Input!E197</f>
        <v>Allocation to non-load related capex - asset replacement</v>
      </c>
      <c r="F197" s="309"/>
      <c r="G197" s="309" t="s">
        <v>49</v>
      </c>
      <c r="AJ197" s="238"/>
      <c r="AK197" s="238"/>
      <c r="AL197" s="238"/>
      <c r="AM197" s="238"/>
      <c r="AN197" s="238"/>
      <c r="AO197" s="238"/>
      <c r="AP197" s="238"/>
      <c r="AQ197" s="238"/>
    </row>
    <row r="198" spans="1:44" ht="15" customHeight="1">
      <c r="E198" s="410" t="str">
        <f>Input!E198</f>
        <v>Allocation to non-load related capex - other</v>
      </c>
      <c r="F198" s="309"/>
      <c r="G198" s="309" t="s">
        <v>49</v>
      </c>
      <c r="AJ198" s="238"/>
      <c r="AK198" s="238"/>
      <c r="AL198" s="238"/>
      <c r="AM198" s="238"/>
      <c r="AN198" s="238"/>
      <c r="AO198" s="238"/>
      <c r="AP198" s="238"/>
      <c r="AQ198" s="238"/>
    </row>
    <row r="199" spans="1:44" ht="15" customHeight="1">
      <c r="E199" s="410" t="str">
        <f>Input!E199</f>
        <v>Allocation to faults</v>
      </c>
      <c r="F199" s="309"/>
      <c r="G199" s="309" t="s">
        <v>49</v>
      </c>
      <c r="AJ199" s="238"/>
      <c r="AK199" s="238"/>
      <c r="AL199" s="238"/>
      <c r="AM199" s="238"/>
      <c r="AN199" s="238"/>
      <c r="AO199" s="238"/>
      <c r="AP199" s="238"/>
      <c r="AQ199" s="238"/>
    </row>
    <row r="200" spans="1:44" ht="15" customHeight="1">
      <c r="A200" s="498"/>
      <c r="B200" s="498"/>
      <c r="C200" s="498"/>
      <c r="D200" s="498"/>
      <c r="E200" s="553" t="s">
        <v>994</v>
      </c>
      <c r="F200" s="309"/>
      <c r="G200" s="309" t="s">
        <v>49</v>
      </c>
      <c r="H200" s="498"/>
      <c r="I200" s="498"/>
      <c r="J200" s="498"/>
      <c r="K200" s="498"/>
      <c r="L200" s="498"/>
      <c r="M200" s="498"/>
      <c r="N200" s="498"/>
      <c r="O200" s="498"/>
      <c r="P200" s="498"/>
      <c r="Q200" s="498"/>
      <c r="R200" s="498"/>
      <c r="S200" s="498"/>
      <c r="T200" s="498"/>
      <c r="U200" s="498"/>
      <c r="V200" s="498"/>
      <c r="W200" s="498"/>
      <c r="X200" s="498"/>
      <c r="Y200" s="498"/>
      <c r="Z200" s="498"/>
      <c r="AA200" s="498"/>
      <c r="AB200" s="498"/>
      <c r="AC200" s="498"/>
      <c r="AD200" s="498"/>
      <c r="AE200" s="498"/>
      <c r="AF200" s="498"/>
      <c r="AG200" s="498"/>
      <c r="AH200" s="498"/>
      <c r="AI200" s="498"/>
      <c r="AJ200" s="238"/>
      <c r="AK200" s="238"/>
      <c r="AL200" s="238"/>
      <c r="AM200" s="238"/>
      <c r="AN200" s="238"/>
      <c r="AO200" s="238"/>
      <c r="AP200" s="238"/>
      <c r="AQ200" s="238"/>
      <c r="AR200" s="498"/>
    </row>
    <row r="201" spans="1:44" ht="15" customHeight="1">
      <c r="E201" s="410" t="str">
        <f>Input!E201</f>
        <v>Allocation to 100% ‘revenue pool’ expenditure</v>
      </c>
      <c r="F201" s="309"/>
      <c r="G201" s="309" t="s">
        <v>49</v>
      </c>
      <c r="AJ201" s="238"/>
      <c r="AK201" s="238"/>
      <c r="AL201" s="238"/>
      <c r="AM201" s="238"/>
      <c r="AN201" s="238"/>
      <c r="AO201" s="238"/>
      <c r="AP201" s="238"/>
      <c r="AQ201" s="238"/>
    </row>
    <row r="202" spans="1:44" ht="15" customHeight="1">
      <c r="E202" s="410" t="str">
        <f>Input!E202</f>
        <v>Allocation to controllable opex</v>
      </c>
      <c r="F202" s="309"/>
      <c r="G202" s="309" t="s">
        <v>49</v>
      </c>
      <c r="AJ202" s="238"/>
      <c r="AK202" s="238"/>
      <c r="AL202" s="238"/>
      <c r="AM202" s="238"/>
      <c r="AN202" s="238"/>
      <c r="AO202" s="238"/>
      <c r="AP202" s="238"/>
      <c r="AQ202" s="238"/>
    </row>
    <row r="204" spans="1:44"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1:44" s="309" customFormat="1" ht="15" customHeight="1">
      <c r="E205" s="410" t="str">
        <f>Input!E205</f>
        <v>Allocation to load related capex</v>
      </c>
      <c r="G205" s="309" t="s">
        <v>49</v>
      </c>
      <c r="I205" s="409"/>
      <c r="AJ205" s="238"/>
      <c r="AK205" s="238"/>
      <c r="AL205" s="238"/>
      <c r="AM205" s="238"/>
      <c r="AN205" s="238"/>
      <c r="AO205" s="238"/>
      <c r="AP205" s="238"/>
      <c r="AQ205" s="238"/>
    </row>
    <row r="206" spans="1:44"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1:44"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1:44"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0">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1: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1:44" ht="15" customHeight="1">
      <c r="E243" s="149" t="str">
        <f>Input!E243</f>
        <v>Other legacy adjustments' Revenue adjustment from previous controls (Base)</v>
      </c>
      <c r="G243" s="19" t="s">
        <v>844</v>
      </c>
      <c r="AJ243" s="227"/>
      <c r="AK243" s="227"/>
      <c r="AL243" s="227"/>
      <c r="AM243" s="227"/>
      <c r="AN243" s="227"/>
      <c r="AO243" s="227"/>
      <c r="AP243" s="227"/>
      <c r="AQ243" s="227"/>
    </row>
    <row r="244" spans="1:44"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1: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1:44"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1:44"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1:44"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1:44" ht="15" customHeight="1">
      <c r="A250" s="498"/>
      <c r="B250" s="498"/>
      <c r="C250" s="498"/>
      <c r="D250" s="498"/>
      <c r="E250" s="498"/>
      <c r="F250" s="19"/>
      <c r="G250" s="19"/>
      <c r="H250" s="498"/>
      <c r="I250" s="498"/>
      <c r="J250" s="498"/>
      <c r="K250" s="498"/>
      <c r="L250" s="498"/>
      <c r="M250" s="498"/>
      <c r="N250" s="498"/>
      <c r="O250" s="498"/>
      <c r="P250" s="498"/>
      <c r="Q250" s="498"/>
      <c r="R250" s="498"/>
      <c r="S250" s="498"/>
      <c r="T250" s="498"/>
      <c r="U250" s="498"/>
      <c r="V250" s="498"/>
      <c r="W250" s="498"/>
      <c r="X250" s="498"/>
      <c r="Y250" s="498"/>
      <c r="Z250" s="498"/>
      <c r="AA250" s="498"/>
      <c r="AB250" s="498"/>
      <c r="AC250" s="498"/>
      <c r="AD250" s="498"/>
      <c r="AE250" s="498"/>
      <c r="AF250" s="498"/>
      <c r="AG250" s="498"/>
      <c r="AH250" s="498"/>
      <c r="AI250" s="498"/>
      <c r="AJ250" s="157"/>
      <c r="AK250" s="157"/>
      <c r="AL250" s="157"/>
      <c r="AM250" s="157"/>
      <c r="AN250" s="157"/>
      <c r="AO250" s="157"/>
      <c r="AP250" s="157"/>
      <c r="AQ250" s="157"/>
      <c r="AR250" s="498"/>
    </row>
    <row r="251" spans="1:44" ht="15" customHeight="1">
      <c r="E251" s="149" t="str">
        <f>Input!E251</f>
        <v>Legacy Losses Incentive</v>
      </c>
      <c r="G251" s="19" t="s">
        <v>844</v>
      </c>
      <c r="AJ251" s="236"/>
      <c r="AK251" s="236"/>
      <c r="AL251" s="236"/>
      <c r="AM251" s="236"/>
      <c r="AN251" s="236"/>
      <c r="AO251" s="236"/>
      <c r="AP251" s="236"/>
      <c r="AQ251" s="236"/>
    </row>
    <row r="253" spans="1: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1: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1: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1: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49"/>
      <c r="AH351" s="236"/>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49"/>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49"/>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49"/>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49"/>
      <c r="AH355" s="236"/>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49"/>
      <c r="AH356" s="426"/>
      <c r="AI356" s="42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49"/>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F358" s="149"/>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49"/>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49"/>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49"/>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49"/>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49"/>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49"/>
      <c r="AH364" s="454"/>
      <c r="AI364" s="454"/>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49"/>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49"/>
      <c r="AH366" s="157"/>
      <c r="AI366" s="157"/>
      <c r="AJ366" s="149"/>
      <c r="AK366" s="157"/>
      <c r="AL366" s="157"/>
      <c r="AM366" s="157"/>
      <c r="AN366" s="157"/>
      <c r="AO366" s="157"/>
      <c r="AP366" s="157"/>
      <c r="AQ366" s="157"/>
      <c r="AR366" s="157"/>
    </row>
    <row r="367" spans="5:44" s="195" customFormat="1" ht="15" customHeight="1">
      <c r="E367" s="157" t="s">
        <v>115</v>
      </c>
      <c r="G367" s="195" t="s">
        <v>27</v>
      </c>
      <c r="AF367" s="149"/>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4" s="157" customFormat="1" ht="12.75">
      <c r="AG433" s="24"/>
      <c r="AJ433" s="246"/>
      <c r="AK433" s="246"/>
      <c r="AL433" s="246"/>
      <c r="AM433" s="246"/>
      <c r="AN433" s="246"/>
      <c r="AO433" s="246"/>
      <c r="AP433" s="246"/>
      <c r="AQ433" s="246"/>
    </row>
    <row r="434" spans="1:44" s="149" customFormat="1"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4" s="149" customFormat="1" ht="15" customHeight="1">
      <c r="A435" s="400"/>
    </row>
    <row r="436" spans="1:44" s="149" customFormat="1" ht="15" customHeight="1">
      <c r="A436" s="400"/>
      <c r="E436" s="149" t="s">
        <v>578</v>
      </c>
      <c r="G436" s="149" t="s">
        <v>844</v>
      </c>
      <c r="H436" s="362"/>
      <c r="AJ436" s="227"/>
      <c r="AK436" s="227"/>
      <c r="AL436" s="227"/>
      <c r="AM436" s="227"/>
      <c r="AN436" s="227"/>
      <c r="AO436" s="227"/>
      <c r="AP436" s="227"/>
      <c r="AQ436" s="227"/>
    </row>
    <row r="437" spans="1:44" s="149" customFormat="1" ht="15" customHeight="1">
      <c r="A437" s="400"/>
      <c r="E437" s="149" t="s">
        <v>579</v>
      </c>
      <c r="G437" s="149" t="s">
        <v>844</v>
      </c>
      <c r="H437" s="362"/>
      <c r="AJ437" s="227"/>
      <c r="AK437" s="227"/>
      <c r="AL437" s="227"/>
      <c r="AM437" s="227"/>
      <c r="AN437" s="227"/>
      <c r="AO437" s="227"/>
      <c r="AP437" s="227"/>
      <c r="AQ437" s="227"/>
    </row>
    <row r="438" spans="1:44" s="157" customFormat="1" ht="12.75">
      <c r="A438" s="414"/>
      <c r="AL438" s="195"/>
      <c r="AM438" s="195"/>
      <c r="AN438" s="195"/>
      <c r="AO438" s="195"/>
      <c r="AP438" s="195"/>
      <c r="AQ438" s="195"/>
    </row>
    <row r="439" spans="1:44" s="415" customFormat="1" ht="15" customHeight="1">
      <c r="A439" s="152"/>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c r="AR439" s="152"/>
    </row>
    <row r="440" spans="1:44" s="149" customFormat="1"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1" spans="1:44" s="149" customFormat="1" ht="15" customHeight="1"/>
    <row r="442" spans="1:44" s="149" customFormat="1" ht="15" customHeight="1">
      <c r="E442" s="149" t="s">
        <v>617</v>
      </c>
      <c r="G442" s="149" t="s">
        <v>844</v>
      </c>
      <c r="AJ442" s="227"/>
      <c r="AK442" s="227"/>
      <c r="AL442" s="227"/>
      <c r="AM442" s="227"/>
      <c r="AN442" s="227"/>
      <c r="AO442" s="227"/>
      <c r="AP442" s="227"/>
      <c r="AQ442" s="227"/>
    </row>
    <row r="444" spans="1:44" s="149" customFormat="1"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4" s="152" customFormat="1" ht="15" customHeight="1"/>
    <row r="446" spans="1:44" s="152" customFormat="1" ht="15" customHeight="1">
      <c r="E446" s="152" t="s">
        <v>810</v>
      </c>
      <c r="G446" s="149" t="s">
        <v>844</v>
      </c>
      <c r="AJ446" s="236"/>
      <c r="AK446" s="236"/>
      <c r="AL446" s="236"/>
      <c r="AM446" s="236"/>
      <c r="AN446" s="236"/>
      <c r="AO446" s="236"/>
      <c r="AP446" s="236"/>
      <c r="AQ446" s="236"/>
    </row>
    <row r="447" spans="1:44" ht="15" customHeight="1">
      <c r="E447" s="149" t="s">
        <v>816</v>
      </c>
      <c r="G447" s="149" t="s">
        <v>844</v>
      </c>
      <c r="AJ447" s="236"/>
      <c r="AK447" s="236"/>
      <c r="AL447" s="236"/>
      <c r="AM447" s="236"/>
      <c r="AN447" s="236"/>
      <c r="AO447" s="236"/>
      <c r="AP447" s="236"/>
      <c r="AQ447" s="236"/>
    </row>
    <row r="448" spans="1:44"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15" priority="1" operator="lessThan">
      <formula>1</formula>
    </cfRule>
    <cfRule type="cellIs" dxfId="14"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8">
    <tabColor rgb="FF7030A0"/>
    <pageSetUpPr fitToPage="1"/>
  </sheetPr>
  <dimension ref="A1:AR464"/>
  <sheetViews>
    <sheetView zoomScale="70" zoomScaleNormal="70" workbookViewId="0">
      <pane xSplit="10" ySplit="7" topLeftCell="AH8" activePane="bottomRight" state="frozen"/>
      <selection activeCell="AI456" sqref="AI456"/>
      <selection pane="topRight" activeCell="AI456" sqref="AI456"/>
      <selection pane="bottomLeft" activeCell="AI456" sqref="AI456"/>
      <selection pane="bottomRight" activeCell="AJ19" sqref="AJ19"/>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632</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682</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694</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694</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v>2.7199999999999998E-2</v>
      </c>
      <c r="AK11" s="230">
        <v>2.7199999999999998E-2</v>
      </c>
      <c r="AL11" s="230">
        <v>2.7199999999999998E-2</v>
      </c>
      <c r="AM11" s="230">
        <v>2.7199999999999998E-2</v>
      </c>
      <c r="AN11" s="230">
        <v>2.7199999999999998E-2</v>
      </c>
      <c r="AO11" s="230">
        <v>2.7199999999999998E-2</v>
      </c>
      <c r="AP11" s="230">
        <v>2.7199999999999998E-2</v>
      </c>
      <c r="AQ11" s="230">
        <v>2.7199999999999998E-2</v>
      </c>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v>0</v>
      </c>
      <c r="AK19" s="421">
        <v>0</v>
      </c>
      <c r="AL19" s="421">
        <v>0</v>
      </c>
      <c r="AM19" s="421">
        <v>0</v>
      </c>
      <c r="AN19" s="421">
        <v>0</v>
      </c>
      <c r="AO19" s="421">
        <v>0</v>
      </c>
      <c r="AP19" s="421">
        <v>0</v>
      </c>
      <c r="AQ19" s="421">
        <v>0</v>
      </c>
    </row>
    <row r="20" spans="5:43" ht="15" customHeight="1">
      <c r="E20" s="157" t="str">
        <f>Input!E20</f>
        <v>Allowed Expenditure - High Value Projects</v>
      </c>
      <c r="F20" s="157" t="str">
        <f>Input!F20</f>
        <v>CRC3F</v>
      </c>
      <c r="G20" s="157" t="str">
        <f>Input!G20</f>
        <v>£m 12/13 prices</v>
      </c>
      <c r="H20" s="157" t="str">
        <f>Input!H20</f>
        <v>UCHVP</v>
      </c>
      <c r="AJ20" s="421">
        <v>11.579478038010024</v>
      </c>
      <c r="AK20" s="421">
        <v>10.140881898204004</v>
      </c>
      <c r="AL20" s="421">
        <v>15.584011639130631</v>
      </c>
      <c r="AM20" s="421">
        <v>17.139523181918971</v>
      </c>
      <c r="AN20" s="421">
        <v>15.428402189410717</v>
      </c>
      <c r="AO20" s="421">
        <v>8.4257549085646755</v>
      </c>
      <c r="AP20" s="421">
        <v>8.0123078553463127</v>
      </c>
      <c r="AQ20" s="421">
        <v>6.0660677028623908</v>
      </c>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v>0</v>
      </c>
      <c r="AK21" s="421">
        <v>0</v>
      </c>
      <c r="AL21" s="421">
        <v>0</v>
      </c>
      <c r="AM21" s="421">
        <v>0</v>
      </c>
      <c r="AN21" s="421">
        <v>0</v>
      </c>
      <c r="AO21" s="421">
        <v>0</v>
      </c>
      <c r="AP21" s="421">
        <v>0</v>
      </c>
      <c r="AQ21" s="421">
        <v>0</v>
      </c>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v>0</v>
      </c>
      <c r="AK22" s="421">
        <v>0</v>
      </c>
      <c r="AL22" s="421">
        <v>0</v>
      </c>
      <c r="AM22" s="421">
        <v>0</v>
      </c>
      <c r="AN22" s="421">
        <v>0</v>
      </c>
      <c r="AO22" s="421">
        <v>0</v>
      </c>
      <c r="AP22" s="421">
        <v>0</v>
      </c>
      <c r="AQ22" s="421">
        <v>0</v>
      </c>
    </row>
    <row r="23" spans="5:43" ht="15" customHeight="1">
      <c r="E23" s="157" t="str">
        <f>Input!E23</f>
        <v xml:space="preserve">Allowed Expenditure - Smart Meter Allowed Expenditure                                                                                                                                          </v>
      </c>
      <c r="F23" s="157" t="str">
        <f>Input!F23</f>
        <v>CRC3E</v>
      </c>
      <c r="G23" s="157" t="str">
        <f>Input!G23</f>
        <v>£m 12/13 prices</v>
      </c>
      <c r="H23" s="157" t="str">
        <f>Input!H23</f>
        <v>SAME</v>
      </c>
      <c r="AJ23" s="421">
        <v>1.7722200155041488</v>
      </c>
      <c r="AK23" s="421">
        <v>3.0129062196002874</v>
      </c>
      <c r="AL23" s="421">
        <v>3.8801403804013193</v>
      </c>
      <c r="AM23" s="421">
        <v>4.3047262285941716</v>
      </c>
      <c r="AN23" s="421">
        <v>4.2996961786293344</v>
      </c>
      <c r="AO23" s="421">
        <v>3.1691460862741683</v>
      </c>
      <c r="AP23" s="421">
        <v>0</v>
      </c>
      <c r="AQ23" s="421">
        <v>0</v>
      </c>
    </row>
    <row r="24" spans="5:43" ht="15" customHeight="1">
      <c r="E24" s="157" t="str">
        <f>Input!E24</f>
        <v>Allowed Expenditure - Specified Street Works</v>
      </c>
      <c r="F24" s="157" t="str">
        <f>Input!F24</f>
        <v>CRC3F</v>
      </c>
      <c r="G24" s="157" t="str">
        <f>Input!G24</f>
        <v>£m 12/13 prices</v>
      </c>
      <c r="H24" s="157" t="str">
        <f>Input!H24</f>
        <v>UCSSW</v>
      </c>
      <c r="AJ24" s="421">
        <v>0</v>
      </c>
      <c r="AK24" s="421">
        <v>0</v>
      </c>
      <c r="AL24" s="421">
        <v>0</v>
      </c>
      <c r="AM24" s="421">
        <v>0</v>
      </c>
      <c r="AN24" s="421">
        <v>0</v>
      </c>
      <c r="AO24" s="421">
        <v>0</v>
      </c>
      <c r="AP24" s="421">
        <v>0</v>
      </c>
      <c r="AQ24" s="421">
        <v>0</v>
      </c>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v>50.819350023308139</v>
      </c>
      <c r="AK25" s="421">
        <v>47.795334252964764</v>
      </c>
      <c r="AL25" s="421">
        <v>52.272927905810718</v>
      </c>
      <c r="AM25" s="421">
        <v>48.204199371119088</v>
      </c>
      <c r="AN25" s="421">
        <v>55.735442337321508</v>
      </c>
      <c r="AO25" s="421">
        <v>54.929072074302312</v>
      </c>
      <c r="AP25" s="421">
        <v>48.882567944573715</v>
      </c>
      <c r="AQ25" s="421">
        <v>48.547600987857841</v>
      </c>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v>0</v>
      </c>
      <c r="AK26" s="421">
        <v>0</v>
      </c>
      <c r="AL26" s="421">
        <v>0</v>
      </c>
      <c r="AM26" s="421">
        <v>0</v>
      </c>
      <c r="AN26" s="421">
        <v>0</v>
      </c>
      <c r="AO26" s="421">
        <v>0</v>
      </c>
      <c r="AP26" s="421">
        <v>0</v>
      </c>
      <c r="AQ26" s="421">
        <v>0</v>
      </c>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v>36.033896415957088</v>
      </c>
      <c r="AK31" s="224">
        <v>36.033896415957088</v>
      </c>
      <c r="AL31" s="224">
        <v>36.033896415957088</v>
      </c>
      <c r="AM31" s="224">
        <v>36.033896415957088</v>
      </c>
      <c r="AN31" s="224">
        <v>36.033896415957088</v>
      </c>
      <c r="AO31" s="224">
        <v>36.033896415957088</v>
      </c>
      <c r="AP31" s="224">
        <v>36.033896415957088</v>
      </c>
      <c r="AQ31" s="224">
        <v>36.033896415957088</v>
      </c>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f>AJ11</f>
        <v>2.7199999999999998E-2</v>
      </c>
      <c r="AK47" s="405">
        <f t="shared" ref="AK47:AQ47" si="0">AK11</f>
        <v>2.7199999999999998E-2</v>
      </c>
      <c r="AL47" s="405">
        <f t="shared" si="0"/>
        <v>2.7199999999999998E-2</v>
      </c>
      <c r="AM47" s="405">
        <f t="shared" si="0"/>
        <v>2.7199999999999998E-2</v>
      </c>
      <c r="AN47" s="405">
        <f t="shared" si="0"/>
        <v>2.7199999999999998E-2</v>
      </c>
      <c r="AO47" s="405">
        <f t="shared" si="0"/>
        <v>2.7199999999999998E-2</v>
      </c>
      <c r="AP47" s="405">
        <f t="shared" si="0"/>
        <v>2.7199999999999998E-2</v>
      </c>
      <c r="AQ47" s="405">
        <f t="shared" si="0"/>
        <v>2.7199999999999998E-2</v>
      </c>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v>0.06</v>
      </c>
      <c r="AK48" s="238">
        <v>0.06</v>
      </c>
      <c r="AL48" s="238">
        <v>0.06</v>
      </c>
      <c r="AM48" s="238">
        <v>0.06</v>
      </c>
      <c r="AN48" s="238">
        <v>0.06</v>
      </c>
      <c r="AO48" s="238">
        <v>0.06</v>
      </c>
      <c r="AP48" s="238">
        <v>0.06</v>
      </c>
      <c r="AQ48" s="238">
        <v>0.06</v>
      </c>
    </row>
    <row r="49" spans="3:44"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v>0.65</v>
      </c>
      <c r="AJ49" s="238">
        <v>0.65</v>
      </c>
      <c r="AK49" s="238">
        <v>0.65</v>
      </c>
      <c r="AL49" s="238">
        <v>0.65</v>
      </c>
      <c r="AM49" s="238">
        <v>0.65</v>
      </c>
      <c r="AN49" s="238">
        <v>0.65</v>
      </c>
      <c r="AO49" s="238">
        <v>0.65</v>
      </c>
      <c r="AP49" s="238">
        <v>0.65</v>
      </c>
      <c r="AQ49" s="238">
        <v>0.65</v>
      </c>
    </row>
    <row r="50" spans="3:44"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4"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f t="shared" ref="AJ51:AQ51" si="1">(AJ47 * AJ49) + (AJ48 * (1 - AJ49))</f>
        <v>3.8679999999999999E-2</v>
      </c>
      <c r="AK51" s="407">
        <f t="shared" si="1"/>
        <v>3.8679999999999999E-2</v>
      </c>
      <c r="AL51" s="407">
        <f t="shared" si="1"/>
        <v>3.8679999999999999E-2</v>
      </c>
      <c r="AM51" s="407">
        <f t="shared" si="1"/>
        <v>3.8679999999999999E-2</v>
      </c>
      <c r="AN51" s="407">
        <f t="shared" si="1"/>
        <v>3.8679999999999999E-2</v>
      </c>
      <c r="AO51" s="407">
        <f t="shared" si="1"/>
        <v>3.8679999999999999E-2</v>
      </c>
      <c r="AP51" s="407">
        <f t="shared" si="1"/>
        <v>3.8679999999999999E-2</v>
      </c>
      <c r="AQ51" s="407">
        <f t="shared" si="1"/>
        <v>3.8679999999999999E-2</v>
      </c>
    </row>
    <row r="52" spans="3:44"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4"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4"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4"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4"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4"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f>ROUND(AVERAGE(242.5,242.4,241.8,242.1,243,244.2,245.6,245.6,246.8,245.8,247.6,248.7),3)</f>
        <v>244.67500000000001</v>
      </c>
      <c r="AH57" s="236">
        <f>ROUND(AG57*(1+3.1%),3)</f>
        <v>252.26</v>
      </c>
      <c r="AI57" s="236">
        <f t="shared" ref="AI57:AQ58" si="2">ROUND(AH57*(1+3.1%),3)</f>
        <v>260.08</v>
      </c>
      <c r="AJ57" s="236">
        <f t="shared" si="2"/>
        <v>268.142</v>
      </c>
      <c r="AK57" s="236">
        <f t="shared" si="2"/>
        <v>276.45400000000001</v>
      </c>
      <c r="AL57" s="236">
        <f t="shared" si="2"/>
        <v>285.024</v>
      </c>
      <c r="AM57" s="236">
        <f t="shared" si="2"/>
        <v>293.86</v>
      </c>
      <c r="AN57" s="236">
        <f t="shared" si="2"/>
        <v>302.97000000000003</v>
      </c>
      <c r="AO57" s="236">
        <f t="shared" si="2"/>
        <v>312.36200000000002</v>
      </c>
      <c r="AP57" s="236">
        <f t="shared" si="2"/>
        <v>322.04500000000002</v>
      </c>
      <c r="AQ57" s="236">
        <f t="shared" si="2"/>
        <v>332.02800000000002</v>
      </c>
    </row>
    <row r="58" spans="3:44"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f>ROUND(AVERAGE(242.5,242.4,241.8,242.1,243,244.2,245.6,245.6,246.8,245.8,247.6,248.7),3)</f>
        <v>244.67500000000001</v>
      </c>
      <c r="AH58" s="236">
        <f>ROUND(AG58*(1+3.1%),3)</f>
        <v>252.26</v>
      </c>
      <c r="AI58" s="236">
        <f t="shared" si="2"/>
        <v>260.08</v>
      </c>
      <c r="AJ58" s="236">
        <f t="shared" si="2"/>
        <v>268.142</v>
      </c>
      <c r="AK58" s="236">
        <f t="shared" si="2"/>
        <v>276.45400000000001</v>
      </c>
      <c r="AL58" s="236">
        <f t="shared" si="2"/>
        <v>285.024</v>
      </c>
      <c r="AM58" s="236">
        <f t="shared" si="2"/>
        <v>293.86</v>
      </c>
      <c r="AN58" s="236">
        <f t="shared" si="2"/>
        <v>302.97000000000003</v>
      </c>
      <c r="AO58" s="236">
        <f t="shared" si="2"/>
        <v>312.36200000000002</v>
      </c>
      <c r="AP58" s="236">
        <f t="shared" si="2"/>
        <v>322.04500000000002</v>
      </c>
      <c r="AQ58" s="236">
        <f t="shared" si="2"/>
        <v>332.02800000000002</v>
      </c>
    </row>
    <row r="59" spans="3:44"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4"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4" ht="15" customHeight="1">
      <c r="E62" s="149" t="s">
        <v>197</v>
      </c>
      <c r="G62" s="149" t="s">
        <v>51</v>
      </c>
      <c r="I62" s="326">
        <v>2</v>
      </c>
    </row>
    <row r="63" spans="3:44" ht="15" customHeight="1">
      <c r="AI63" s="147"/>
    </row>
    <row r="64" spans="3:44" ht="15" customHeight="1">
      <c r="E64" s="149" t="str">
        <f>Input!E64</f>
        <v>Capitalised share of totex</v>
      </c>
      <c r="G64" s="149" t="s">
        <v>49</v>
      </c>
      <c r="AI64" s="147"/>
      <c r="AJ64" s="406">
        <v>0.68</v>
      </c>
      <c r="AK64" s="406">
        <v>0.68</v>
      </c>
      <c r="AL64" s="406">
        <v>0.68</v>
      </c>
      <c r="AM64" s="406">
        <v>0.68</v>
      </c>
      <c r="AN64" s="406">
        <v>0.68</v>
      </c>
      <c r="AO64" s="406">
        <v>0.68</v>
      </c>
      <c r="AP64" s="406">
        <v>0.68</v>
      </c>
      <c r="AQ64" s="406">
        <v>0.68</v>
      </c>
      <c r="AR64" s="149">
        <v>0.7</v>
      </c>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f>I74</f>
        <v>1960.8389074829493</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v>1960.8389074829493</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f>I73 + SPN!I73 + EPN!I73</f>
        <v>6608.1484301111032</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f>I74 + SPN!I74 + EPN!I74</f>
        <v>6608.1484301111032</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v>0.05</v>
      </c>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v>0.05</v>
      </c>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v>0.05</v>
      </c>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f>AJ49</f>
        <v>0.65</v>
      </c>
      <c r="AK85" s="238">
        <f t="shared" ref="AK85:AQ85" si="3">AK49</f>
        <v>0.65</v>
      </c>
      <c r="AL85" s="238">
        <f t="shared" si="3"/>
        <v>0.65</v>
      </c>
      <c r="AM85" s="238">
        <f t="shared" si="3"/>
        <v>0.65</v>
      </c>
      <c r="AN85" s="238">
        <f t="shared" si="3"/>
        <v>0.65</v>
      </c>
      <c r="AO85" s="238">
        <f t="shared" si="3"/>
        <v>0.65</v>
      </c>
      <c r="AP85" s="238">
        <f t="shared" si="3"/>
        <v>0.65</v>
      </c>
      <c r="AQ85" s="238">
        <f t="shared" si="3"/>
        <v>0.65</v>
      </c>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v>0.25</v>
      </c>
      <c r="AK87" s="238">
        <v>0.25</v>
      </c>
      <c r="AL87" s="238">
        <v>0.25</v>
      </c>
      <c r="AM87" s="238">
        <v>0.25</v>
      </c>
      <c r="AN87" s="238">
        <v>0.25</v>
      </c>
      <c r="AO87" s="238">
        <v>0.25</v>
      </c>
      <c r="AP87" s="238">
        <v>0.25</v>
      </c>
      <c r="AQ87" s="238">
        <v>0.25</v>
      </c>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v>0</v>
      </c>
      <c r="AK95" s="236">
        <v>0</v>
      </c>
      <c r="AL95" s="236">
        <v>0</v>
      </c>
      <c r="AM95" s="236">
        <v>0</v>
      </c>
      <c r="AN95" s="236">
        <v>0</v>
      </c>
      <c r="AO95" s="236">
        <v>0</v>
      </c>
      <c r="AP95" s="236">
        <v>0</v>
      </c>
      <c r="AQ95" s="236">
        <v>0</v>
      </c>
    </row>
    <row r="96" spans="2:43" s="309" customFormat="1" ht="15" customHeight="1">
      <c r="E96" s="163" t="str">
        <f>Input!E96</f>
        <v>Non-variant allowed non-load related capex - asset replacement</v>
      </c>
      <c r="G96" s="309" t="s">
        <v>844</v>
      </c>
      <c r="I96" s="409"/>
      <c r="AE96" s="149"/>
      <c r="AJ96" s="236">
        <v>72.053722854205859</v>
      </c>
      <c r="AK96" s="236">
        <v>72.069514293840143</v>
      </c>
      <c r="AL96" s="236">
        <v>58.971954560859906</v>
      </c>
      <c r="AM96" s="236">
        <v>53.569679786049022</v>
      </c>
      <c r="AN96" s="236">
        <v>55.751605158938382</v>
      </c>
      <c r="AO96" s="236">
        <v>55.42504350098487</v>
      </c>
      <c r="AP96" s="236">
        <v>49.054018007305928</v>
      </c>
      <c r="AQ96" s="236">
        <v>46.09531991185743</v>
      </c>
    </row>
    <row r="97" spans="4:43" s="309" customFormat="1" ht="15" customHeight="1">
      <c r="E97" s="163" t="str">
        <f>Input!E97</f>
        <v>Non-variant allowed non-load related capex - other</v>
      </c>
      <c r="G97" s="309" t="s">
        <v>844</v>
      </c>
      <c r="I97" s="409"/>
      <c r="AJ97" s="236">
        <v>13.45961742106477</v>
      </c>
      <c r="AK97" s="236">
        <v>15.84632713336817</v>
      </c>
      <c r="AL97" s="236">
        <v>13.926697215428433</v>
      </c>
      <c r="AM97" s="236">
        <v>13.295388928875063</v>
      </c>
      <c r="AN97" s="236">
        <v>13.308334474367479</v>
      </c>
      <c r="AO97" s="236">
        <v>13.66071200143778</v>
      </c>
      <c r="AP97" s="236">
        <v>15.892674054408678</v>
      </c>
      <c r="AQ97" s="236">
        <v>13.348968805137956</v>
      </c>
    </row>
    <row r="98" spans="4:43" s="309" customFormat="1" ht="15" customHeight="1">
      <c r="E98" s="163" t="str">
        <f>Input!E98</f>
        <v>Non-variant allowed faults</v>
      </c>
      <c r="G98" s="309" t="s">
        <v>844</v>
      </c>
      <c r="I98" s="409"/>
      <c r="AJ98" s="236">
        <v>22.298043428907885</v>
      </c>
      <c r="AK98" s="236">
        <v>22.205162704014551</v>
      </c>
      <c r="AL98" s="236">
        <v>22.042243744284832</v>
      </c>
      <c r="AM98" s="236">
        <v>21.959662659349917</v>
      </c>
      <c r="AN98" s="236">
        <v>22.024059108643485</v>
      </c>
      <c r="AO98" s="236">
        <v>22.247077907977697</v>
      </c>
      <c r="AP98" s="236">
        <v>22.632939306642943</v>
      </c>
      <c r="AQ98" s="236">
        <v>23.101542153708021</v>
      </c>
    </row>
    <row r="99" spans="4:43" s="309" customFormat="1" ht="15" customHeight="1">
      <c r="E99" s="551" t="s">
        <v>999</v>
      </c>
      <c r="G99" s="309" t="s">
        <v>844</v>
      </c>
      <c r="I99" s="409"/>
      <c r="AJ99" s="236">
        <v>1.7487953051732376E-2</v>
      </c>
      <c r="AK99" s="236">
        <v>1.7686973765891716E-2</v>
      </c>
      <c r="AL99" s="236">
        <v>1.7888436635335115E-2</v>
      </c>
      <c r="AM99" s="236">
        <v>1.8092371907173437E-2</v>
      </c>
      <c r="AN99" s="236">
        <v>1.8298810205438772E-2</v>
      </c>
      <c r="AO99" s="236">
        <v>1.850778253580012E-2</v>
      </c>
      <c r="AP99" s="236">
        <v>1.8719320290338189E-2</v>
      </c>
      <c r="AQ99" s="236">
        <v>1.8933455252380119E-2</v>
      </c>
    </row>
    <row r="100" spans="4:43" s="309" customFormat="1" ht="15" customHeight="1">
      <c r="E100" s="163" t="str">
        <f>Input!E100</f>
        <v>Non-variant allowed 100% ‘revenue pool’ expenditure</v>
      </c>
      <c r="G100" s="309" t="s">
        <v>844</v>
      </c>
      <c r="I100" s="409"/>
      <c r="AJ100" s="236">
        <v>9.2608191054373137</v>
      </c>
      <c r="AK100" s="236">
        <v>8.9860027144153971</v>
      </c>
      <c r="AL100" s="236">
        <v>8.7792219948223185</v>
      </c>
      <c r="AM100" s="236">
        <v>8.5177437197658143</v>
      </c>
      <c r="AN100" s="236">
        <v>8.1401465354987756</v>
      </c>
      <c r="AO100" s="236">
        <v>7.7726613773736437</v>
      </c>
      <c r="AP100" s="236">
        <v>7.4515749520689862</v>
      </c>
      <c r="AQ100" s="236">
        <v>7.0240605503296871</v>
      </c>
    </row>
    <row r="101" spans="4:43" s="309" customFormat="1" ht="15" customHeight="1">
      <c r="E101" s="163" t="str">
        <f>Input!E101</f>
        <v>Non-variant allowed controllable opex</v>
      </c>
      <c r="G101" s="309" t="s">
        <v>844</v>
      </c>
      <c r="I101" s="409"/>
      <c r="AJ101" s="236">
        <v>80.430950827706383</v>
      </c>
      <c r="AK101" s="236">
        <v>78.97005628366847</v>
      </c>
      <c r="AL101" s="236">
        <v>77.692809343479226</v>
      </c>
      <c r="AM101" s="236">
        <v>78.403470702288544</v>
      </c>
      <c r="AN101" s="236">
        <v>77.95609720979715</v>
      </c>
      <c r="AO101" s="236">
        <v>76.996481444754153</v>
      </c>
      <c r="AP101" s="236">
        <v>75.497337595101499</v>
      </c>
      <c r="AQ101" s="236">
        <v>74.571791481429727</v>
      </c>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f>AJ19</f>
        <v>0</v>
      </c>
      <c r="AK105" s="221">
        <f t="shared" ref="AK105:AQ105" si="4">AK19</f>
        <v>0</v>
      </c>
      <c r="AL105" s="221">
        <f t="shared" si="4"/>
        <v>0</v>
      </c>
      <c r="AM105" s="221">
        <f t="shared" si="4"/>
        <v>0</v>
      </c>
      <c r="AN105" s="221">
        <f t="shared" si="4"/>
        <v>0</v>
      </c>
      <c r="AO105" s="221">
        <f t="shared" si="4"/>
        <v>0</v>
      </c>
      <c r="AP105" s="221">
        <f t="shared" si="4"/>
        <v>0</v>
      </c>
      <c r="AQ105" s="221">
        <f t="shared" si="4"/>
        <v>0</v>
      </c>
    </row>
    <row r="106" spans="4:43" s="309" customFormat="1" ht="15" customHeight="1">
      <c r="E106" s="410" t="str">
        <f>Input!E106</f>
        <v>Allocation to load related capex</v>
      </c>
      <c r="G106" s="309" t="s">
        <v>49</v>
      </c>
      <c r="I106" s="149"/>
      <c r="AJ106" s="238">
        <v>0</v>
      </c>
      <c r="AK106" s="238">
        <v>0</v>
      </c>
      <c r="AL106" s="238">
        <v>0</v>
      </c>
      <c r="AM106" s="238">
        <v>0</v>
      </c>
      <c r="AN106" s="238">
        <v>0</v>
      </c>
      <c r="AO106" s="238">
        <v>0</v>
      </c>
      <c r="AP106" s="238">
        <v>0</v>
      </c>
      <c r="AQ106" s="238">
        <v>0</v>
      </c>
    </row>
    <row r="107" spans="4:43" s="309" customFormat="1" ht="15" customHeight="1">
      <c r="E107" s="410" t="str">
        <f>Input!E107</f>
        <v>Allocation to non-load related capex - asset replacement</v>
      </c>
      <c r="G107" s="309" t="s">
        <v>49</v>
      </c>
      <c r="I107" s="149"/>
      <c r="AJ107" s="238">
        <v>0.93953649828864294</v>
      </c>
      <c r="AK107" s="238">
        <v>0.94492670384551558</v>
      </c>
      <c r="AL107" s="238">
        <v>0.94373426496081936</v>
      </c>
      <c r="AM107" s="238">
        <v>0.94475336550033129</v>
      </c>
      <c r="AN107" s="238">
        <v>0.95021060790178236</v>
      </c>
      <c r="AO107" s="238">
        <v>0.9551615381973716</v>
      </c>
      <c r="AP107" s="238">
        <v>0.95518664802000963</v>
      </c>
      <c r="AQ107" s="238">
        <v>0.95522562707634728</v>
      </c>
    </row>
    <row r="108" spans="4:43" s="309" customFormat="1" ht="15" customHeight="1">
      <c r="E108" s="410" t="str">
        <f>Input!E108</f>
        <v>Allocation to non-load related capex - other</v>
      </c>
      <c r="G108" s="309" t="s">
        <v>49</v>
      </c>
      <c r="I108" s="149"/>
      <c r="AJ108" s="238">
        <v>0</v>
      </c>
      <c r="AK108" s="238">
        <v>0</v>
      </c>
      <c r="AL108" s="238">
        <v>0</v>
      </c>
      <c r="AM108" s="238">
        <v>0</v>
      </c>
      <c r="AN108" s="238">
        <v>0</v>
      </c>
      <c r="AO108" s="238">
        <v>0</v>
      </c>
      <c r="AP108" s="238">
        <v>0</v>
      </c>
      <c r="AQ108" s="238">
        <v>0</v>
      </c>
    </row>
    <row r="109" spans="4:43" s="309" customFormat="1" ht="15" customHeight="1">
      <c r="E109" s="410" t="str">
        <f>Input!E109</f>
        <v>Allocation to faults</v>
      </c>
      <c r="G109" s="309" t="s">
        <v>49</v>
      </c>
      <c r="I109" s="149"/>
      <c r="AJ109" s="238">
        <v>0</v>
      </c>
      <c r="AK109" s="238">
        <v>0</v>
      </c>
      <c r="AL109" s="238">
        <v>0</v>
      </c>
      <c r="AM109" s="238">
        <v>0</v>
      </c>
      <c r="AN109" s="238">
        <v>0</v>
      </c>
      <c r="AO109" s="238">
        <v>0</v>
      </c>
      <c r="AP109" s="238">
        <v>0</v>
      </c>
      <c r="AQ109" s="238">
        <v>0</v>
      </c>
    </row>
    <row r="110" spans="4:43" s="309" customFormat="1" ht="15" customHeight="1">
      <c r="E110" s="553" t="s">
        <v>994</v>
      </c>
      <c r="G110" s="309" t="s">
        <v>49</v>
      </c>
      <c r="I110" s="498"/>
      <c r="AJ110" s="238">
        <v>0</v>
      </c>
      <c r="AK110" s="238">
        <v>0</v>
      </c>
      <c r="AL110" s="238">
        <v>0</v>
      </c>
      <c r="AM110" s="238">
        <v>0</v>
      </c>
      <c r="AN110" s="238">
        <v>0</v>
      </c>
      <c r="AO110" s="238">
        <v>0</v>
      </c>
      <c r="AP110" s="238">
        <v>0</v>
      </c>
      <c r="AQ110" s="238">
        <v>0</v>
      </c>
    </row>
    <row r="111" spans="4:43" s="309" customFormat="1" ht="15" customHeight="1">
      <c r="E111" s="410" t="str">
        <f>Input!E111</f>
        <v>Allocation to 100% ‘revenue pool’ expenditure</v>
      </c>
      <c r="G111" s="309" t="s">
        <v>49</v>
      </c>
      <c r="I111" s="149"/>
      <c r="AJ111" s="238">
        <v>6.0463501711357059E-2</v>
      </c>
      <c r="AK111" s="238">
        <v>5.5073296154484419E-2</v>
      </c>
      <c r="AL111" s="238">
        <v>5.6265735039180642E-2</v>
      </c>
      <c r="AM111" s="238">
        <v>5.5246634499668712E-2</v>
      </c>
      <c r="AN111" s="238">
        <v>4.9789392098217644E-2</v>
      </c>
      <c r="AO111" s="238">
        <v>4.4838461802628404E-2</v>
      </c>
      <c r="AP111" s="238">
        <v>4.4813351979990368E-2</v>
      </c>
      <c r="AQ111" s="238">
        <v>4.4774372923652717E-2</v>
      </c>
    </row>
    <row r="112" spans="4:43" s="309" customFormat="1" ht="15" customHeight="1">
      <c r="E112" s="410" t="str">
        <f>Input!E112</f>
        <v>Allocation to controllable opex</v>
      </c>
      <c r="G112" s="309" t="s">
        <v>49</v>
      </c>
      <c r="I112" s="149"/>
      <c r="AJ112" s="238">
        <v>0</v>
      </c>
      <c r="AK112" s="238">
        <v>0</v>
      </c>
      <c r="AL112" s="238">
        <v>0</v>
      </c>
      <c r="AM112" s="238">
        <v>0</v>
      </c>
      <c r="AN112" s="238">
        <v>0</v>
      </c>
      <c r="AO112" s="238">
        <v>0</v>
      </c>
      <c r="AP112" s="238">
        <v>0</v>
      </c>
      <c r="AQ112" s="238">
        <v>0</v>
      </c>
    </row>
    <row r="114" spans="5:43" s="309" customFormat="1" ht="15" customHeight="1">
      <c r="E114" s="149" t="str">
        <f>Input!E114</f>
        <v>Allowed Expenditure - High Value Projects</v>
      </c>
      <c r="G114" s="309" t="s">
        <v>844</v>
      </c>
      <c r="I114" s="409"/>
      <c r="AJ114" s="221">
        <f t="shared" ref="AJ114:AQ114" si="5">AJ20</f>
        <v>11.579478038010024</v>
      </c>
      <c r="AK114" s="221">
        <f t="shared" si="5"/>
        <v>10.140881898204004</v>
      </c>
      <c r="AL114" s="221">
        <f t="shared" si="5"/>
        <v>15.584011639130631</v>
      </c>
      <c r="AM114" s="221">
        <f t="shared" si="5"/>
        <v>17.139523181918971</v>
      </c>
      <c r="AN114" s="221">
        <f t="shared" si="5"/>
        <v>15.428402189410717</v>
      </c>
      <c r="AO114" s="221">
        <f t="shared" si="5"/>
        <v>8.4257549085646755</v>
      </c>
      <c r="AP114" s="221">
        <f t="shared" si="5"/>
        <v>8.0123078553463127</v>
      </c>
      <c r="AQ114" s="221">
        <f t="shared" si="5"/>
        <v>6.0660677028623908</v>
      </c>
    </row>
    <row r="115" spans="5:43" s="309" customFormat="1" ht="15" customHeight="1">
      <c r="E115" s="410" t="str">
        <f>Input!E115</f>
        <v>Allocation to load related capex</v>
      </c>
      <c r="G115" s="309" t="s">
        <v>49</v>
      </c>
      <c r="I115" s="149"/>
      <c r="AJ115" s="238">
        <v>0.99988893360885811</v>
      </c>
      <c r="AK115" s="238">
        <v>0.99988893360885811</v>
      </c>
      <c r="AL115" s="238">
        <v>0.999888933608858</v>
      </c>
      <c r="AM115" s="238">
        <v>0.99988893360885789</v>
      </c>
      <c r="AN115" s="238">
        <v>0.61766801372622615</v>
      </c>
      <c r="AO115" s="238">
        <v>5.7942989808255525E-2</v>
      </c>
      <c r="AP115" s="238">
        <v>0</v>
      </c>
      <c r="AQ115" s="238">
        <v>0</v>
      </c>
    </row>
    <row r="116" spans="5:43" s="309" customFormat="1" ht="15" customHeight="1">
      <c r="E116" s="410" t="str">
        <f>Input!E116</f>
        <v>Allocation to non-load related capex - asset replacement</v>
      </c>
      <c r="G116" s="309" t="s">
        <v>49</v>
      </c>
      <c r="I116" s="149"/>
      <c r="AJ116" s="238">
        <v>0</v>
      </c>
      <c r="AK116" s="238">
        <v>0</v>
      </c>
      <c r="AL116" s="238">
        <v>0</v>
      </c>
      <c r="AM116" s="238">
        <v>0</v>
      </c>
      <c r="AN116" s="238">
        <v>0.3822209198826319</v>
      </c>
      <c r="AO116" s="238">
        <v>0.94194594380060259</v>
      </c>
      <c r="AP116" s="238">
        <v>0.999888933608858</v>
      </c>
      <c r="AQ116" s="238">
        <v>0.999888933608858</v>
      </c>
    </row>
    <row r="117" spans="5:43" s="309" customFormat="1" ht="15" customHeight="1">
      <c r="E117" s="410" t="str">
        <f>Input!E117</f>
        <v>Allocation to non-load related capex - other</v>
      </c>
      <c r="G117" s="309" t="s">
        <v>49</v>
      </c>
      <c r="I117" s="149"/>
      <c r="AJ117" s="238">
        <v>0</v>
      </c>
      <c r="AK117" s="238">
        <v>0</v>
      </c>
      <c r="AL117" s="238">
        <v>0</v>
      </c>
      <c r="AM117" s="238">
        <v>0</v>
      </c>
      <c r="AN117" s="238">
        <v>0</v>
      </c>
      <c r="AO117" s="238">
        <v>0</v>
      </c>
      <c r="AP117" s="238">
        <v>0</v>
      </c>
      <c r="AQ117" s="238">
        <v>0</v>
      </c>
    </row>
    <row r="118" spans="5:43" s="309" customFormat="1" ht="15" customHeight="1">
      <c r="E118" s="410" t="str">
        <f>Input!E118</f>
        <v>Allocation to faults</v>
      </c>
      <c r="G118" s="309" t="s">
        <v>49</v>
      </c>
      <c r="I118" s="149"/>
      <c r="AJ118" s="238">
        <v>0</v>
      </c>
      <c r="AK118" s="238">
        <v>0</v>
      </c>
      <c r="AL118" s="238">
        <v>0</v>
      </c>
      <c r="AM118" s="238">
        <v>0</v>
      </c>
      <c r="AN118" s="238">
        <v>0</v>
      </c>
      <c r="AO118" s="238">
        <v>0</v>
      </c>
      <c r="AP118" s="238">
        <v>0</v>
      </c>
      <c r="AQ118" s="238">
        <v>0</v>
      </c>
    </row>
    <row r="119" spans="5:43" s="309" customFormat="1" ht="15" customHeight="1">
      <c r="E119" s="553" t="s">
        <v>994</v>
      </c>
      <c r="G119" s="309" t="s">
        <v>49</v>
      </c>
      <c r="I119" s="498"/>
      <c r="AJ119" s="238">
        <v>0</v>
      </c>
      <c r="AK119" s="238">
        <v>0</v>
      </c>
      <c r="AL119" s="238">
        <v>0</v>
      </c>
      <c r="AM119" s="238">
        <v>0</v>
      </c>
      <c r="AN119" s="238">
        <v>0</v>
      </c>
      <c r="AO119" s="238">
        <v>0</v>
      </c>
      <c r="AP119" s="238">
        <v>0</v>
      </c>
      <c r="AQ119" s="238">
        <v>0</v>
      </c>
    </row>
    <row r="120" spans="5:43" s="309" customFormat="1" ht="15" customHeight="1">
      <c r="E120" s="410" t="str">
        <f>Input!E120</f>
        <v>Allocation to 100% ‘revenue pool’ expenditure</v>
      </c>
      <c r="G120" s="309" t="s">
        <v>49</v>
      </c>
      <c r="I120" s="149"/>
      <c r="AJ120" s="238">
        <v>1.1106639114195447E-4</v>
      </c>
      <c r="AK120" s="238">
        <v>1.1106639114195446E-4</v>
      </c>
      <c r="AL120" s="238">
        <v>1.1106639114195447E-4</v>
      </c>
      <c r="AM120" s="238">
        <v>1.1106639114195449E-4</v>
      </c>
      <c r="AN120" s="238">
        <v>1.1106639114195447E-4</v>
      </c>
      <c r="AO120" s="238">
        <v>1.1106639114195452E-4</v>
      </c>
      <c r="AP120" s="238">
        <v>1.110663911419545E-4</v>
      </c>
      <c r="AQ120" s="238">
        <v>1.1106639114195447E-4</v>
      </c>
    </row>
    <row r="121" spans="5:43" s="309" customFormat="1" ht="15" customHeight="1">
      <c r="E121" s="410" t="str">
        <f>Input!E121</f>
        <v>Allocation to controllable opex</v>
      </c>
      <c r="G121" s="309" t="s">
        <v>49</v>
      </c>
      <c r="I121" s="149"/>
      <c r="AJ121" s="238">
        <v>0</v>
      </c>
      <c r="AK121" s="238">
        <v>0</v>
      </c>
      <c r="AL121" s="238">
        <v>0</v>
      </c>
      <c r="AM121" s="238">
        <v>0</v>
      </c>
      <c r="AN121" s="238">
        <v>0</v>
      </c>
      <c r="AO121" s="238">
        <v>0</v>
      </c>
      <c r="AP121" s="238">
        <v>0</v>
      </c>
      <c r="AQ121" s="238">
        <v>0</v>
      </c>
    </row>
    <row r="123" spans="5:43" s="309" customFormat="1" ht="15" customHeight="1">
      <c r="E123" s="149" t="str">
        <f>Input!E123</f>
        <v xml:space="preserve">Allowed Expenditure - Visual Amenity Allowed (TIM neutral)                                                                                                      </v>
      </c>
      <c r="G123" s="309" t="s">
        <v>844</v>
      </c>
      <c r="I123" s="409"/>
      <c r="AJ123" s="221">
        <f>AJ21</f>
        <v>0</v>
      </c>
      <c r="AK123" s="221">
        <f t="shared" ref="AK123:AQ123" si="6">AK21</f>
        <v>0</v>
      </c>
      <c r="AL123" s="221">
        <f t="shared" si="6"/>
        <v>0</v>
      </c>
      <c r="AM123" s="221">
        <f t="shared" si="6"/>
        <v>0</v>
      </c>
      <c r="AN123" s="221">
        <f t="shared" si="6"/>
        <v>0</v>
      </c>
      <c r="AO123" s="221">
        <f t="shared" si="6"/>
        <v>0</v>
      </c>
      <c r="AP123" s="221">
        <f t="shared" si="6"/>
        <v>0</v>
      </c>
      <c r="AQ123" s="221">
        <f t="shared" si="6"/>
        <v>0</v>
      </c>
    </row>
    <row r="124" spans="5:43" s="309" customFormat="1" ht="15" customHeight="1">
      <c r="E124" s="410" t="str">
        <f>Input!E124</f>
        <v>Allocation to load related capex</v>
      </c>
      <c r="G124" s="309" t="s">
        <v>49</v>
      </c>
      <c r="I124" s="149"/>
      <c r="AJ124" s="238">
        <v>0</v>
      </c>
      <c r="AK124" s="238">
        <v>0</v>
      </c>
      <c r="AL124" s="238">
        <v>0</v>
      </c>
      <c r="AM124" s="238">
        <v>0</v>
      </c>
      <c r="AN124" s="238">
        <v>0</v>
      </c>
      <c r="AO124" s="238">
        <v>0</v>
      </c>
      <c r="AP124" s="238">
        <v>0</v>
      </c>
      <c r="AQ124" s="238">
        <v>0</v>
      </c>
    </row>
    <row r="125" spans="5:43" s="309" customFormat="1" ht="15" customHeight="1">
      <c r="E125" s="410" t="str">
        <f>Input!E125</f>
        <v>Allocation to non-load related capex - asset replacement</v>
      </c>
      <c r="G125" s="309" t="s">
        <v>49</v>
      </c>
      <c r="I125" s="149"/>
      <c r="AJ125" s="238">
        <v>0</v>
      </c>
      <c r="AK125" s="238">
        <v>0</v>
      </c>
      <c r="AL125" s="238">
        <v>0</v>
      </c>
      <c r="AM125" s="238">
        <v>0</v>
      </c>
      <c r="AN125" s="238">
        <v>0</v>
      </c>
      <c r="AO125" s="238">
        <v>0</v>
      </c>
      <c r="AP125" s="238">
        <v>0</v>
      </c>
      <c r="AQ125" s="238">
        <v>0</v>
      </c>
    </row>
    <row r="126" spans="5:43" s="309" customFormat="1" ht="15" customHeight="1">
      <c r="E126" s="410" t="str">
        <f>Input!E126</f>
        <v>Allocation to non-load related capex - other</v>
      </c>
      <c r="G126" s="309" t="s">
        <v>49</v>
      </c>
      <c r="I126" s="149"/>
      <c r="AJ126" s="238">
        <v>0.99771627364834969</v>
      </c>
      <c r="AK126" s="238">
        <v>0.9970067191052302</v>
      </c>
      <c r="AL126" s="238">
        <v>0.99592550751827735</v>
      </c>
      <c r="AM126" s="238">
        <v>0.99590504365679</v>
      </c>
      <c r="AN126" s="238">
        <v>0.99580313952320998</v>
      </c>
      <c r="AO126" s="238">
        <v>0.99576232403921572</v>
      </c>
      <c r="AP126" s="238">
        <v>0.99624608775809775</v>
      </c>
      <c r="AQ126" s="238">
        <v>0.99565511412705576</v>
      </c>
    </row>
    <row r="127" spans="5:43" s="309" customFormat="1" ht="15" customHeight="1">
      <c r="E127" s="410" t="str">
        <f>Input!E127</f>
        <v>Allocation to faults</v>
      </c>
      <c r="G127" s="309" t="s">
        <v>49</v>
      </c>
      <c r="I127" s="149"/>
      <c r="AJ127" s="238">
        <v>0</v>
      </c>
      <c r="AK127" s="238">
        <v>0</v>
      </c>
      <c r="AL127" s="238">
        <v>0</v>
      </c>
      <c r="AM127" s="238">
        <v>0</v>
      </c>
      <c r="AN127" s="238">
        <v>0</v>
      </c>
      <c r="AO127" s="238">
        <v>0</v>
      </c>
      <c r="AP127" s="238">
        <v>0</v>
      </c>
      <c r="AQ127" s="238">
        <v>0</v>
      </c>
    </row>
    <row r="128" spans="5:43" s="309" customFormat="1" ht="15" customHeight="1">
      <c r="E128" s="553" t="s">
        <v>994</v>
      </c>
      <c r="G128" s="309" t="s">
        <v>49</v>
      </c>
      <c r="I128" s="498"/>
      <c r="AJ128" s="238">
        <v>0</v>
      </c>
      <c r="AK128" s="238">
        <v>0</v>
      </c>
      <c r="AL128" s="238">
        <v>0</v>
      </c>
      <c r="AM128" s="238">
        <v>0</v>
      </c>
      <c r="AN128" s="238">
        <v>0</v>
      </c>
      <c r="AO128" s="238">
        <v>0</v>
      </c>
      <c r="AP128" s="238">
        <v>0</v>
      </c>
      <c r="AQ128" s="238">
        <v>0</v>
      </c>
    </row>
    <row r="129" spans="5:43" s="309" customFormat="1" ht="15" customHeight="1">
      <c r="E129" s="410" t="str">
        <f>Input!E129</f>
        <v>Allocation to 100% ‘revenue pool’ expenditure</v>
      </c>
      <c r="G129" s="309" t="s">
        <v>49</v>
      </c>
      <c r="I129" s="149"/>
      <c r="AJ129" s="238">
        <v>2.2837263516503059E-3</v>
      </c>
      <c r="AK129" s="238">
        <v>2.9932808947698009E-3</v>
      </c>
      <c r="AL129" s="238">
        <v>4.0744924817226469E-3</v>
      </c>
      <c r="AM129" s="238">
        <v>4.0949563432099989E-3</v>
      </c>
      <c r="AN129" s="238">
        <v>4.1968604767900208E-3</v>
      </c>
      <c r="AO129" s="238">
        <v>4.2376759607842818E-3</v>
      </c>
      <c r="AP129" s="238">
        <v>3.7539122419022464E-3</v>
      </c>
      <c r="AQ129" s="238">
        <v>4.3448858729442374E-3</v>
      </c>
    </row>
    <row r="130" spans="5:43" s="309" customFormat="1" ht="15" customHeight="1">
      <c r="E130" s="410" t="str">
        <f>Input!E130</f>
        <v>Allocation to controllable opex</v>
      </c>
      <c r="G130" s="309" t="s">
        <v>49</v>
      </c>
      <c r="I130" s="149"/>
      <c r="AJ130" s="238">
        <v>0</v>
      </c>
      <c r="AK130" s="238">
        <v>0</v>
      </c>
      <c r="AL130" s="238">
        <v>0</v>
      </c>
      <c r="AM130" s="238">
        <v>0</v>
      </c>
      <c r="AN130" s="238">
        <v>0</v>
      </c>
      <c r="AO130" s="238">
        <v>0</v>
      </c>
      <c r="AP130" s="238">
        <v>0</v>
      </c>
      <c r="AQ130" s="238">
        <v>0</v>
      </c>
    </row>
    <row r="132" spans="5:43" s="309" customFormat="1" ht="15" customHeight="1">
      <c r="E132" s="149" t="str">
        <f>Input!E132</f>
        <v>Allowed Expenditure - Worst Served Customers Allowed (TIM neutral)</v>
      </c>
      <c r="G132" s="309" t="s">
        <v>844</v>
      </c>
      <c r="I132" s="409"/>
      <c r="AJ132" s="221">
        <f>AJ22</f>
        <v>0</v>
      </c>
      <c r="AK132" s="221">
        <f t="shared" ref="AK132:AQ132" si="7">AK22</f>
        <v>0</v>
      </c>
      <c r="AL132" s="221">
        <f t="shared" si="7"/>
        <v>0</v>
      </c>
      <c r="AM132" s="221">
        <f t="shared" si="7"/>
        <v>0</v>
      </c>
      <c r="AN132" s="221">
        <f t="shared" si="7"/>
        <v>0</v>
      </c>
      <c r="AO132" s="221">
        <f t="shared" si="7"/>
        <v>0</v>
      </c>
      <c r="AP132" s="221">
        <f t="shared" si="7"/>
        <v>0</v>
      </c>
      <c r="AQ132" s="221">
        <f t="shared" si="7"/>
        <v>0</v>
      </c>
    </row>
    <row r="133" spans="5:43" s="309" customFormat="1" ht="15" customHeight="1">
      <c r="E133" s="410" t="str">
        <f>Input!E133</f>
        <v>Allocation to load related capex</v>
      </c>
      <c r="G133" s="309" t="s">
        <v>49</v>
      </c>
      <c r="I133" s="149"/>
      <c r="AJ133" s="238">
        <v>0</v>
      </c>
      <c r="AK133" s="238">
        <v>0</v>
      </c>
      <c r="AL133" s="238">
        <v>0</v>
      </c>
      <c r="AM133" s="238">
        <v>0</v>
      </c>
      <c r="AN133" s="238">
        <v>0</v>
      </c>
      <c r="AO133" s="238">
        <v>0</v>
      </c>
      <c r="AP133" s="238">
        <v>0</v>
      </c>
      <c r="AQ133" s="238">
        <v>0</v>
      </c>
    </row>
    <row r="134" spans="5:43" s="309" customFormat="1" ht="15" customHeight="1">
      <c r="E134" s="410" t="str">
        <f>Input!E134</f>
        <v>Allocation to non-load related capex - asset replacement</v>
      </c>
      <c r="G134" s="309" t="s">
        <v>49</v>
      </c>
      <c r="I134" s="149"/>
      <c r="AJ134" s="238">
        <v>0</v>
      </c>
      <c r="AK134" s="238">
        <v>0</v>
      </c>
      <c r="AL134" s="238">
        <v>0</v>
      </c>
      <c r="AM134" s="238">
        <v>0</v>
      </c>
      <c r="AN134" s="238">
        <v>0</v>
      </c>
      <c r="AO134" s="238">
        <v>0</v>
      </c>
      <c r="AP134" s="238">
        <v>0</v>
      </c>
      <c r="AQ134" s="238">
        <v>0</v>
      </c>
    </row>
    <row r="135" spans="5:43" s="309" customFormat="1" ht="15" customHeight="1">
      <c r="E135" s="410" t="str">
        <f>Input!E135</f>
        <v>Allocation to non-load related capex - other</v>
      </c>
      <c r="G135" s="309" t="s">
        <v>49</v>
      </c>
      <c r="I135" s="149"/>
      <c r="AJ135" s="238">
        <v>0.99771627364834969</v>
      </c>
      <c r="AK135" s="238">
        <v>0.9970067191052302</v>
      </c>
      <c r="AL135" s="238">
        <v>0.99592550751827735</v>
      </c>
      <c r="AM135" s="238">
        <v>0.99590504365679</v>
      </c>
      <c r="AN135" s="238">
        <v>0.99580313952320998</v>
      </c>
      <c r="AO135" s="238">
        <v>0.99576232403921572</v>
      </c>
      <c r="AP135" s="238">
        <v>0.99624608775809775</v>
      </c>
      <c r="AQ135" s="238">
        <v>0.99565511412705576</v>
      </c>
    </row>
    <row r="136" spans="5:43" s="309" customFormat="1" ht="15" customHeight="1">
      <c r="E136" s="410" t="str">
        <f>Input!E136</f>
        <v>Allocation to faults</v>
      </c>
      <c r="G136" s="309" t="s">
        <v>49</v>
      </c>
      <c r="I136" s="149"/>
      <c r="AJ136" s="238">
        <v>0</v>
      </c>
      <c r="AK136" s="238">
        <v>0</v>
      </c>
      <c r="AL136" s="238">
        <v>0</v>
      </c>
      <c r="AM136" s="238">
        <v>0</v>
      </c>
      <c r="AN136" s="238">
        <v>0</v>
      </c>
      <c r="AO136" s="238">
        <v>0</v>
      </c>
      <c r="AP136" s="238">
        <v>0</v>
      </c>
      <c r="AQ136" s="238">
        <v>0</v>
      </c>
    </row>
    <row r="137" spans="5:43" s="309" customFormat="1" ht="15" customHeight="1">
      <c r="E137" s="553" t="s">
        <v>994</v>
      </c>
      <c r="G137" s="309" t="s">
        <v>49</v>
      </c>
      <c r="I137" s="498"/>
      <c r="AJ137" s="238">
        <v>0</v>
      </c>
      <c r="AK137" s="238">
        <v>0</v>
      </c>
      <c r="AL137" s="238">
        <v>0</v>
      </c>
      <c r="AM137" s="238">
        <v>0</v>
      </c>
      <c r="AN137" s="238">
        <v>0</v>
      </c>
      <c r="AO137" s="238">
        <v>0</v>
      </c>
      <c r="AP137" s="238">
        <v>0</v>
      </c>
      <c r="AQ137" s="238">
        <v>0</v>
      </c>
    </row>
    <row r="138" spans="5:43" s="309" customFormat="1" ht="15" customHeight="1">
      <c r="E138" s="410" t="str">
        <f>Input!E138</f>
        <v>Allocation to 100% ‘revenue pool’ expenditure</v>
      </c>
      <c r="G138" s="309" t="s">
        <v>49</v>
      </c>
      <c r="I138" s="149"/>
      <c r="AJ138" s="238">
        <v>2.2837263516503059E-3</v>
      </c>
      <c r="AK138" s="238">
        <v>2.9932808947698009E-3</v>
      </c>
      <c r="AL138" s="238">
        <v>4.0744924817226469E-3</v>
      </c>
      <c r="AM138" s="238">
        <v>4.0949563432099989E-3</v>
      </c>
      <c r="AN138" s="238">
        <v>4.1968604767900208E-3</v>
      </c>
      <c r="AO138" s="238">
        <v>4.2376759607842818E-3</v>
      </c>
      <c r="AP138" s="238">
        <v>3.7539122419022464E-3</v>
      </c>
      <c r="AQ138" s="238">
        <v>4.3448858729442374E-3</v>
      </c>
    </row>
    <row r="139" spans="5:43" s="309" customFormat="1" ht="15" customHeight="1">
      <c r="E139" s="410" t="str">
        <f>Input!E139</f>
        <v>Allocation to controllable opex</v>
      </c>
      <c r="G139" s="309" t="s">
        <v>49</v>
      </c>
      <c r="I139" s="149"/>
      <c r="AJ139" s="238">
        <v>0</v>
      </c>
      <c r="AK139" s="238">
        <v>0</v>
      </c>
      <c r="AL139" s="238">
        <v>0</v>
      </c>
      <c r="AM139" s="238">
        <v>0</v>
      </c>
      <c r="AN139" s="238">
        <v>0</v>
      </c>
      <c r="AO139" s="238">
        <v>0</v>
      </c>
      <c r="AP139" s="238">
        <v>0</v>
      </c>
      <c r="AQ139" s="238">
        <v>0</v>
      </c>
    </row>
    <row r="141" spans="5:43" s="309" customFormat="1" ht="15" customHeight="1">
      <c r="E141" s="149" t="str">
        <f>Input!E141</f>
        <v xml:space="preserve">Allowed Expenditure - Smart Meter Allowed Expenditure                                                                                                                                          </v>
      </c>
      <c r="G141" s="309" t="s">
        <v>844</v>
      </c>
      <c r="I141" s="409"/>
      <c r="AJ141" s="221">
        <f t="shared" ref="AJ141:AQ141" si="8">AJ23</f>
        <v>1.7722200155041488</v>
      </c>
      <c r="AK141" s="221">
        <f t="shared" si="8"/>
        <v>3.0129062196002874</v>
      </c>
      <c r="AL141" s="221">
        <f t="shared" si="8"/>
        <v>3.8801403804013193</v>
      </c>
      <c r="AM141" s="221">
        <f t="shared" si="8"/>
        <v>4.3047262285941716</v>
      </c>
      <c r="AN141" s="221">
        <f t="shared" si="8"/>
        <v>4.2996961786293344</v>
      </c>
      <c r="AO141" s="221">
        <f t="shared" si="8"/>
        <v>3.1691460862741683</v>
      </c>
      <c r="AP141" s="221">
        <f t="shared" si="8"/>
        <v>0</v>
      </c>
      <c r="AQ141" s="221">
        <f t="shared" si="8"/>
        <v>0</v>
      </c>
    </row>
    <row r="142" spans="5:43" s="309" customFormat="1" ht="15" customHeight="1">
      <c r="E142" s="410" t="str">
        <f>Input!E142</f>
        <v>Allocation to load related capex</v>
      </c>
      <c r="G142" s="309" t="s">
        <v>49</v>
      </c>
      <c r="I142" s="149"/>
      <c r="AJ142" s="238">
        <v>0</v>
      </c>
      <c r="AK142" s="238">
        <v>0</v>
      </c>
      <c r="AL142" s="238">
        <v>0</v>
      </c>
      <c r="AM142" s="238">
        <v>0</v>
      </c>
      <c r="AN142" s="238">
        <v>0</v>
      </c>
      <c r="AO142" s="238">
        <v>0</v>
      </c>
      <c r="AP142" s="238">
        <v>0</v>
      </c>
      <c r="AQ142" s="238">
        <v>0</v>
      </c>
    </row>
    <row r="143" spans="5:43" s="309" customFormat="1" ht="15" customHeight="1">
      <c r="E143" s="410" t="str">
        <f>Input!E143</f>
        <v>Allocation to non-load related capex - asset replacement</v>
      </c>
      <c r="G143" s="309" t="s">
        <v>49</v>
      </c>
      <c r="I143" s="149"/>
      <c r="AJ143" s="238">
        <v>0</v>
      </c>
      <c r="AK143" s="238">
        <v>0</v>
      </c>
      <c r="AL143" s="238">
        <v>0</v>
      </c>
      <c r="AM143" s="238">
        <v>0</v>
      </c>
      <c r="AN143" s="238">
        <v>0</v>
      </c>
      <c r="AO143" s="238">
        <v>0</v>
      </c>
      <c r="AP143" s="238">
        <v>0</v>
      </c>
      <c r="AQ143" s="238">
        <v>0</v>
      </c>
    </row>
    <row r="144" spans="5:43" s="309" customFormat="1" ht="15" customHeight="1">
      <c r="E144" s="410" t="str">
        <f>Input!E144</f>
        <v>Allocation to non-load related capex - other</v>
      </c>
      <c r="G144" s="309" t="s">
        <v>49</v>
      </c>
      <c r="I144" s="149"/>
      <c r="AJ144" s="238">
        <v>0</v>
      </c>
      <c r="AK144" s="238">
        <v>0</v>
      </c>
      <c r="AL144" s="238">
        <v>0</v>
      </c>
      <c r="AM144" s="238">
        <v>0</v>
      </c>
      <c r="AN144" s="238">
        <v>0</v>
      </c>
      <c r="AO144" s="238">
        <v>0</v>
      </c>
      <c r="AP144" s="238">
        <v>0</v>
      </c>
      <c r="AQ144" s="238">
        <v>0</v>
      </c>
    </row>
    <row r="145" spans="5:43" s="309" customFormat="1" ht="15" customHeight="1">
      <c r="E145" s="410" t="str">
        <f>Input!E145</f>
        <v>Allocation to faults</v>
      </c>
      <c r="G145" s="309" t="s">
        <v>49</v>
      </c>
      <c r="I145" s="149"/>
      <c r="AJ145" s="238">
        <v>0</v>
      </c>
      <c r="AK145" s="238">
        <v>0</v>
      </c>
      <c r="AL145" s="238">
        <v>0</v>
      </c>
      <c r="AM145" s="238">
        <v>0</v>
      </c>
      <c r="AN145" s="238">
        <v>0</v>
      </c>
      <c r="AO145" s="238">
        <v>0</v>
      </c>
      <c r="AP145" s="238">
        <v>0</v>
      </c>
      <c r="AQ145" s="238">
        <v>0</v>
      </c>
    </row>
    <row r="146" spans="5:43" s="309" customFormat="1" ht="15" customHeight="1">
      <c r="E146" s="553" t="s">
        <v>994</v>
      </c>
      <c r="G146" s="309" t="s">
        <v>49</v>
      </c>
      <c r="I146" s="498"/>
      <c r="AJ146" s="238">
        <v>0</v>
      </c>
      <c r="AK146" s="238">
        <v>0</v>
      </c>
      <c r="AL146" s="238">
        <v>0</v>
      </c>
      <c r="AM146" s="238">
        <v>0</v>
      </c>
      <c r="AN146" s="238">
        <v>0</v>
      </c>
      <c r="AO146" s="238">
        <v>0</v>
      </c>
      <c r="AP146" s="238">
        <v>0</v>
      </c>
      <c r="AQ146" s="238">
        <v>0</v>
      </c>
    </row>
    <row r="147" spans="5:43" s="309" customFormat="1" ht="15" customHeight="1">
      <c r="E147" s="410" t="str">
        <f>Input!E147</f>
        <v>Allocation to 100% ‘revenue pool’ expenditure</v>
      </c>
      <c r="G147" s="309" t="s">
        <v>49</v>
      </c>
      <c r="I147" s="149"/>
      <c r="AJ147" s="238">
        <v>4.7142720997445847E-2</v>
      </c>
      <c r="AK147" s="238">
        <v>4.363049290989017E-2</v>
      </c>
      <c r="AL147" s="238">
        <v>4.3120015924661324E-2</v>
      </c>
      <c r="AM147" s="238">
        <v>4.2004940676979512E-2</v>
      </c>
      <c r="AN147" s="238">
        <v>4.1839334363186417E-2</v>
      </c>
      <c r="AO147" s="238">
        <v>4.2442945304662687E-2</v>
      </c>
      <c r="AP147" s="238">
        <v>0</v>
      </c>
      <c r="AQ147" s="238">
        <v>0</v>
      </c>
    </row>
    <row r="148" spans="5:43" s="309" customFormat="1" ht="15" customHeight="1">
      <c r="E148" s="410" t="str">
        <f>Input!E148</f>
        <v>Allocation to controllable opex</v>
      </c>
      <c r="G148" s="309" t="s">
        <v>49</v>
      </c>
      <c r="I148" s="149"/>
      <c r="AJ148" s="238">
        <v>0.95285727900255413</v>
      </c>
      <c r="AK148" s="238">
        <v>0.95636950709010993</v>
      </c>
      <c r="AL148" s="238">
        <v>0.9568799840753387</v>
      </c>
      <c r="AM148" s="238">
        <v>0.95799505932302054</v>
      </c>
      <c r="AN148" s="238">
        <v>0.95816066563681357</v>
      </c>
      <c r="AO148" s="238">
        <v>0.95755705469533725</v>
      </c>
      <c r="AP148" s="238">
        <v>0</v>
      </c>
      <c r="AQ148" s="238">
        <v>0</v>
      </c>
    </row>
    <row r="150" spans="5:43" s="309" customFormat="1" ht="15" customHeight="1">
      <c r="E150" s="149" t="str">
        <f>Input!E150</f>
        <v>Allowed Expenditure - Specified Street Works</v>
      </c>
      <c r="G150" s="309" t="s">
        <v>844</v>
      </c>
      <c r="I150" s="409"/>
      <c r="AJ150" s="221">
        <f t="shared" ref="AJ150:AQ150" si="9">AJ24</f>
        <v>0</v>
      </c>
      <c r="AK150" s="221">
        <f t="shared" si="9"/>
        <v>0</v>
      </c>
      <c r="AL150" s="221">
        <f t="shared" si="9"/>
        <v>0</v>
      </c>
      <c r="AM150" s="221">
        <f t="shared" si="9"/>
        <v>0</v>
      </c>
      <c r="AN150" s="221">
        <f t="shared" si="9"/>
        <v>0</v>
      </c>
      <c r="AO150" s="221">
        <f t="shared" si="9"/>
        <v>0</v>
      </c>
      <c r="AP150" s="221">
        <f t="shared" si="9"/>
        <v>0</v>
      </c>
      <c r="AQ150" s="221">
        <f t="shared" si="9"/>
        <v>0</v>
      </c>
    </row>
    <row r="151" spans="5:43" s="309" customFormat="1" ht="15" customHeight="1">
      <c r="E151" s="410" t="str">
        <f>Input!E151</f>
        <v>Allocation to load related capex</v>
      </c>
      <c r="G151" s="309" t="s">
        <v>49</v>
      </c>
      <c r="I151" s="149"/>
      <c r="AJ151" s="238">
        <v>0</v>
      </c>
      <c r="AK151" s="238">
        <v>0</v>
      </c>
      <c r="AL151" s="238">
        <v>0</v>
      </c>
      <c r="AM151" s="238">
        <v>0</v>
      </c>
      <c r="AN151" s="238">
        <v>0</v>
      </c>
      <c r="AO151" s="238">
        <v>0</v>
      </c>
      <c r="AP151" s="238">
        <v>0</v>
      </c>
      <c r="AQ151" s="238">
        <v>0</v>
      </c>
    </row>
    <row r="152" spans="5:43" s="309" customFormat="1" ht="15" customHeight="1">
      <c r="E152" s="410" t="str">
        <f>Input!E152</f>
        <v>Allocation to non-load related capex - asset replacement</v>
      </c>
      <c r="G152" s="309" t="s">
        <v>49</v>
      </c>
      <c r="I152" s="149"/>
      <c r="AJ152" s="238">
        <v>0</v>
      </c>
      <c r="AK152" s="238">
        <v>0</v>
      </c>
      <c r="AL152" s="238">
        <v>0</v>
      </c>
      <c r="AM152" s="238">
        <v>0</v>
      </c>
      <c r="AN152" s="238">
        <v>0</v>
      </c>
      <c r="AO152" s="238">
        <v>0</v>
      </c>
      <c r="AP152" s="238">
        <v>0</v>
      </c>
      <c r="AQ152" s="238">
        <v>0</v>
      </c>
    </row>
    <row r="153" spans="5:43" s="309" customFormat="1" ht="15" customHeight="1">
      <c r="E153" s="410" t="str">
        <f>Input!E153</f>
        <v>Allocation to non-load related capex - other</v>
      </c>
      <c r="G153" s="309" t="s">
        <v>49</v>
      </c>
      <c r="I153" s="149"/>
      <c r="AJ153" s="238">
        <v>0</v>
      </c>
      <c r="AK153" s="238">
        <v>0</v>
      </c>
      <c r="AL153" s="238">
        <v>0</v>
      </c>
      <c r="AM153" s="238">
        <v>0</v>
      </c>
      <c r="AN153" s="238">
        <v>0</v>
      </c>
      <c r="AO153" s="238">
        <v>0</v>
      </c>
      <c r="AP153" s="238">
        <v>0</v>
      </c>
      <c r="AQ153" s="238">
        <v>0</v>
      </c>
    </row>
    <row r="154" spans="5:43" s="309" customFormat="1" ht="15" customHeight="1">
      <c r="E154" s="410" t="str">
        <f>Input!E154</f>
        <v>Allocation to faults</v>
      </c>
      <c r="G154" s="309" t="s">
        <v>49</v>
      </c>
      <c r="I154" s="149"/>
      <c r="AJ154" s="238">
        <v>0</v>
      </c>
      <c r="AK154" s="238">
        <v>0</v>
      </c>
      <c r="AL154" s="238">
        <v>0</v>
      </c>
      <c r="AM154" s="238">
        <v>0</v>
      </c>
      <c r="AN154" s="238">
        <v>0</v>
      </c>
      <c r="AO154" s="238">
        <v>0</v>
      </c>
      <c r="AP154" s="238">
        <v>0</v>
      </c>
      <c r="AQ154" s="238">
        <v>0</v>
      </c>
    </row>
    <row r="155" spans="5:43" s="309" customFormat="1" ht="15" customHeight="1">
      <c r="E155" s="553" t="s">
        <v>994</v>
      </c>
      <c r="G155" s="309" t="s">
        <v>49</v>
      </c>
      <c r="I155" s="498"/>
      <c r="AJ155" s="238">
        <v>0</v>
      </c>
      <c r="AK155" s="238">
        <v>0</v>
      </c>
      <c r="AL155" s="238">
        <v>0</v>
      </c>
      <c r="AM155" s="238">
        <v>0</v>
      </c>
      <c r="AN155" s="238">
        <v>0</v>
      </c>
      <c r="AO155" s="238">
        <v>0</v>
      </c>
      <c r="AP155" s="238">
        <v>0</v>
      </c>
      <c r="AQ155" s="238">
        <v>0</v>
      </c>
    </row>
    <row r="156" spans="5:43" s="309" customFormat="1" ht="15" customHeight="1">
      <c r="E156" s="410" t="str">
        <f>Input!E156</f>
        <v>Allocation to 100% ‘revenue pool’ expenditure</v>
      </c>
      <c r="G156" s="309" t="s">
        <v>49</v>
      </c>
      <c r="I156" s="149"/>
      <c r="AJ156" s="238">
        <v>0</v>
      </c>
      <c r="AK156" s="238">
        <v>0</v>
      </c>
      <c r="AL156" s="238">
        <v>0</v>
      </c>
      <c r="AM156" s="238">
        <v>0</v>
      </c>
      <c r="AN156" s="238">
        <v>0</v>
      </c>
      <c r="AO156" s="238">
        <v>0</v>
      </c>
      <c r="AP156" s="238">
        <v>0</v>
      </c>
      <c r="AQ156" s="238">
        <v>0</v>
      </c>
    </row>
    <row r="157" spans="5:43" s="309" customFormat="1" ht="15" customHeight="1">
      <c r="E157" s="410" t="str">
        <f>Input!E157</f>
        <v>Allocation to controllable opex</v>
      </c>
      <c r="G157" s="309" t="s">
        <v>49</v>
      </c>
      <c r="I157" s="149"/>
      <c r="AJ157" s="238">
        <v>0</v>
      </c>
      <c r="AK157" s="238">
        <v>0</v>
      </c>
      <c r="AL157" s="238">
        <v>0</v>
      </c>
      <c r="AM157" s="238">
        <v>0</v>
      </c>
      <c r="AN157" s="238">
        <v>0</v>
      </c>
      <c r="AO157" s="238">
        <v>0</v>
      </c>
      <c r="AP157" s="238">
        <v>0</v>
      </c>
      <c r="AQ157" s="238">
        <v>0</v>
      </c>
    </row>
    <row r="159" spans="5:43" s="309" customFormat="1" ht="15" customHeight="1">
      <c r="E159" s="149" t="str">
        <f>Input!E159</f>
        <v>Allowed Expenditure - Load Related</v>
      </c>
      <c r="G159" s="309" t="s">
        <v>844</v>
      </c>
      <c r="I159" s="409"/>
      <c r="AJ159" s="221">
        <f>AJ25</f>
        <v>50.819350023308139</v>
      </c>
      <c r="AK159" s="221">
        <f t="shared" ref="AK159:AQ159" si="10">AK25</f>
        <v>47.795334252964764</v>
      </c>
      <c r="AL159" s="221">
        <f t="shared" si="10"/>
        <v>52.272927905810718</v>
      </c>
      <c r="AM159" s="221">
        <f t="shared" si="10"/>
        <v>48.204199371119088</v>
      </c>
      <c r="AN159" s="221">
        <f t="shared" si="10"/>
        <v>55.735442337321508</v>
      </c>
      <c r="AO159" s="221">
        <f t="shared" si="10"/>
        <v>54.929072074302312</v>
      </c>
      <c r="AP159" s="221">
        <f t="shared" si="10"/>
        <v>48.882567944573715</v>
      </c>
      <c r="AQ159" s="221">
        <f t="shared" si="10"/>
        <v>48.547600987857841</v>
      </c>
    </row>
    <row r="160" spans="5:43" s="309" customFormat="1" ht="15" customHeight="1">
      <c r="E160" s="410" t="str">
        <f>Input!E160</f>
        <v>Allocation to load related capex</v>
      </c>
      <c r="G160" s="309" t="s">
        <v>49</v>
      </c>
      <c r="I160" s="149"/>
      <c r="AJ160" s="238">
        <v>0.99256567599290491</v>
      </c>
      <c r="AK160" s="238">
        <v>0.99303464920993845</v>
      </c>
      <c r="AL160" s="238">
        <v>0.99347723673375032</v>
      </c>
      <c r="AM160" s="238">
        <v>0.99358514871628478</v>
      </c>
      <c r="AN160" s="238">
        <v>0.99366263270081512</v>
      </c>
      <c r="AO160" s="238">
        <v>0.99365690376937499</v>
      </c>
      <c r="AP160" s="238">
        <v>0.9937478226549078</v>
      </c>
      <c r="AQ160" s="238">
        <v>0.99398955387088717</v>
      </c>
    </row>
    <row r="161" spans="5:43" s="309" customFormat="1" ht="15" customHeight="1">
      <c r="E161" s="410" t="str">
        <f>Input!E161</f>
        <v>Allocation to non-load related capex - asset replacement</v>
      </c>
      <c r="G161" s="309" t="s">
        <v>49</v>
      </c>
      <c r="I161" s="149"/>
      <c r="AJ161" s="238">
        <v>0</v>
      </c>
      <c r="AK161" s="238">
        <v>0</v>
      </c>
      <c r="AL161" s="238">
        <v>0</v>
      </c>
      <c r="AM161" s="238">
        <v>0</v>
      </c>
      <c r="AN161" s="238">
        <v>0</v>
      </c>
      <c r="AO161" s="238">
        <v>0</v>
      </c>
      <c r="AP161" s="238">
        <v>0</v>
      </c>
      <c r="AQ161" s="238">
        <v>0</v>
      </c>
    </row>
    <row r="162" spans="5:43" s="309" customFormat="1" ht="15" customHeight="1">
      <c r="E162" s="410" t="str">
        <f>Input!E162</f>
        <v>Allocation to non-load related capex - other</v>
      </c>
      <c r="G162" s="309" t="s">
        <v>49</v>
      </c>
      <c r="I162" s="149"/>
      <c r="AJ162" s="238">
        <v>0</v>
      </c>
      <c r="AK162" s="238">
        <v>0</v>
      </c>
      <c r="AL162" s="238">
        <v>0</v>
      </c>
      <c r="AM162" s="238">
        <v>0</v>
      </c>
      <c r="AN162" s="238">
        <v>0</v>
      </c>
      <c r="AO162" s="238">
        <v>0</v>
      </c>
      <c r="AP162" s="238">
        <v>0</v>
      </c>
      <c r="AQ162" s="238">
        <v>0</v>
      </c>
    </row>
    <row r="163" spans="5:43" s="309" customFormat="1" ht="15" customHeight="1">
      <c r="E163" s="410" t="str">
        <f>Input!E163</f>
        <v>Allocation to faults</v>
      </c>
      <c r="G163" s="309" t="s">
        <v>49</v>
      </c>
      <c r="I163" s="149"/>
      <c r="AJ163" s="238">
        <v>0</v>
      </c>
      <c r="AK163" s="238">
        <v>0</v>
      </c>
      <c r="AL163" s="238">
        <v>0</v>
      </c>
      <c r="AM163" s="238">
        <v>0</v>
      </c>
      <c r="AN163" s="238">
        <v>0</v>
      </c>
      <c r="AO163" s="238">
        <v>0</v>
      </c>
      <c r="AP163" s="238">
        <v>0</v>
      </c>
      <c r="AQ163" s="238">
        <v>0</v>
      </c>
    </row>
    <row r="164" spans="5:43" s="309" customFormat="1" ht="15" customHeight="1">
      <c r="E164" s="553" t="s">
        <v>994</v>
      </c>
      <c r="G164" s="309" t="s">
        <v>49</v>
      </c>
      <c r="I164" s="498"/>
      <c r="AJ164" s="238">
        <v>0</v>
      </c>
      <c r="AK164" s="238">
        <v>0</v>
      </c>
      <c r="AL164" s="238">
        <v>0</v>
      </c>
      <c r="AM164" s="238">
        <v>0</v>
      </c>
      <c r="AN164" s="238">
        <v>0</v>
      </c>
      <c r="AO164" s="238">
        <v>0</v>
      </c>
      <c r="AP164" s="238">
        <v>0</v>
      </c>
      <c r="AQ164" s="238">
        <v>0</v>
      </c>
    </row>
    <row r="165" spans="5:43" s="309" customFormat="1" ht="15" customHeight="1">
      <c r="E165" s="410" t="str">
        <f>Input!E165</f>
        <v>Allocation to 100% ‘revenue pool’ expenditure</v>
      </c>
      <c r="G165" s="309" t="s">
        <v>49</v>
      </c>
      <c r="I165" s="149"/>
      <c r="AJ165" s="238">
        <v>7.4343240070950944E-3</v>
      </c>
      <c r="AK165" s="238">
        <v>6.965350790061553E-3</v>
      </c>
      <c r="AL165" s="238">
        <v>6.522763266249676E-3</v>
      </c>
      <c r="AM165" s="238">
        <v>6.4148512837152172E-3</v>
      </c>
      <c r="AN165" s="238">
        <v>6.3373672991848817E-3</v>
      </c>
      <c r="AO165" s="238">
        <v>6.3430962306250116E-3</v>
      </c>
      <c r="AP165" s="238">
        <v>6.2521773450922025E-3</v>
      </c>
      <c r="AQ165" s="238">
        <v>6.0104461291128342E-3</v>
      </c>
    </row>
    <row r="166" spans="5:43" s="309" customFormat="1" ht="15" customHeight="1">
      <c r="E166" s="410" t="str">
        <f>Input!E166</f>
        <v>Allocation to controllable opex</v>
      </c>
      <c r="G166" s="309" t="s">
        <v>49</v>
      </c>
      <c r="I166" s="149"/>
      <c r="AJ166" s="238">
        <v>0</v>
      </c>
      <c r="AK166" s="238">
        <v>0</v>
      </c>
      <c r="AL166" s="238">
        <v>0</v>
      </c>
      <c r="AM166" s="238">
        <v>0</v>
      </c>
      <c r="AN166" s="238">
        <v>0</v>
      </c>
      <c r="AO166" s="238">
        <v>0</v>
      </c>
      <c r="AP166" s="238">
        <v>0</v>
      </c>
      <c r="AQ166" s="238">
        <v>0</v>
      </c>
    </row>
    <row r="168" spans="5:43" s="498" customFormat="1" ht="15" customHeight="1">
      <c r="E168" s="498" t="str">
        <f>Input!E168</f>
        <v>Allowed Expenditure - Rail Electrification</v>
      </c>
      <c r="G168" s="309" t="s">
        <v>844</v>
      </c>
      <c r="AJ168" s="221">
        <f>AJ26</f>
        <v>0</v>
      </c>
      <c r="AK168" s="221">
        <f t="shared" ref="AK168:AQ168" si="11">AK26</f>
        <v>0</v>
      </c>
      <c r="AL168" s="221">
        <f t="shared" si="11"/>
        <v>0</v>
      </c>
      <c r="AM168" s="221">
        <f t="shared" si="11"/>
        <v>0</v>
      </c>
      <c r="AN168" s="221">
        <f t="shared" si="11"/>
        <v>0</v>
      </c>
      <c r="AO168" s="221">
        <f t="shared" si="11"/>
        <v>0</v>
      </c>
      <c r="AP168" s="221">
        <f t="shared" si="11"/>
        <v>0</v>
      </c>
      <c r="AQ168" s="221">
        <f t="shared" si="11"/>
        <v>0</v>
      </c>
    </row>
    <row r="169" spans="5:43" s="498" customFormat="1" ht="15" customHeight="1">
      <c r="E169" s="410" t="str">
        <f>Input!E169</f>
        <v>Allocation to load related capex</v>
      </c>
      <c r="G169" s="309" t="s">
        <v>49</v>
      </c>
      <c r="AJ169" s="238">
        <v>0</v>
      </c>
      <c r="AK169" s="238">
        <v>0</v>
      </c>
      <c r="AL169" s="238">
        <v>0</v>
      </c>
      <c r="AM169" s="238">
        <v>0</v>
      </c>
      <c r="AN169" s="238">
        <v>0</v>
      </c>
      <c r="AO169" s="238">
        <v>0</v>
      </c>
      <c r="AP169" s="238">
        <v>0</v>
      </c>
      <c r="AQ169" s="238">
        <v>0</v>
      </c>
    </row>
    <row r="170" spans="5:43" s="498" customFormat="1" ht="15" customHeight="1">
      <c r="E170" s="410" t="str">
        <f>Input!E170</f>
        <v>Allocation to non-load related capex - asset replacement</v>
      </c>
      <c r="G170" s="309" t="s">
        <v>49</v>
      </c>
      <c r="AJ170" s="238">
        <v>0.98743099977148852</v>
      </c>
      <c r="AK170" s="238">
        <v>0.98743099977148863</v>
      </c>
      <c r="AL170" s="238">
        <v>0.98743099977148863</v>
      </c>
      <c r="AM170" s="238">
        <v>0.98743099977148863</v>
      </c>
      <c r="AN170" s="238">
        <v>0.98743099977148863</v>
      </c>
      <c r="AO170" s="238">
        <v>0.98743099977148863</v>
      </c>
      <c r="AP170" s="238">
        <v>0.98743099977148863</v>
      </c>
      <c r="AQ170" s="238">
        <v>0.98743099977148852</v>
      </c>
    </row>
    <row r="171" spans="5:43" s="498" customFormat="1" ht="15" customHeight="1">
      <c r="E171" s="410" t="str">
        <f>Input!E171</f>
        <v>Allocation to non-load related capex - other</v>
      </c>
      <c r="G171" s="309" t="s">
        <v>49</v>
      </c>
      <c r="AJ171" s="238">
        <v>0</v>
      </c>
      <c r="AK171" s="238">
        <v>0</v>
      </c>
      <c r="AL171" s="238">
        <v>0</v>
      </c>
      <c r="AM171" s="238">
        <v>0</v>
      </c>
      <c r="AN171" s="238">
        <v>0</v>
      </c>
      <c r="AO171" s="238">
        <v>0</v>
      </c>
      <c r="AP171" s="238">
        <v>0</v>
      </c>
      <c r="AQ171" s="238">
        <v>0</v>
      </c>
    </row>
    <row r="172" spans="5:43" s="498" customFormat="1" ht="15" customHeight="1">
      <c r="E172" s="410" t="str">
        <f>Input!E172</f>
        <v>Allocation to faults</v>
      </c>
      <c r="G172" s="309" t="s">
        <v>49</v>
      </c>
      <c r="AJ172" s="238">
        <v>0</v>
      </c>
      <c r="AK172" s="238">
        <v>0</v>
      </c>
      <c r="AL172" s="238">
        <v>0</v>
      </c>
      <c r="AM172" s="238">
        <v>0</v>
      </c>
      <c r="AN172" s="238">
        <v>0</v>
      </c>
      <c r="AO172" s="238">
        <v>0</v>
      </c>
      <c r="AP172" s="238">
        <v>0</v>
      </c>
      <c r="AQ172" s="238">
        <v>0</v>
      </c>
    </row>
    <row r="173" spans="5:43" s="498" customFormat="1" ht="15" customHeight="1">
      <c r="E173" s="553" t="s">
        <v>994</v>
      </c>
      <c r="G173" s="309" t="s">
        <v>49</v>
      </c>
      <c r="AJ173" s="238">
        <v>0</v>
      </c>
      <c r="AK173" s="238">
        <v>0</v>
      </c>
      <c r="AL173" s="238">
        <v>0</v>
      </c>
      <c r="AM173" s="238">
        <v>0</v>
      </c>
      <c r="AN173" s="238">
        <v>0</v>
      </c>
      <c r="AO173" s="238">
        <v>0</v>
      </c>
      <c r="AP173" s="238">
        <v>0</v>
      </c>
      <c r="AQ173" s="238">
        <v>0</v>
      </c>
    </row>
    <row r="174" spans="5:43" s="498" customFormat="1" ht="15" customHeight="1">
      <c r="E174" s="410" t="str">
        <f>Input!E174</f>
        <v>Allocation to 100% ‘revenue pool’ expenditure</v>
      </c>
      <c r="G174" s="309" t="s">
        <v>49</v>
      </c>
      <c r="AJ174" s="238">
        <v>1.2569000228511484E-2</v>
      </c>
      <c r="AK174" s="238">
        <v>1.2569000228511373E-2</v>
      </c>
      <c r="AL174" s="238">
        <v>1.2569000228511373E-2</v>
      </c>
      <c r="AM174" s="238">
        <v>1.2569000228511373E-2</v>
      </c>
      <c r="AN174" s="238">
        <v>1.2569000228511373E-2</v>
      </c>
      <c r="AO174" s="238">
        <v>1.2569000228511373E-2</v>
      </c>
      <c r="AP174" s="238">
        <v>1.2569000228511373E-2</v>
      </c>
      <c r="AQ174" s="238">
        <v>1.2569000228511484E-2</v>
      </c>
    </row>
    <row r="175" spans="5:43" s="498" customFormat="1" ht="15" customHeight="1">
      <c r="E175" s="410" t="str">
        <f>Input!E175</f>
        <v>Allocation to controllable opex</v>
      </c>
      <c r="G175" s="309" t="s">
        <v>49</v>
      </c>
      <c r="AJ175" s="238">
        <v>0</v>
      </c>
      <c r="AK175" s="238">
        <v>0</v>
      </c>
      <c r="AL175" s="238">
        <v>0</v>
      </c>
      <c r="AM175" s="238">
        <v>0</v>
      </c>
      <c r="AN175" s="238">
        <v>0</v>
      </c>
      <c r="AO175" s="238">
        <v>0</v>
      </c>
      <c r="AP175" s="238">
        <v>0</v>
      </c>
      <c r="AQ175" s="238">
        <v>0</v>
      </c>
    </row>
    <row r="176" spans="5:43" s="498" customFormat="1" ht="15" customHeight="1"/>
    <row r="177" spans="5:43" s="309" customFormat="1" ht="15" customHeight="1">
      <c r="E177" s="149" t="str">
        <f>Input!E177</f>
        <v>Spare 1</v>
      </c>
      <c r="G177" s="309" t="s">
        <v>844</v>
      </c>
      <c r="I177" s="409"/>
      <c r="AJ177" s="221">
        <f>AJ27</f>
        <v>0</v>
      </c>
      <c r="AK177" s="221">
        <f>AK27</f>
        <v>0</v>
      </c>
      <c r="AL177" s="221">
        <f t="shared" ref="AL177:AQ177" si="12">AL27</f>
        <v>0</v>
      </c>
      <c r="AM177" s="221">
        <f t="shared" si="12"/>
        <v>0</v>
      </c>
      <c r="AN177" s="221">
        <f>AN27</f>
        <v>0</v>
      </c>
      <c r="AO177" s="221">
        <f t="shared" si="12"/>
        <v>0</v>
      </c>
      <c r="AP177" s="221">
        <f t="shared" si="12"/>
        <v>0</v>
      </c>
      <c r="AQ177" s="221">
        <f t="shared" si="12"/>
        <v>0</v>
      </c>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f t="shared" ref="AJ186:AQ186" si="13">AJ28</f>
        <v>0</v>
      </c>
      <c r="AK186" s="221">
        <f t="shared" si="13"/>
        <v>0</v>
      </c>
      <c r="AL186" s="221">
        <f t="shared" si="13"/>
        <v>0</v>
      </c>
      <c r="AM186" s="221">
        <f t="shared" si="13"/>
        <v>0</v>
      </c>
      <c r="AN186" s="221">
        <f t="shared" si="13"/>
        <v>0</v>
      </c>
      <c r="AO186" s="221">
        <f t="shared" si="13"/>
        <v>0</v>
      </c>
      <c r="AP186" s="221">
        <f t="shared" si="13"/>
        <v>0</v>
      </c>
      <c r="AQ186" s="221">
        <f t="shared" si="13"/>
        <v>0</v>
      </c>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f t="shared" ref="AJ195:AQ195" si="14">AJ29</f>
        <v>0</v>
      </c>
      <c r="AK195" s="221">
        <f t="shared" si="14"/>
        <v>0</v>
      </c>
      <c r="AL195" s="221">
        <f t="shared" si="14"/>
        <v>0</v>
      </c>
      <c r="AM195" s="221">
        <f t="shared" si="14"/>
        <v>0</v>
      </c>
      <c r="AN195" s="221">
        <f t="shared" si="14"/>
        <v>0</v>
      </c>
      <c r="AO195" s="221">
        <f t="shared" si="14"/>
        <v>0</v>
      </c>
      <c r="AP195" s="221">
        <f t="shared" si="14"/>
        <v>0</v>
      </c>
      <c r="AQ195" s="221">
        <f t="shared" si="14"/>
        <v>0</v>
      </c>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f>AJ30</f>
        <v>0</v>
      </c>
      <c r="AK204" s="221">
        <f t="shared" ref="AK204:AQ204" si="15">AK30</f>
        <v>0</v>
      </c>
      <c r="AL204" s="221">
        <f t="shared" si="15"/>
        <v>0</v>
      </c>
      <c r="AM204" s="221">
        <f t="shared" si="15"/>
        <v>0</v>
      </c>
      <c r="AN204" s="221">
        <f t="shared" si="15"/>
        <v>0</v>
      </c>
      <c r="AO204" s="221">
        <f t="shared" si="15"/>
        <v>0</v>
      </c>
      <c r="AP204" s="221">
        <f t="shared" si="15"/>
        <v>0</v>
      </c>
      <c r="AQ204" s="221">
        <f t="shared" si="15"/>
        <v>0</v>
      </c>
    </row>
    <row r="205" spans="5:43" s="309" customFormat="1" ht="15" customHeight="1">
      <c r="E205" s="410" t="str">
        <f>Input!E205</f>
        <v>Allocation to load related capex</v>
      </c>
      <c r="G205" s="309" t="s">
        <v>49</v>
      </c>
      <c r="I205" s="409"/>
      <c r="AJ205" s="238">
        <v>0.25</v>
      </c>
      <c r="AK205" s="238">
        <v>0.25</v>
      </c>
      <c r="AL205" s="238">
        <v>0.25</v>
      </c>
      <c r="AM205" s="238">
        <v>0.25</v>
      </c>
      <c r="AN205" s="238">
        <v>0.25</v>
      </c>
      <c r="AO205" s="238">
        <v>0.25</v>
      </c>
      <c r="AP205" s="238">
        <v>0.25</v>
      </c>
      <c r="AQ205" s="238">
        <v>0.25</v>
      </c>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v>0.75</v>
      </c>
      <c r="AK207" s="238">
        <v>0.75</v>
      </c>
      <c r="AL207" s="238">
        <v>0.75</v>
      </c>
      <c r="AM207" s="238">
        <v>0.75</v>
      </c>
      <c r="AN207" s="238">
        <v>0.75</v>
      </c>
      <c r="AO207" s="238">
        <v>0.75</v>
      </c>
      <c r="AP207" s="238">
        <v>0.75</v>
      </c>
      <c r="AQ207" s="238">
        <v>0.75</v>
      </c>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f>(AJ$105*AJ106)+(AJ$114*AJ115)+(AJ$123*AJ124)+(AJ$132*AJ133)+(AJ$141*AJ142)+(AJ$150*AJ151)+(AJ$159*AJ160)+(AJ$168*AJ169)+(AJ$177*AJ178)+(AJ$186*AJ187)+(AJ$195*AJ196)+(AJ$204*AJ205)</f>
        <v>62.019734456577922</v>
      </c>
      <c r="AK213" s="152">
        <f t="shared" ref="AK213:AQ213" si="16">(AK$105*AK106)+(AK$114*AK115)+(AK$123*AK124)+(AK$132*AK133)+(AK$141*AK142)+(AK$150*AK151)+(AK$159*AK160)+(AK$168*AK169)+(AK$177*AK178)+(AK$186*AK187)+(AK$195*AK196)+(AK$204*AK205)</f>
        <v>57.602178570813194</v>
      </c>
      <c r="AL213" s="152">
        <f t="shared" si="16"/>
        <v>67.514244751045737</v>
      </c>
      <c r="AM213" s="152">
        <f t="shared" si="16"/>
        <v>65.032596157836053</v>
      </c>
      <c r="AN213" s="152">
        <f t="shared" si="16"/>
        <v>64.911856902950035</v>
      </c>
      <c r="AO213" s="152">
        <f t="shared" si="16"/>
        <v>55.068865115069897</v>
      </c>
      <c r="AP213" s="152">
        <f t="shared" si="16"/>
        <v>48.576945460700721</v>
      </c>
      <c r="AQ213" s="152">
        <f t="shared" si="16"/>
        <v>48.255808247422657</v>
      </c>
    </row>
    <row r="214" spans="4:44" s="309" customFormat="1" ht="15" customHeight="1">
      <c r="E214" s="163" t="str">
        <f>Input!E214</f>
        <v>Variant allowed non-load related capex - asset replacement</v>
      </c>
      <c r="G214" s="309" t="s">
        <v>844</v>
      </c>
      <c r="I214" s="409"/>
      <c r="AE214" s="149"/>
      <c r="AJ214" s="152">
        <f t="shared" ref="AJ214:AQ214" si="17">(AJ$105*AJ107)+(AJ$114*AJ116)+(AJ$123*AJ125)+(AJ$132*AJ134)+(AJ$141*AJ143)+(AJ$150*AJ152)+(AJ$159*AJ161)+(AJ$168*AJ170)+(AJ$177*AJ179)+(AJ$186*AJ188)+(AJ$195*AJ197)+(AJ$204*AJ206)</f>
        <v>0</v>
      </c>
      <c r="AK214" s="152">
        <f t="shared" si="17"/>
        <v>0</v>
      </c>
      <c r="AL214" s="152">
        <f t="shared" si="17"/>
        <v>0</v>
      </c>
      <c r="AM214" s="152">
        <f t="shared" si="17"/>
        <v>0</v>
      </c>
      <c r="AN214" s="152">
        <f t="shared" si="17"/>
        <v>5.8970580771557763</v>
      </c>
      <c r="AO214" s="152">
        <f t="shared" si="17"/>
        <v>7.936605659580513</v>
      </c>
      <c r="AP214" s="152">
        <f t="shared" si="17"/>
        <v>8.011417957228101</v>
      </c>
      <c r="AQ214" s="152">
        <f t="shared" si="17"/>
        <v>6.0653939666142112</v>
      </c>
    </row>
    <row r="215" spans="4:44" s="309" customFormat="1" ht="15" customHeight="1">
      <c r="E215" s="163" t="str">
        <f>Input!E215</f>
        <v>Variant allowed non-load related capex - other</v>
      </c>
      <c r="G215" s="309" t="s">
        <v>844</v>
      </c>
      <c r="I215" s="409"/>
      <c r="AJ215" s="152">
        <f t="shared" ref="AJ215:AQ215" si="18">(AJ$105*AJ108)+(AJ$114*AJ117)+(AJ$123*AJ126)+(AJ$132*AJ135)+(AJ$141*AJ144)+(AJ$150*AJ153)+(AJ$159*AJ162)+(AJ$168*AJ171)+(AJ$177*AJ180)+(AJ$186*AJ189)+(AJ$195*AJ198)+(AJ$204*AJ207)</f>
        <v>0</v>
      </c>
      <c r="AK215" s="152">
        <f t="shared" si="18"/>
        <v>0</v>
      </c>
      <c r="AL215" s="152">
        <f t="shared" si="18"/>
        <v>0</v>
      </c>
      <c r="AM215" s="152">
        <f t="shared" si="18"/>
        <v>0</v>
      </c>
      <c r="AN215" s="152">
        <f t="shared" si="18"/>
        <v>0</v>
      </c>
      <c r="AO215" s="152">
        <f t="shared" si="18"/>
        <v>0</v>
      </c>
      <c r="AP215" s="152">
        <f t="shared" si="18"/>
        <v>0</v>
      </c>
      <c r="AQ215" s="152">
        <f t="shared" si="18"/>
        <v>0</v>
      </c>
    </row>
    <row r="216" spans="4:44" s="309" customFormat="1" ht="15" customHeight="1">
      <c r="E216" s="163" t="str">
        <f>Input!E216</f>
        <v>Variant allowed faults</v>
      </c>
      <c r="G216" s="309" t="s">
        <v>844</v>
      </c>
      <c r="I216" s="409"/>
      <c r="AJ216" s="152">
        <f t="shared" ref="AJ216:AQ216" si="19">(AJ$105*AJ109)+(AJ$114*AJ118)+(AJ$123*AJ127)+(AJ$132*AJ136)+(AJ$141*AJ145)+(AJ$150*AJ154)+(AJ$159*AJ163)+(AJ$168*AJ172)+(AJ$177*AJ181)+(AJ$186*AJ190)+(AJ$195*AJ199)+(AJ$204*AJ208)</f>
        <v>0</v>
      </c>
      <c r="AK216" s="152">
        <f t="shared" si="19"/>
        <v>0</v>
      </c>
      <c r="AL216" s="152">
        <f t="shared" si="19"/>
        <v>0</v>
      </c>
      <c r="AM216" s="152">
        <f t="shared" si="19"/>
        <v>0</v>
      </c>
      <c r="AN216" s="152">
        <f t="shared" si="19"/>
        <v>0</v>
      </c>
      <c r="AO216" s="152">
        <f t="shared" si="19"/>
        <v>0</v>
      </c>
      <c r="AP216" s="152">
        <f t="shared" si="19"/>
        <v>0</v>
      </c>
      <c r="AQ216" s="152">
        <f t="shared" si="19"/>
        <v>0</v>
      </c>
    </row>
    <row r="217" spans="4:44" s="309" customFormat="1" ht="15" customHeight="1">
      <c r="E217" s="551" t="s">
        <v>995</v>
      </c>
      <c r="G217" s="309" t="s">
        <v>844</v>
      </c>
      <c r="I217" s="409"/>
      <c r="AJ217" s="152">
        <f t="shared" ref="AJ217:AQ217" si="20">(AJ$105*AJ110)+(AJ$114*AJ119)+(AJ$123*AJ128)+(AJ$132*AJ137)+(AJ$141*AJ146)+(AJ$150*AJ155)+(AJ$159*AJ164)+(AJ$168*AJ173)+(AJ$177*AJ182)+(AJ$186*AJ191)+(AJ$195*AJ200)+(AJ$204*AJ209)</f>
        <v>0</v>
      </c>
      <c r="AK217" s="152">
        <f t="shared" si="20"/>
        <v>0</v>
      </c>
      <c r="AL217" s="152">
        <f t="shared" si="20"/>
        <v>0</v>
      </c>
      <c r="AM217" s="152">
        <f t="shared" si="20"/>
        <v>0</v>
      </c>
      <c r="AN217" s="152">
        <f t="shared" si="20"/>
        <v>0</v>
      </c>
      <c r="AO217" s="152">
        <f t="shared" si="20"/>
        <v>0</v>
      </c>
      <c r="AP217" s="152">
        <f t="shared" si="20"/>
        <v>0</v>
      </c>
      <c r="AQ217" s="152">
        <f t="shared" si="20"/>
        <v>0</v>
      </c>
    </row>
    <row r="218" spans="4:44" s="309" customFormat="1" ht="15" customHeight="1">
      <c r="E218" s="163" t="str">
        <f>Input!E218</f>
        <v>Variant allowed 100% ‘revenue pool’ expenditure</v>
      </c>
      <c r="G218" s="309" t="s">
        <v>844</v>
      </c>
      <c r="I218" s="409"/>
      <c r="AJ218" s="152">
        <f t="shared" ref="AJ218:AQ218" si="21">(AJ$105*AJ111)+(AJ$114*AJ120)+(AJ$123*AJ129)+(AJ$132*AJ138)+(AJ$141*AJ147)+(AJ$150*AJ156)+(AJ$159*AJ165)+(AJ$168*AJ174)+(AJ$177*AJ183)+(AJ$186*AJ192)+(AJ$195*AJ201)+(AJ$204*AJ210)</f>
        <v>0.46264087847723889</v>
      </c>
      <c r="AK218" s="152">
        <f t="shared" si="21"/>
        <v>0.46549216380800873</v>
      </c>
      <c r="AL218" s="152">
        <f t="shared" si="21"/>
        <v>0.51000650888843846</v>
      </c>
      <c r="AM218" s="152">
        <f t="shared" si="21"/>
        <v>0.4919461650647331</v>
      </c>
      <c r="AN218" s="152">
        <f t="shared" si="21"/>
        <v>0.53482597270419807</v>
      </c>
      <c r="AO218" s="152">
        <f t="shared" si="21"/>
        <v>0.48386410221879783</v>
      </c>
      <c r="AP218" s="152">
        <f t="shared" si="21"/>
        <v>0.30651238199120573</v>
      </c>
      <c r="AQ218" s="152">
        <f t="shared" si="21"/>
        <v>0.29246647668336423</v>
      </c>
    </row>
    <row r="219" spans="4:44" s="309" customFormat="1" ht="15" customHeight="1">
      <c r="E219" s="163" t="str">
        <f>Input!E219</f>
        <v>Variant allowed controllable opex</v>
      </c>
      <c r="G219" s="309" t="s">
        <v>844</v>
      </c>
      <c r="I219" s="409"/>
      <c r="AJ219" s="152">
        <f t="shared" ref="AJ219:AQ219" si="22">(AJ$105*AJ112)+(AJ$114*AJ121)+(AJ$123*AJ130)+(AJ$132*AJ139)+(AJ$141*AJ148)+(AJ$150*AJ157)+(AJ$159*AJ166)+(AJ$168*AJ175)+(AJ$177*AJ184)+(AJ$186*AJ193)+(AJ$195*AJ202)+(AJ$204*AJ211)</f>
        <v>1.6886727417671474</v>
      </c>
      <c r="AK219" s="152">
        <f t="shared" si="22"/>
        <v>2.8814516361478533</v>
      </c>
      <c r="AL219" s="152">
        <f t="shared" si="22"/>
        <v>3.7128286654084932</v>
      </c>
      <c r="AM219" s="152">
        <f t="shared" si="22"/>
        <v>4.1239064587314358</v>
      </c>
      <c r="AN219" s="152">
        <f t="shared" si="22"/>
        <v>4.1197997525515468</v>
      </c>
      <c r="AO219" s="152">
        <f t="shared" si="22"/>
        <v>3.0346381922719479</v>
      </c>
      <c r="AP219" s="152">
        <f t="shared" si="22"/>
        <v>0</v>
      </c>
      <c r="AQ219" s="152">
        <f t="shared" si="22"/>
        <v>0</v>
      </c>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f t="shared" ref="AJ223:AQ225" si="23">AJ12</f>
        <v>0</v>
      </c>
      <c r="AK223" s="221">
        <f t="shared" si="23"/>
        <v>0</v>
      </c>
      <c r="AL223" s="221">
        <f t="shared" si="23"/>
        <v>0</v>
      </c>
      <c r="AM223" s="221">
        <f t="shared" si="23"/>
        <v>0</v>
      </c>
      <c r="AN223" s="221">
        <f t="shared" si="23"/>
        <v>0</v>
      </c>
      <c r="AO223" s="221">
        <f t="shared" si="23"/>
        <v>0</v>
      </c>
      <c r="AP223" s="221">
        <f t="shared" si="23"/>
        <v>0</v>
      </c>
      <c r="AQ223" s="221">
        <f t="shared" si="23"/>
        <v>0</v>
      </c>
      <c r="AR223" s="369"/>
    </row>
    <row r="224" spans="4:44" s="163" customFormat="1" ht="15" customHeight="1">
      <c r="E224" s="56" t="str">
        <f>Input!E224</f>
        <v>Actual non-load related capex - asset replacement</v>
      </c>
      <c r="G224" s="309" t="s">
        <v>844</v>
      </c>
      <c r="AJ224" s="221">
        <f t="shared" si="23"/>
        <v>0</v>
      </c>
      <c r="AK224" s="221">
        <f t="shared" si="23"/>
        <v>0</v>
      </c>
      <c r="AL224" s="221">
        <f t="shared" si="23"/>
        <v>0</v>
      </c>
      <c r="AM224" s="221">
        <f t="shared" si="23"/>
        <v>0</v>
      </c>
      <c r="AN224" s="221">
        <f t="shared" si="23"/>
        <v>0</v>
      </c>
      <c r="AO224" s="221">
        <f t="shared" si="23"/>
        <v>0</v>
      </c>
      <c r="AP224" s="221">
        <f t="shared" si="23"/>
        <v>0</v>
      </c>
      <c r="AQ224" s="221">
        <f t="shared" si="23"/>
        <v>0</v>
      </c>
      <c r="AR224" s="369"/>
    </row>
    <row r="225" spans="2:44" s="163" customFormat="1" ht="15" customHeight="1">
      <c r="E225" s="309" t="str">
        <f>Input!E225</f>
        <v>Actual non-load related capex - other</v>
      </c>
      <c r="G225" s="309" t="s">
        <v>844</v>
      </c>
      <c r="AJ225" s="221">
        <f t="shared" si="23"/>
        <v>0</v>
      </c>
      <c r="AK225" s="221">
        <f t="shared" si="23"/>
        <v>0</v>
      </c>
      <c r="AL225" s="221">
        <f t="shared" si="23"/>
        <v>0</v>
      </c>
      <c r="AM225" s="221">
        <f t="shared" si="23"/>
        <v>0</v>
      </c>
      <c r="AN225" s="221">
        <f t="shared" si="23"/>
        <v>0</v>
      </c>
      <c r="AO225" s="221">
        <f t="shared" si="23"/>
        <v>0</v>
      </c>
      <c r="AP225" s="221">
        <f t="shared" si="23"/>
        <v>0</v>
      </c>
      <c r="AQ225" s="221">
        <f t="shared" si="23"/>
        <v>0</v>
      </c>
      <c r="AR225" s="369"/>
    </row>
    <row r="226" spans="2:44" s="163" customFormat="1" ht="15" customHeight="1">
      <c r="E226" s="309" t="str">
        <f>Input!E226</f>
        <v>Actual faults</v>
      </c>
      <c r="G226" s="309" t="s">
        <v>844</v>
      </c>
      <c r="AJ226" s="221">
        <f>AJ15</f>
        <v>0</v>
      </c>
      <c r="AK226" s="221">
        <f t="shared" ref="AK226:AQ226" si="24">AK15</f>
        <v>0</v>
      </c>
      <c r="AL226" s="221">
        <f t="shared" si="24"/>
        <v>0</v>
      </c>
      <c r="AM226" s="221">
        <f t="shared" si="24"/>
        <v>0</v>
      </c>
      <c r="AN226" s="221">
        <f t="shared" si="24"/>
        <v>0</v>
      </c>
      <c r="AO226" s="221">
        <f t="shared" si="24"/>
        <v>0</v>
      </c>
      <c r="AP226" s="221">
        <f t="shared" si="24"/>
        <v>0</v>
      </c>
      <c r="AQ226" s="221">
        <f t="shared" si="24"/>
        <v>0</v>
      </c>
      <c r="AR226" s="369"/>
    </row>
    <row r="227" spans="2:44" s="163" customFormat="1" ht="15" customHeight="1">
      <c r="E227" s="554" t="s">
        <v>996</v>
      </c>
      <c r="G227" s="309"/>
      <c r="AJ227" s="221">
        <f>AJ16</f>
        <v>0</v>
      </c>
      <c r="AK227" s="221">
        <f t="shared" ref="AK227:AQ227" si="25">AK16</f>
        <v>0</v>
      </c>
      <c r="AL227" s="221">
        <f t="shared" si="25"/>
        <v>0</v>
      </c>
      <c r="AM227" s="221">
        <f t="shared" si="25"/>
        <v>0</v>
      </c>
      <c r="AN227" s="221">
        <f t="shared" si="25"/>
        <v>0</v>
      </c>
      <c r="AO227" s="221">
        <f t="shared" si="25"/>
        <v>0</v>
      </c>
      <c r="AP227" s="221">
        <f t="shared" si="25"/>
        <v>0</v>
      </c>
      <c r="AQ227" s="221">
        <f t="shared" si="25"/>
        <v>0</v>
      </c>
      <c r="AR227" s="369"/>
    </row>
    <row r="228" spans="2:44" s="163" customFormat="1" ht="15" customHeight="1">
      <c r="E228" s="309" t="str">
        <f>Input!E228</f>
        <v>Actual 100% ‘revenue pool’ expenditure</v>
      </c>
      <c r="G228" s="309" t="s">
        <v>844</v>
      </c>
      <c r="AJ228" s="221">
        <f t="shared" ref="AJ228:AQ228" si="26">AJ17</f>
        <v>0</v>
      </c>
      <c r="AK228" s="221">
        <f t="shared" si="26"/>
        <v>0</v>
      </c>
      <c r="AL228" s="221">
        <f t="shared" si="26"/>
        <v>0</v>
      </c>
      <c r="AM228" s="221">
        <f t="shared" si="26"/>
        <v>0</v>
      </c>
      <c r="AN228" s="221">
        <f t="shared" si="26"/>
        <v>0</v>
      </c>
      <c r="AO228" s="221">
        <f t="shared" si="26"/>
        <v>0</v>
      </c>
      <c r="AP228" s="221">
        <f t="shared" si="26"/>
        <v>0</v>
      </c>
      <c r="AQ228" s="221">
        <f t="shared" si="26"/>
        <v>0</v>
      </c>
      <c r="AR228" s="369"/>
    </row>
    <row r="229" spans="2:44" s="163" customFormat="1" ht="15" customHeight="1">
      <c r="E229" s="411" t="str">
        <f>Input!E229</f>
        <v>Actual controllable opex</v>
      </c>
      <c r="G229" s="309" t="s">
        <v>844</v>
      </c>
      <c r="AJ229" s="221">
        <f t="shared" ref="AJ229:AQ229" si="27">AJ18</f>
        <v>0</v>
      </c>
      <c r="AK229" s="221">
        <f t="shared" si="27"/>
        <v>0</v>
      </c>
      <c r="AL229" s="221">
        <f t="shared" si="27"/>
        <v>0</v>
      </c>
      <c r="AM229" s="221">
        <f t="shared" si="27"/>
        <v>0</v>
      </c>
      <c r="AN229" s="221">
        <f t="shared" si="27"/>
        <v>0</v>
      </c>
      <c r="AO229" s="221">
        <f t="shared" si="27"/>
        <v>0</v>
      </c>
      <c r="AP229" s="221">
        <f t="shared" si="27"/>
        <v>0</v>
      </c>
      <c r="AQ229" s="221">
        <f t="shared" si="27"/>
        <v>0</v>
      </c>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v>28.354035896503024</v>
      </c>
      <c r="AK233" s="236">
        <v>27.504035896503023</v>
      </c>
      <c r="AL233" s="236">
        <v>27.837369229836359</v>
      </c>
      <c r="AM233" s="236">
        <v>28.220702563169692</v>
      </c>
      <c r="AN233" s="236">
        <v>27.654035896503025</v>
      </c>
      <c r="AO233" s="236">
        <v>28.320702563169689</v>
      </c>
      <c r="AP233" s="236">
        <v>26.618493627741156</v>
      </c>
      <c r="AQ233" s="236">
        <v>26.618493627741156</v>
      </c>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v>27.900000000000002</v>
      </c>
      <c r="AK234" s="236">
        <v>32.299999999999997</v>
      </c>
      <c r="AL234" s="236">
        <v>35.260000000000005</v>
      </c>
      <c r="AM234" s="236">
        <v>40.589999999999996</v>
      </c>
      <c r="AN234" s="236">
        <v>47.410000000000004</v>
      </c>
      <c r="AO234" s="236">
        <v>49.51</v>
      </c>
      <c r="AP234" s="236">
        <v>52.510000000000005</v>
      </c>
      <c r="AQ234" s="236">
        <v>53.02</v>
      </c>
    </row>
    <row r="235" spans="2:44" ht="15" customHeight="1">
      <c r="E235" s="19" t="s">
        <v>108</v>
      </c>
      <c r="G235" s="19" t="s">
        <v>844</v>
      </c>
      <c r="AJ235" s="167">
        <f>SUM(AJ233:AJ234)</f>
        <v>56.254035896503026</v>
      </c>
      <c r="AK235" s="167">
        <f t="shared" ref="AK235:AQ235" si="28">SUM(AK233:AK234)</f>
        <v>59.804035896503024</v>
      </c>
      <c r="AL235" s="167">
        <f t="shared" si="28"/>
        <v>63.09736922983636</v>
      </c>
      <c r="AM235" s="167">
        <f t="shared" si="28"/>
        <v>68.810702563169684</v>
      </c>
      <c r="AN235" s="167">
        <f t="shared" si="28"/>
        <v>75.064035896503029</v>
      </c>
      <c r="AO235" s="167">
        <f t="shared" si="28"/>
        <v>77.830702563169694</v>
      </c>
      <c r="AP235" s="167">
        <f t="shared" si="28"/>
        <v>79.128493627741165</v>
      </c>
      <c r="AQ235" s="167">
        <f t="shared" si="28"/>
        <v>79.638493627741155</v>
      </c>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 t="shared" ref="E239" si="29">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f t="shared" ref="AJ239:AQ239" si="30">AJ31</f>
        <v>36.033896415957088</v>
      </c>
      <c r="AK239" s="221">
        <f t="shared" si="30"/>
        <v>36.033896415957088</v>
      </c>
      <c r="AL239" s="221">
        <f t="shared" si="30"/>
        <v>36.033896415957088</v>
      </c>
      <c r="AM239" s="221">
        <f t="shared" si="30"/>
        <v>36.033896415957088</v>
      </c>
      <c r="AN239" s="221">
        <f t="shared" si="30"/>
        <v>36.033896415957088</v>
      </c>
      <c r="AO239" s="221">
        <f t="shared" si="30"/>
        <v>36.033896415957088</v>
      </c>
      <c r="AP239" s="221">
        <f t="shared" si="30"/>
        <v>36.033896415957088</v>
      </c>
      <c r="AQ239" s="221">
        <f t="shared" si="30"/>
        <v>36.033896415957088</v>
      </c>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v>0.12946360870931475</v>
      </c>
      <c r="AK243" s="227">
        <v>0.13552897877734615</v>
      </c>
      <c r="AL243" s="227">
        <v>0.14187851143306482</v>
      </c>
      <c r="AM243" s="227">
        <v>0.14852551969370392</v>
      </c>
      <c r="AN243" s="227">
        <v>0.15548394029135393</v>
      </c>
      <c r="AO243" s="227">
        <v>0.1627683628940039</v>
      </c>
      <c r="AP243" s="227">
        <v>0.17039406069558796</v>
      </c>
      <c r="AQ243" s="227">
        <v>0.17837702243917625</v>
      </c>
    </row>
    <row r="244" spans="5:43" ht="15" customHeight="1">
      <c r="E244" s="149" t="str">
        <f>Input!E244</f>
        <v xml:space="preserve">Other legacy adjustments' price control allowed revenue adjustment                                                                                                            </v>
      </c>
      <c r="G244" s="19" t="s">
        <v>844</v>
      </c>
      <c r="AJ244" s="412">
        <f t="shared" ref="AJ244:AQ244" si="31">$AJ$32/8*(1+AJ51)^ROUND((AJ7-$AJ7)/365,1)</f>
        <v>0</v>
      </c>
      <c r="AK244" s="412">
        <f t="shared" si="31"/>
        <v>0</v>
      </c>
      <c r="AL244" s="412">
        <f t="shared" si="31"/>
        <v>0</v>
      </c>
      <c r="AM244" s="412">
        <f t="shared" si="31"/>
        <v>0</v>
      </c>
      <c r="AN244" s="412">
        <f t="shared" si="31"/>
        <v>0</v>
      </c>
      <c r="AO244" s="412">
        <f t="shared" si="31"/>
        <v>0</v>
      </c>
      <c r="AP244" s="412">
        <f t="shared" si="31"/>
        <v>0</v>
      </c>
      <c r="AQ244" s="412">
        <f t="shared" si="31"/>
        <v>0</v>
      </c>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f>AJ243+AJ244</f>
        <v>0.12946360870931475</v>
      </c>
      <c r="AK245" s="167">
        <f t="shared" ref="AK245:AQ245" si="32">AK243+AK244</f>
        <v>0.13552897877734615</v>
      </c>
      <c r="AL245" s="167">
        <f t="shared" si="32"/>
        <v>0.14187851143306482</v>
      </c>
      <c r="AM245" s="167">
        <f t="shared" si="32"/>
        <v>0.14852551969370392</v>
      </c>
      <c r="AN245" s="167">
        <f t="shared" si="32"/>
        <v>0.15548394029135393</v>
      </c>
      <c r="AO245" s="167">
        <f t="shared" si="32"/>
        <v>0.1627683628940039</v>
      </c>
      <c r="AP245" s="167">
        <f t="shared" si="32"/>
        <v>0.17039406069558796</v>
      </c>
      <c r="AQ245" s="167">
        <f t="shared" si="32"/>
        <v>0.17837702243917625</v>
      </c>
    </row>
    <row r="247" spans="5:43" ht="15" customHeight="1">
      <c r="E247" s="149" t="str">
        <f>Input!E247</f>
        <v>RAV Rolling Incentive legacy adjustments' price control allowed revenue (Base)</v>
      </c>
      <c r="G247" s="498" t="str">
        <f>Input!G247</f>
        <v>£m 12/13 prices</v>
      </c>
      <c r="AJ247" s="227">
        <v>-0.38085534909753882</v>
      </c>
      <c r="AK247" s="227">
        <v>-0.39869842220275853</v>
      </c>
      <c r="AL247" s="227">
        <v>-0.41737744328295778</v>
      </c>
      <c r="AM247" s="227">
        <v>-0.43693157650076436</v>
      </c>
      <c r="AN247" s="227">
        <v>-0.45740182085982517</v>
      </c>
      <c r="AO247" s="227">
        <v>-0.47883109616710806</v>
      </c>
      <c r="AP247" s="227">
        <v>-0.50126433302253703</v>
      </c>
      <c r="AQ247" s="227">
        <v>-0.5247485670246429</v>
      </c>
    </row>
    <row r="248" spans="5:43" ht="15" customHeight="1">
      <c r="E248" s="149" t="str">
        <f>Input!E248</f>
        <v>RAV Rolling Incentive legacy adjustments' price control allowed revenue adjustment</v>
      </c>
      <c r="G248" s="498" t="str">
        <f>Input!G248</f>
        <v>£m 12/13 prices</v>
      </c>
      <c r="AJ248" s="412">
        <f t="shared" ref="AJ248:AQ248" si="33">$AJ$34/8*(1+AJ51)^ROUND((AJ7-$AJ7)/365,1)</f>
        <v>0</v>
      </c>
      <c r="AK248" s="412">
        <f t="shared" si="33"/>
        <v>0</v>
      </c>
      <c r="AL248" s="412">
        <f t="shared" si="33"/>
        <v>0</v>
      </c>
      <c r="AM248" s="412">
        <f t="shared" si="33"/>
        <v>0</v>
      </c>
      <c r="AN248" s="412">
        <f t="shared" si="33"/>
        <v>0</v>
      </c>
      <c r="AO248" s="412">
        <f t="shared" si="33"/>
        <v>0</v>
      </c>
      <c r="AP248" s="412">
        <f t="shared" si="33"/>
        <v>0</v>
      </c>
      <c r="AQ248" s="412">
        <f t="shared" si="33"/>
        <v>0</v>
      </c>
    </row>
    <row r="249" spans="5:43" ht="15" customHeight="1">
      <c r="E249" s="149" t="str">
        <f>Input!E249</f>
        <v>RAV Rolling Incentive legacy adjustments' price control allowed revenue</v>
      </c>
      <c r="F249" s="19"/>
      <c r="G249" s="498" t="str">
        <f>Input!G249</f>
        <v>£m 12/13 prices</v>
      </c>
      <c r="AJ249" s="167">
        <f>AJ247+AJ248</f>
        <v>-0.38085534909753882</v>
      </c>
      <c r="AK249" s="167">
        <f t="shared" ref="AK249:AQ249" si="34">AK247+AK248</f>
        <v>-0.39869842220275853</v>
      </c>
      <c r="AL249" s="167">
        <f t="shared" si="34"/>
        <v>-0.41737744328295778</v>
      </c>
      <c r="AM249" s="167">
        <f t="shared" si="34"/>
        <v>-0.43693157650076436</v>
      </c>
      <c r="AN249" s="167">
        <f t="shared" si="34"/>
        <v>-0.45740182085982517</v>
      </c>
      <c r="AO249" s="167">
        <f t="shared" si="34"/>
        <v>-0.47883109616710806</v>
      </c>
      <c r="AP249" s="167">
        <f t="shared" si="34"/>
        <v>-0.50126433302253703</v>
      </c>
      <c r="AQ249" s="167">
        <f t="shared" si="34"/>
        <v>-0.5247485670246429</v>
      </c>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v>0.36096164000000003</v>
      </c>
      <c r="AF253" s="227">
        <v>0.34316638795741383</v>
      </c>
      <c r="AG253" s="227">
        <v>0.74859829000000011</v>
      </c>
      <c r="AH253" s="227">
        <v>0.1</v>
      </c>
      <c r="AI253" s="227">
        <v>0.1</v>
      </c>
      <c r="AJ253" s="227">
        <v>0</v>
      </c>
      <c r="AK253" s="227">
        <v>0</v>
      </c>
      <c r="AL253" s="227">
        <v>0</v>
      </c>
      <c r="AM253" s="227">
        <v>0</v>
      </c>
      <c r="AN253" s="227">
        <v>0</v>
      </c>
      <c r="AO253" s="227">
        <v>0</v>
      </c>
      <c r="AP253" s="227">
        <v>0</v>
      </c>
      <c r="AQ253" s="227">
        <v>0</v>
      </c>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f t="shared" ref="AE254:AI254" si="35">-AE253</f>
        <v>-0.36096164000000003</v>
      </c>
      <c r="AF254" s="227">
        <f t="shared" si="35"/>
        <v>-0.34316638795741383</v>
      </c>
      <c r="AG254" s="227">
        <f t="shared" si="35"/>
        <v>-0.74859829000000011</v>
      </c>
      <c r="AH254" s="227">
        <f t="shared" si="35"/>
        <v>-0.1</v>
      </c>
      <c r="AI254" s="227">
        <f t="shared" si="35"/>
        <v>-0.1</v>
      </c>
      <c r="AJ254" s="227">
        <f>-AJ253</f>
        <v>0</v>
      </c>
      <c r="AK254" s="227">
        <f t="shared" ref="AK254:AQ254" si="36">-AK253</f>
        <v>0</v>
      </c>
      <c r="AL254" s="227">
        <f t="shared" si="36"/>
        <v>0</v>
      </c>
      <c r="AM254" s="227">
        <f t="shared" si="36"/>
        <v>0</v>
      </c>
      <c r="AN254" s="227">
        <f t="shared" si="36"/>
        <v>0</v>
      </c>
      <c r="AO254" s="227">
        <f t="shared" si="36"/>
        <v>0</v>
      </c>
      <c r="AP254" s="227">
        <f t="shared" si="36"/>
        <v>0</v>
      </c>
      <c r="AQ254" s="227">
        <f t="shared" si="36"/>
        <v>0</v>
      </c>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f t="shared" ref="AE255:AI255" si="37">SUM(AE253,AE254)</f>
        <v>0</v>
      </c>
      <c r="AF255" s="167">
        <f t="shared" si="37"/>
        <v>0</v>
      </c>
      <c r="AG255" s="167">
        <f t="shared" si="37"/>
        <v>0</v>
      </c>
      <c r="AH255" s="167">
        <f t="shared" si="37"/>
        <v>0</v>
      </c>
      <c r="AI255" s="167">
        <f t="shared" si="37"/>
        <v>0</v>
      </c>
      <c r="AJ255" s="167">
        <f>SUM(AJ253,AJ254)</f>
        <v>0</v>
      </c>
      <c r="AK255" s="167">
        <f t="shared" ref="AK255:AQ255" si="38">SUM(AK253,AK254)</f>
        <v>0</v>
      </c>
      <c r="AL255" s="167">
        <f t="shared" si="38"/>
        <v>0</v>
      </c>
      <c r="AM255" s="167">
        <f t="shared" si="38"/>
        <v>0</v>
      </c>
      <c r="AN255" s="167">
        <f t="shared" si="38"/>
        <v>0</v>
      </c>
      <c r="AO255" s="167">
        <f t="shared" si="38"/>
        <v>0</v>
      </c>
      <c r="AP255" s="167">
        <f t="shared" si="38"/>
        <v>0</v>
      </c>
      <c r="AQ255" s="167">
        <f t="shared" si="38"/>
        <v>0</v>
      </c>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f t="shared" ref="AE259:AI259" si="39">-AE260</f>
        <v>0.41980445662130278</v>
      </c>
      <c r="AF259" s="227">
        <f t="shared" si="39"/>
        <v>-1.4533858332320679</v>
      </c>
      <c r="AG259" s="227">
        <f t="shared" si="39"/>
        <v>-3.435027074367528</v>
      </c>
      <c r="AH259" s="227">
        <f t="shared" si="39"/>
        <v>0.67326841463570575</v>
      </c>
      <c r="AI259" s="227">
        <f t="shared" si="39"/>
        <v>0.72374265487990663</v>
      </c>
      <c r="AJ259" s="227">
        <f>-AJ260</f>
        <v>0.99100437700664545</v>
      </c>
      <c r="AK259" s="227">
        <f t="shared" ref="AK259:AQ259" si="40">-AK260</f>
        <v>0.51741189461348536</v>
      </c>
      <c r="AL259" s="227">
        <f t="shared" si="40"/>
        <v>0.54007357950612489</v>
      </c>
      <c r="AM259" s="227">
        <f t="shared" si="40"/>
        <v>0.41838619334973304</v>
      </c>
      <c r="AN259" s="227">
        <f t="shared" si="40"/>
        <v>0.32264361899220506</v>
      </c>
      <c r="AO259" s="227">
        <f t="shared" si="40"/>
        <v>0.35317059672903017</v>
      </c>
      <c r="AP259" s="227">
        <f t="shared" si="40"/>
        <v>0.39547565373940463</v>
      </c>
      <c r="AQ259" s="227">
        <f t="shared" si="40"/>
        <v>0.40243223058950273</v>
      </c>
    </row>
    <row r="260" spans="5:43" ht="15" customHeight="1">
      <c r="E260" s="149" t="str">
        <f>Input!E260</f>
        <v>Element of connection that is Sole Use funded costs</v>
      </c>
      <c r="G260" s="149" t="str">
        <f>Input!G260</f>
        <v>£m 12/13 prices</v>
      </c>
      <c r="AE260" s="227">
        <v>-0.41980445662130278</v>
      </c>
      <c r="AF260" s="227">
        <v>1.4533858332320679</v>
      </c>
      <c r="AG260" s="227">
        <v>3.435027074367528</v>
      </c>
      <c r="AH260" s="227">
        <v>-0.67326841463570575</v>
      </c>
      <c r="AI260" s="227">
        <v>-0.72374265487990663</v>
      </c>
      <c r="AJ260" s="227">
        <v>-0.99100437700664545</v>
      </c>
      <c r="AK260" s="227">
        <v>-0.51741189461348536</v>
      </c>
      <c r="AL260" s="227">
        <v>-0.54007357950612489</v>
      </c>
      <c r="AM260" s="227">
        <v>-0.41838619334973304</v>
      </c>
      <c r="AN260" s="227">
        <v>-0.32264361899220506</v>
      </c>
      <c r="AO260" s="227">
        <v>-0.35317059672903017</v>
      </c>
      <c r="AP260" s="227">
        <v>-0.39547565373940463</v>
      </c>
      <c r="AQ260" s="227">
        <v>-0.40243223058950273</v>
      </c>
    </row>
    <row r="261" spans="5:43" ht="15" customHeight="1">
      <c r="E261" s="149" t="str">
        <f>Input!E261</f>
        <v>Element of connection that is Sole Use funded net position</v>
      </c>
      <c r="G261" s="149" t="str">
        <f>Input!G261</f>
        <v>£m 12/13 prices</v>
      </c>
      <c r="AE261" s="167">
        <f t="shared" ref="AE261:AI261" si="41">SUM(AE259,AE260)</f>
        <v>0</v>
      </c>
      <c r="AF261" s="167">
        <f t="shared" si="41"/>
        <v>0</v>
      </c>
      <c r="AG261" s="167">
        <f t="shared" si="41"/>
        <v>0</v>
      </c>
      <c r="AH261" s="167">
        <f t="shared" si="41"/>
        <v>0</v>
      </c>
      <c r="AI261" s="167">
        <f t="shared" si="41"/>
        <v>0</v>
      </c>
      <c r="AJ261" s="167">
        <f>SUM(AJ259,AJ260)</f>
        <v>0</v>
      </c>
      <c r="AK261" s="167">
        <f t="shared" ref="AK261:AQ261" si="42">SUM(AK259,AK260)</f>
        <v>0</v>
      </c>
      <c r="AL261" s="167">
        <f t="shared" si="42"/>
        <v>0</v>
      </c>
      <c r="AM261" s="167">
        <f t="shared" si="42"/>
        <v>0</v>
      </c>
      <c r="AN261" s="167">
        <f t="shared" si="42"/>
        <v>0</v>
      </c>
      <c r="AO261" s="167">
        <f t="shared" si="42"/>
        <v>0</v>
      </c>
      <c r="AP261" s="167">
        <f t="shared" si="42"/>
        <v>0</v>
      </c>
      <c r="AQ261" s="167">
        <f t="shared" si="42"/>
        <v>0</v>
      </c>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f t="shared" ref="AE263:AI263" si="43">-AE264</f>
        <v>-2.7150104838008352E-2</v>
      </c>
      <c r="AF263" s="227">
        <f t="shared" si="43"/>
        <v>-0.13605991790276356</v>
      </c>
      <c r="AG263" s="227">
        <f t="shared" si="43"/>
        <v>-0.4611659635471077</v>
      </c>
      <c r="AH263" s="227">
        <f t="shared" si="43"/>
        <v>-1.5074144604076273E-2</v>
      </c>
      <c r="AI263" s="227">
        <f t="shared" si="43"/>
        <v>7.5775784444972571E-2</v>
      </c>
      <c r="AJ263" s="227">
        <f>-AJ264</f>
        <v>0.14100703080834226</v>
      </c>
      <c r="AK263" s="227">
        <f t="shared" ref="AK263:AQ263" si="44">-AK264</f>
        <v>9.565225307323269E-2</v>
      </c>
      <c r="AL263" s="227">
        <f t="shared" si="44"/>
        <v>9.5675090545837338E-2</v>
      </c>
      <c r="AM263" s="227">
        <f t="shared" si="44"/>
        <v>8.129502614587128E-2</v>
      </c>
      <c r="AN263" s="227">
        <f t="shared" si="44"/>
        <v>7.0442093414528867E-2</v>
      </c>
      <c r="AO263" s="227">
        <f t="shared" si="44"/>
        <v>7.2650921226159154E-2</v>
      </c>
      <c r="AP263" s="227">
        <f t="shared" si="44"/>
        <v>7.6077180358470248E-2</v>
      </c>
      <c r="AQ263" s="227">
        <f t="shared" si="44"/>
        <v>7.448169662610947E-2</v>
      </c>
    </row>
    <row r="264" spans="5:43" ht="15" customHeight="1">
      <c r="E264" s="149" t="str">
        <f>Input!E264</f>
        <v>Connection projects UMC costs</v>
      </c>
      <c r="G264" s="149" t="str">
        <f>Input!G264</f>
        <v>£m 12/13 prices</v>
      </c>
      <c r="AE264" s="227">
        <v>2.7150104838008352E-2</v>
      </c>
      <c r="AF264" s="227">
        <v>0.13605991790276356</v>
      </c>
      <c r="AG264" s="227">
        <v>0.4611659635471077</v>
      </c>
      <c r="AH264" s="227">
        <v>1.5074144604076273E-2</v>
      </c>
      <c r="AI264" s="227">
        <v>-7.5775784444972571E-2</v>
      </c>
      <c r="AJ264" s="227">
        <v>-0.14100703080834226</v>
      </c>
      <c r="AK264" s="227">
        <v>-9.565225307323269E-2</v>
      </c>
      <c r="AL264" s="227">
        <v>-9.5675090545837338E-2</v>
      </c>
      <c r="AM264" s="227">
        <v>-8.129502614587128E-2</v>
      </c>
      <c r="AN264" s="227">
        <v>-7.0442093414528867E-2</v>
      </c>
      <c r="AO264" s="227">
        <v>-7.2650921226159154E-2</v>
      </c>
      <c r="AP264" s="227">
        <v>-7.6077180358470248E-2</v>
      </c>
      <c r="AQ264" s="227">
        <v>-7.448169662610947E-2</v>
      </c>
    </row>
    <row r="265" spans="5:43" ht="15" customHeight="1">
      <c r="E265" s="149" t="str">
        <f>Input!E265</f>
        <v>Connection projects UMC net position</v>
      </c>
      <c r="G265" s="149" t="str">
        <f>Input!G265</f>
        <v>£m 12/13 prices</v>
      </c>
      <c r="AE265" s="167">
        <f t="shared" ref="AE265:AI265" si="45">SUM(AE263,AE264)</f>
        <v>0</v>
      </c>
      <c r="AF265" s="167">
        <f t="shared" si="45"/>
        <v>0</v>
      </c>
      <c r="AG265" s="167">
        <f t="shared" si="45"/>
        <v>0</v>
      </c>
      <c r="AH265" s="167">
        <f t="shared" si="45"/>
        <v>0</v>
      </c>
      <c r="AI265" s="167">
        <f t="shared" si="45"/>
        <v>0</v>
      </c>
      <c r="AJ265" s="167">
        <f>SUM(AJ263,AJ264)</f>
        <v>0</v>
      </c>
      <c r="AK265" s="167">
        <f t="shared" ref="AK265:AQ265" si="46">SUM(AK263,AK264)</f>
        <v>0</v>
      </c>
      <c r="AL265" s="167">
        <f t="shared" si="46"/>
        <v>0</v>
      </c>
      <c r="AM265" s="167">
        <f t="shared" si="46"/>
        <v>0</v>
      </c>
      <c r="AN265" s="167">
        <f t="shared" si="46"/>
        <v>0</v>
      </c>
      <c r="AO265" s="167">
        <f t="shared" si="46"/>
        <v>0</v>
      </c>
      <c r="AP265" s="167">
        <f t="shared" si="46"/>
        <v>0</v>
      </c>
      <c r="AQ265" s="167">
        <f t="shared" si="46"/>
        <v>0</v>
      </c>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v>15.88501316</v>
      </c>
      <c r="AF267" s="227">
        <v>16.431035658033977</v>
      </c>
      <c r="AG267" s="227">
        <v>16.122005000000001</v>
      </c>
      <c r="AH267" s="227">
        <v>13.206542939999999</v>
      </c>
      <c r="AI267" s="227">
        <v>13.124963789999999</v>
      </c>
      <c r="AJ267" s="227">
        <v>13.044214889999999</v>
      </c>
      <c r="AK267" s="227">
        <v>13.078646370000001</v>
      </c>
      <c r="AL267" s="227">
        <v>13.16826315</v>
      </c>
      <c r="AM267" s="227">
        <v>13.26291894</v>
      </c>
      <c r="AN267" s="227">
        <v>13.34413359</v>
      </c>
      <c r="AO267" s="227">
        <v>13.42275705</v>
      </c>
      <c r="AP267" s="227">
        <v>13.502353319999999</v>
      </c>
      <c r="AQ267" s="227">
        <v>13.582436399999999</v>
      </c>
    </row>
    <row r="268" spans="5:43" ht="15" customHeight="1">
      <c r="E268" s="149" t="str">
        <f>Input!E268</f>
        <v>Diversionary works under obligation (ES2) costs</v>
      </c>
      <c r="G268" s="149" t="str">
        <f>Input!G268</f>
        <v>£m 12/13 prices</v>
      </c>
      <c r="AE268" s="227">
        <v>-14.208697561824779</v>
      </c>
      <c r="AF268" s="227">
        <v>-14.844421876821988</v>
      </c>
      <c r="AG268" s="227">
        <v>-15.517219948733228</v>
      </c>
      <c r="AH268" s="227">
        <v>-12.851050509085885</v>
      </c>
      <c r="AI268" s="227">
        <v>-12.258258186739093</v>
      </c>
      <c r="AJ268" s="227">
        <v>-11.891421596587442</v>
      </c>
      <c r="AK268" s="227">
        <v>-11.838843257174325</v>
      </c>
      <c r="AL268" s="227">
        <v>-11.783774980647143</v>
      </c>
      <c r="AM268" s="227">
        <v>-11.768808460346561</v>
      </c>
      <c r="AN268" s="227">
        <v>-11.734853595724445</v>
      </c>
      <c r="AO268" s="227">
        <v>-11.68598241315374</v>
      </c>
      <c r="AP268" s="227">
        <v>-11.638166269918283</v>
      </c>
      <c r="AQ268" s="227">
        <v>-11.590915082694544</v>
      </c>
    </row>
    <row r="269" spans="5:43" ht="15" customHeight="1">
      <c r="E269" s="149" t="str">
        <f>Input!E269</f>
        <v>Diversionary works under obligation (ES2) net position</v>
      </c>
      <c r="G269" s="149" t="str">
        <f>Input!G269</f>
        <v>£m 12/13 prices</v>
      </c>
      <c r="AE269" s="167">
        <f t="shared" ref="AE269:AI269" si="47">SUM(AE267,AE268)</f>
        <v>1.6763155981752202</v>
      </c>
      <c r="AF269" s="167">
        <f t="shared" si="47"/>
        <v>1.5866137812119891</v>
      </c>
      <c r="AG269" s="167">
        <f t="shared" si="47"/>
        <v>0.60478505126677362</v>
      </c>
      <c r="AH269" s="167">
        <f t="shared" si="47"/>
        <v>0.3554924309141132</v>
      </c>
      <c r="AI269" s="167">
        <f t="shared" si="47"/>
        <v>0.86670560326090573</v>
      </c>
      <c r="AJ269" s="167">
        <f>SUM(AJ267,AJ268)</f>
        <v>1.1527932934125573</v>
      </c>
      <c r="AK269" s="167">
        <f t="shared" ref="AK269:AQ269" si="48">SUM(AK267,AK268)</f>
        <v>1.2398031128256761</v>
      </c>
      <c r="AL269" s="167">
        <f t="shared" si="48"/>
        <v>1.3844881693528563</v>
      </c>
      <c r="AM269" s="167">
        <f t="shared" si="48"/>
        <v>1.4941104796534397</v>
      </c>
      <c r="AN269" s="167">
        <f t="shared" si="48"/>
        <v>1.6092799942755551</v>
      </c>
      <c r="AO269" s="167">
        <f t="shared" si="48"/>
        <v>1.7367746368462598</v>
      </c>
      <c r="AP269" s="167">
        <f t="shared" si="48"/>
        <v>1.8641870500817159</v>
      </c>
      <c r="AQ269" s="167">
        <f t="shared" si="48"/>
        <v>1.9915213173054553</v>
      </c>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v>1.7331776800000001</v>
      </c>
      <c r="AF271" s="227">
        <v>3.9204731044340213</v>
      </c>
      <c r="AG271" s="227">
        <v>2.9137339999999998</v>
      </c>
      <c r="AH271" s="227">
        <v>3.0978310599999999</v>
      </c>
      <c r="AI271" s="227">
        <v>3.0786952099999998</v>
      </c>
      <c r="AJ271" s="227">
        <v>3.0597541100000001</v>
      </c>
      <c r="AK271" s="227">
        <v>3.06783063</v>
      </c>
      <c r="AL271" s="227">
        <v>3.0888518499999997</v>
      </c>
      <c r="AM271" s="227">
        <v>3.11105506</v>
      </c>
      <c r="AN271" s="227">
        <v>3.1301054100000001</v>
      </c>
      <c r="AO271" s="227">
        <v>3.1485479499999998</v>
      </c>
      <c r="AP271" s="227">
        <v>3.16721868</v>
      </c>
      <c r="AQ271" s="227">
        <v>3.1860035999999998</v>
      </c>
    </row>
    <row r="272" spans="5:43" ht="15" customHeight="1">
      <c r="E272" s="149" t="str">
        <f>Input!E272</f>
        <v>Work required by any alteration premises (ES3) costs</v>
      </c>
      <c r="G272" s="149" t="str">
        <f>Input!G272</f>
        <v>£m 12/13 prices</v>
      </c>
      <c r="AE272" s="227">
        <v>-2.7731247098612326</v>
      </c>
      <c r="AF272" s="227">
        <v>-4.9169381560946315</v>
      </c>
      <c r="AG272" s="227">
        <v>-3.2162173655830895</v>
      </c>
      <c r="AH272" s="227">
        <v>-3.1079596532873355</v>
      </c>
      <c r="AI272" s="227">
        <v>-3.4365810431842232</v>
      </c>
      <c r="AJ272" s="227">
        <v>-3.4709908665781151</v>
      </c>
      <c r="AK272" s="227">
        <v>-3.5759475407991244</v>
      </c>
      <c r="AL272" s="227">
        <v>-3.6647507526710763</v>
      </c>
      <c r="AM272" s="227">
        <v>-3.7479831973862487</v>
      </c>
      <c r="AN272" s="227">
        <v>-3.8189461022877658</v>
      </c>
      <c r="AO272" s="227">
        <v>-3.8842200695235531</v>
      </c>
      <c r="AP272" s="227">
        <v>-3.9508568898526217</v>
      </c>
      <c r="AQ272" s="227">
        <v>-4.0192237087867628</v>
      </c>
    </row>
    <row r="273" spans="5:43" ht="15" customHeight="1">
      <c r="E273" s="149" t="str">
        <f>Input!E273</f>
        <v>Work required by any alteration premises (ES3) net position</v>
      </c>
      <c r="G273" s="149" t="str">
        <f>Input!G273</f>
        <v>£m 12/13 prices</v>
      </c>
      <c r="AE273" s="167">
        <f t="shared" ref="AE273:AI273" si="49">SUM(AE271,AE272)</f>
        <v>-1.0399470298612326</v>
      </c>
      <c r="AF273" s="167">
        <f t="shared" si="49"/>
        <v>-0.99646505166061017</v>
      </c>
      <c r="AG273" s="167">
        <f t="shared" si="49"/>
        <v>-0.30248336558308964</v>
      </c>
      <c r="AH273" s="167">
        <f t="shared" si="49"/>
        <v>-1.0128593287335619E-2</v>
      </c>
      <c r="AI273" s="167">
        <f t="shared" si="49"/>
        <v>-0.3578858331842234</v>
      </c>
      <c r="AJ273" s="167">
        <f>SUM(AJ271,AJ272)</f>
        <v>-0.41123675657811498</v>
      </c>
      <c r="AK273" s="167">
        <f t="shared" ref="AK273:AQ273" si="50">SUM(AK271,AK272)</f>
        <v>-0.50811691079912435</v>
      </c>
      <c r="AL273" s="167">
        <f t="shared" si="50"/>
        <v>-0.57589890267107657</v>
      </c>
      <c r="AM273" s="167">
        <f t="shared" si="50"/>
        <v>-0.63692813738624876</v>
      </c>
      <c r="AN273" s="167">
        <f t="shared" si="50"/>
        <v>-0.68884069228776568</v>
      </c>
      <c r="AO273" s="167">
        <f t="shared" si="50"/>
        <v>-0.73567211952355338</v>
      </c>
      <c r="AP273" s="167">
        <f t="shared" si="50"/>
        <v>-0.78363820985262178</v>
      </c>
      <c r="AQ273" s="167">
        <f t="shared" si="50"/>
        <v>-0.833220108786763</v>
      </c>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v>4.4350420000000002</v>
      </c>
      <c r="AF275" s="227">
        <v>3.8187126342430004</v>
      </c>
      <c r="AG275" s="227">
        <v>4.5119593236316664</v>
      </c>
      <c r="AH275" s="227">
        <v>3.8</v>
      </c>
      <c r="AI275" s="227">
        <v>3.9</v>
      </c>
      <c r="AJ275" s="227">
        <v>3.9</v>
      </c>
      <c r="AK275" s="227">
        <v>3.9</v>
      </c>
      <c r="AL275" s="227">
        <v>3.9</v>
      </c>
      <c r="AM275" s="227">
        <v>3.9</v>
      </c>
      <c r="AN275" s="227">
        <v>3.9</v>
      </c>
      <c r="AO275" s="227">
        <v>3.9</v>
      </c>
      <c r="AP275" s="227">
        <v>3.9</v>
      </c>
      <c r="AQ275" s="227">
        <v>3.9</v>
      </c>
    </row>
    <row r="276" spans="5:43" ht="15" customHeight="1">
      <c r="E276" s="149" t="str">
        <f>Input!E276</f>
        <v>Top up standby and enhanced system security (ES4) costs</v>
      </c>
      <c r="G276" s="149" t="str">
        <f>Input!G276</f>
        <v>£m 12/13 prices</v>
      </c>
      <c r="AE276" s="227">
        <v>0</v>
      </c>
      <c r="AF276" s="227">
        <v>0</v>
      </c>
      <c r="AG276" s="227">
        <v>0</v>
      </c>
      <c r="AH276" s="227">
        <v>0</v>
      </c>
      <c r="AI276" s="227">
        <v>0</v>
      </c>
      <c r="AJ276" s="227">
        <v>0</v>
      </c>
      <c r="AK276" s="227">
        <v>0</v>
      </c>
      <c r="AL276" s="227">
        <v>0</v>
      </c>
      <c r="AM276" s="227">
        <v>0</v>
      </c>
      <c r="AN276" s="227">
        <v>0</v>
      </c>
      <c r="AO276" s="227">
        <v>0</v>
      </c>
      <c r="AP276" s="227">
        <v>0</v>
      </c>
      <c r="AQ276" s="227">
        <v>0</v>
      </c>
    </row>
    <row r="277" spans="5:43" ht="15" customHeight="1">
      <c r="E277" s="149" t="str">
        <f>Input!E277</f>
        <v>Top up standby and enhanced system security (ES4) net position</v>
      </c>
      <c r="G277" s="149" t="str">
        <f>Input!G277</f>
        <v>£m 12/13 prices</v>
      </c>
      <c r="AE277" s="167">
        <f t="shared" ref="AE277:AI277" si="51">SUM(AE275,AE276)</f>
        <v>4.4350420000000002</v>
      </c>
      <c r="AF277" s="167">
        <f t="shared" si="51"/>
        <v>3.8187126342430004</v>
      </c>
      <c r="AG277" s="167">
        <f t="shared" si="51"/>
        <v>4.5119593236316664</v>
      </c>
      <c r="AH277" s="167">
        <f t="shared" si="51"/>
        <v>3.8</v>
      </c>
      <c r="AI277" s="167">
        <f t="shared" si="51"/>
        <v>3.9</v>
      </c>
      <c r="AJ277" s="167">
        <f>SUM(AJ275,AJ276)</f>
        <v>3.9</v>
      </c>
      <c r="AK277" s="167">
        <f t="shared" ref="AK277:AQ277" si="52">SUM(AK275,AK276)</f>
        <v>3.9</v>
      </c>
      <c r="AL277" s="167">
        <f t="shared" si="52"/>
        <v>3.9</v>
      </c>
      <c r="AM277" s="167">
        <f t="shared" si="52"/>
        <v>3.9</v>
      </c>
      <c r="AN277" s="167">
        <f t="shared" si="52"/>
        <v>3.9</v>
      </c>
      <c r="AO277" s="167">
        <f t="shared" si="52"/>
        <v>3.9</v>
      </c>
      <c r="AP277" s="167">
        <f t="shared" si="52"/>
        <v>3.9</v>
      </c>
      <c r="AQ277" s="167">
        <f t="shared" si="52"/>
        <v>3.9</v>
      </c>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v>0.55770248</v>
      </c>
      <c r="AF279" s="227">
        <v>0.85029766428680842</v>
      </c>
      <c r="AG279" s="227">
        <v>0.78144471000000004</v>
      </c>
      <c r="AH279" s="227">
        <v>1.056</v>
      </c>
      <c r="AI279" s="227">
        <v>1.056</v>
      </c>
      <c r="AJ279" s="227">
        <v>1.056</v>
      </c>
      <c r="AK279" s="227">
        <v>1.056</v>
      </c>
      <c r="AL279" s="227">
        <v>1.056</v>
      </c>
      <c r="AM279" s="227">
        <v>1.056</v>
      </c>
      <c r="AN279" s="227">
        <v>1.056</v>
      </c>
      <c r="AO279" s="227">
        <v>1.056</v>
      </c>
      <c r="AP279" s="227">
        <v>1.056</v>
      </c>
      <c r="AQ279" s="227">
        <v>1.056</v>
      </c>
    </row>
    <row r="280" spans="5:43" ht="15" customHeight="1">
      <c r="E280" s="149" t="str">
        <f>Input!E280</f>
        <v>Revenue protection services (ES5) costs</v>
      </c>
      <c r="G280" s="149" t="str">
        <f>Input!G280</f>
        <v>£m 12/13 prices</v>
      </c>
      <c r="AE280" s="227">
        <v>-1.9487711036329072</v>
      </c>
      <c r="AF280" s="227">
        <v>-1.748363378601592</v>
      </c>
      <c r="AG280" s="227">
        <v>-1.114314706812805</v>
      </c>
      <c r="AH280" s="227">
        <v>-1.6037952916643095</v>
      </c>
      <c r="AI280" s="227">
        <v>-1.5881145884883541</v>
      </c>
      <c r="AJ280" s="227">
        <v>-1.5553942028229784</v>
      </c>
      <c r="AK280" s="227">
        <v>-1.556727257991416</v>
      </c>
      <c r="AL280" s="227">
        <v>-1.5497222722141202</v>
      </c>
      <c r="AM280" s="227">
        <v>-1.544270017713911</v>
      </c>
      <c r="AN280" s="227">
        <v>-1.5357207158078414</v>
      </c>
      <c r="AO280" s="227">
        <v>-1.5251915794290032</v>
      </c>
      <c r="AP280" s="227">
        <v>-1.5149677266369039</v>
      </c>
      <c r="AQ280" s="227">
        <v>-1.5050318910253646</v>
      </c>
    </row>
    <row r="281" spans="5:43" ht="15" customHeight="1">
      <c r="E281" s="149" t="str">
        <f>Input!E281</f>
        <v>Revenue protection services (ES5) net position</v>
      </c>
      <c r="G281" s="149" t="str">
        <f>Input!G281</f>
        <v>£m 12/13 prices</v>
      </c>
      <c r="AE281" s="167">
        <f t="shared" ref="AE281:AI281" si="53">SUM(AE279,AE280)</f>
        <v>-1.3910686236329073</v>
      </c>
      <c r="AF281" s="167">
        <f t="shared" si="53"/>
        <v>-0.89806571431478355</v>
      </c>
      <c r="AG281" s="167">
        <f t="shared" si="53"/>
        <v>-0.33286999681280494</v>
      </c>
      <c r="AH281" s="167">
        <f t="shared" si="53"/>
        <v>-0.5477952916643094</v>
      </c>
      <c r="AI281" s="167">
        <f t="shared" si="53"/>
        <v>-0.53211458848835402</v>
      </c>
      <c r="AJ281" s="167">
        <f>SUM(AJ279,AJ280)</f>
        <v>-0.49939420282297831</v>
      </c>
      <c r="AK281" s="167">
        <f t="shared" ref="AK281:AQ281" si="54">SUM(AK279,AK280)</f>
        <v>-0.50072725799141593</v>
      </c>
      <c r="AL281" s="167">
        <f t="shared" si="54"/>
        <v>-0.49372227221412013</v>
      </c>
      <c r="AM281" s="167">
        <f t="shared" si="54"/>
        <v>-0.48827001771391099</v>
      </c>
      <c r="AN281" s="167">
        <f t="shared" si="54"/>
        <v>-0.47972071580784137</v>
      </c>
      <c r="AO281" s="167">
        <f t="shared" si="54"/>
        <v>-0.46919157942900314</v>
      </c>
      <c r="AP281" s="167">
        <f t="shared" si="54"/>
        <v>-0.45896772663690388</v>
      </c>
      <c r="AQ281" s="167">
        <f t="shared" si="54"/>
        <v>-0.44903189102536456</v>
      </c>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v>3.30418732</v>
      </c>
      <c r="AF283" s="227">
        <v>1.9970836904620515</v>
      </c>
      <c r="AG283" s="227">
        <v>2.0778450190203928</v>
      </c>
      <c r="AH283" s="227">
        <v>1.4930110051420193</v>
      </c>
      <c r="AI283" s="227">
        <v>1.2841479086499461</v>
      </c>
      <c r="AJ283" s="227">
        <v>0.81066595931555607</v>
      </c>
      <c r="AK283" s="227">
        <v>0.55766317706024404</v>
      </c>
      <c r="AL283" s="227">
        <v>0.40262031072220456</v>
      </c>
      <c r="AM283" s="227">
        <v>0.24241945881856281</v>
      </c>
      <c r="AN283" s="227">
        <v>6.919648659938013E-2</v>
      </c>
      <c r="AO283" s="227">
        <v>5.6184801106767615E-3</v>
      </c>
      <c r="AP283" s="227">
        <v>0</v>
      </c>
      <c r="AQ283" s="227">
        <v>0</v>
      </c>
    </row>
    <row r="284" spans="5:43" ht="15" customHeight="1">
      <c r="E284" s="149" t="str">
        <f>Input!E284</f>
        <v>Metering services (non legacy) (ES6) costs</v>
      </c>
      <c r="G284" s="149" t="str">
        <f>Input!G284</f>
        <v>£m 12/13 prices</v>
      </c>
      <c r="AE284" s="227">
        <v>-1.5833001839679997</v>
      </c>
      <c r="AF284" s="227">
        <v>-1.0477335042459999</v>
      </c>
      <c r="AG284" s="227">
        <v>-0.37264045541000007</v>
      </c>
      <c r="AH284" s="227">
        <v>0</v>
      </c>
      <c r="AI284" s="227">
        <v>0</v>
      </c>
      <c r="AJ284" s="227">
        <v>0</v>
      </c>
      <c r="AK284" s="227">
        <v>0</v>
      </c>
      <c r="AL284" s="227">
        <v>0</v>
      </c>
      <c r="AM284" s="227">
        <v>0</v>
      </c>
      <c r="AN284" s="227">
        <v>0</v>
      </c>
      <c r="AO284" s="227">
        <v>0</v>
      </c>
      <c r="AP284" s="227">
        <v>0</v>
      </c>
      <c r="AQ284" s="227">
        <v>0</v>
      </c>
    </row>
    <row r="285" spans="5:43" ht="15" customHeight="1">
      <c r="E285" s="149" t="str">
        <f>Input!E285</f>
        <v>Metering services (non legacy) (ES6) net position</v>
      </c>
      <c r="G285" s="149" t="str">
        <f>Input!G285</f>
        <v>£m 12/13 prices</v>
      </c>
      <c r="AE285" s="167">
        <f t="shared" ref="AE285:AI285" si="55">SUM(AE283,AE284)</f>
        <v>1.7208871360320004</v>
      </c>
      <c r="AF285" s="167">
        <f t="shared" si="55"/>
        <v>0.94935018621605161</v>
      </c>
      <c r="AG285" s="167">
        <f t="shared" si="55"/>
        <v>1.7052045636103927</v>
      </c>
      <c r="AH285" s="167">
        <f t="shared" si="55"/>
        <v>1.4930110051420193</v>
      </c>
      <c r="AI285" s="167">
        <f t="shared" si="55"/>
        <v>1.2841479086499461</v>
      </c>
      <c r="AJ285" s="167">
        <f>SUM(AJ283,AJ284)</f>
        <v>0.81066595931555607</v>
      </c>
      <c r="AK285" s="167">
        <f t="shared" ref="AK285:AQ285" si="56">SUM(AK283,AK284)</f>
        <v>0.55766317706024404</v>
      </c>
      <c r="AL285" s="167">
        <f t="shared" si="56"/>
        <v>0.40262031072220456</v>
      </c>
      <c r="AM285" s="167">
        <f t="shared" si="56"/>
        <v>0.24241945881856281</v>
      </c>
      <c r="AN285" s="167">
        <f t="shared" si="56"/>
        <v>6.919648659938013E-2</v>
      </c>
      <c r="AO285" s="167">
        <f t="shared" si="56"/>
        <v>5.6184801106767615E-3</v>
      </c>
      <c r="AP285" s="167">
        <f t="shared" si="56"/>
        <v>0</v>
      </c>
      <c r="AQ285" s="167">
        <f t="shared" si="56"/>
        <v>0</v>
      </c>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v>5.8354295582952007</v>
      </c>
      <c r="AF287" s="227">
        <v>5.5652707824482004</v>
      </c>
      <c r="AG287" s="227">
        <v>5.4031755169400002</v>
      </c>
      <c r="AH287" s="227">
        <v>4.3147042414949377</v>
      </c>
      <c r="AI287" s="227">
        <v>3.4202469361983425</v>
      </c>
      <c r="AJ287" s="227">
        <v>2.317002035052075</v>
      </c>
      <c r="AK287" s="227">
        <v>1.6075458929127451</v>
      </c>
      <c r="AL287" s="227">
        <v>1.1072520668655128</v>
      </c>
      <c r="AM287" s="227">
        <v>0.61335995635502427</v>
      </c>
      <c r="AN287" s="227">
        <v>0.19009247173416274</v>
      </c>
      <c r="AO287" s="227">
        <v>1.9688389395586852E-2</v>
      </c>
      <c r="AP287" s="227">
        <v>0</v>
      </c>
      <c r="AQ287" s="227">
        <v>0</v>
      </c>
    </row>
    <row r="288" spans="5:43" ht="15" customHeight="1">
      <c r="E288" s="149" t="str">
        <f>Input!E288</f>
        <v>Metering services (legacy)  costs</v>
      </c>
      <c r="G288" s="149" t="str">
        <f>Input!G288</f>
        <v>£m 12/13 prices</v>
      </c>
      <c r="AE288" s="227">
        <v>-1.7470407074126977</v>
      </c>
      <c r="AF288" s="227">
        <v>-0.50481219616753215</v>
      </c>
      <c r="AG288" s="227">
        <v>-0.228265</v>
      </c>
      <c r="AH288" s="227">
        <v>0</v>
      </c>
      <c r="AI288" s="227">
        <v>0</v>
      </c>
      <c r="AJ288" s="227">
        <v>0</v>
      </c>
      <c r="AK288" s="227">
        <v>0</v>
      </c>
      <c r="AL288" s="227">
        <v>0</v>
      </c>
      <c r="AM288" s="227">
        <v>0</v>
      </c>
      <c r="AN288" s="227">
        <v>0</v>
      </c>
      <c r="AO288" s="227">
        <v>0</v>
      </c>
      <c r="AP288" s="227">
        <v>0</v>
      </c>
      <c r="AQ288" s="227">
        <v>0</v>
      </c>
    </row>
    <row r="289" spans="5:43" ht="15" customHeight="1">
      <c r="E289" s="149" t="str">
        <f>Input!E289</f>
        <v>Metering services (legacy)  net position</v>
      </c>
      <c r="G289" s="149" t="str">
        <f>Input!G289</f>
        <v>£m 12/13 prices</v>
      </c>
      <c r="AE289" s="167">
        <f t="shared" ref="AE289:AI289" si="57">SUM(AE287,AE288)</f>
        <v>4.0883888508825033</v>
      </c>
      <c r="AF289" s="167">
        <f t="shared" si="57"/>
        <v>5.0604585862806681</v>
      </c>
      <c r="AG289" s="167">
        <f t="shared" si="57"/>
        <v>5.1749105169399998</v>
      </c>
      <c r="AH289" s="167">
        <f t="shared" si="57"/>
        <v>4.3147042414949377</v>
      </c>
      <c r="AI289" s="167">
        <f t="shared" si="57"/>
        <v>3.4202469361983425</v>
      </c>
      <c r="AJ289" s="167">
        <f>SUM(AJ287,AJ288)</f>
        <v>2.317002035052075</v>
      </c>
      <c r="AK289" s="167">
        <f t="shared" ref="AK289:AQ289" si="58">SUM(AK287,AK288)</f>
        <v>1.6075458929127451</v>
      </c>
      <c r="AL289" s="167">
        <f t="shared" si="58"/>
        <v>1.1072520668655128</v>
      </c>
      <c r="AM289" s="167">
        <f t="shared" si="58"/>
        <v>0.61335995635502427</v>
      </c>
      <c r="AN289" s="167">
        <f t="shared" si="58"/>
        <v>0.19009247173416274</v>
      </c>
      <c r="AO289" s="167">
        <f t="shared" si="58"/>
        <v>1.9688389395586852E-2</v>
      </c>
      <c r="AP289" s="167">
        <f t="shared" si="58"/>
        <v>0</v>
      </c>
      <c r="AQ289" s="167">
        <f t="shared" si="58"/>
        <v>0</v>
      </c>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v>0</v>
      </c>
      <c r="AF291" s="227">
        <v>0</v>
      </c>
      <c r="AG291" s="227">
        <v>0</v>
      </c>
      <c r="AH291" s="227">
        <v>3.9978823602351797E-3</v>
      </c>
      <c r="AI291" s="227">
        <v>2.3244613248360226E-2</v>
      </c>
      <c r="AJ291" s="227">
        <v>5.6623990879169001E-2</v>
      </c>
      <c r="AK291" s="227">
        <v>9.9197268030336558E-2</v>
      </c>
      <c r="AL291" s="227">
        <v>0.12703479461763884</v>
      </c>
      <c r="AM291" s="227">
        <v>0.14110785011552993</v>
      </c>
      <c r="AN291" s="227">
        <v>0.13961507563792891</v>
      </c>
      <c r="AO291" s="227">
        <v>0.10104651751080138</v>
      </c>
      <c r="AP291" s="227">
        <v>0</v>
      </c>
      <c r="AQ291" s="227">
        <v>0</v>
      </c>
    </row>
    <row r="292" spans="5:43" ht="15" customHeight="1">
      <c r="E292" s="149" t="str">
        <f>Input!E292</f>
        <v>Metering services associated with the SM roll out costs</v>
      </c>
      <c r="G292" s="149" t="str">
        <f>Input!G292</f>
        <v>£m 12/13 prices</v>
      </c>
      <c r="AE292" s="227">
        <v>0</v>
      </c>
      <c r="AF292" s="227">
        <v>0</v>
      </c>
      <c r="AG292" s="227">
        <v>0</v>
      </c>
      <c r="AH292" s="227">
        <v>-3.9978823602351797E-3</v>
      </c>
      <c r="AI292" s="227">
        <v>-2.3244613248360226E-2</v>
      </c>
      <c r="AJ292" s="227">
        <v>-5.6623990879169001E-2</v>
      </c>
      <c r="AK292" s="227">
        <v>-9.9197268030336558E-2</v>
      </c>
      <c r="AL292" s="227">
        <v>-0.12703479461763884</v>
      </c>
      <c r="AM292" s="227">
        <v>-0.14110785011552993</v>
      </c>
      <c r="AN292" s="227">
        <v>-0.13961507563792891</v>
      </c>
      <c r="AO292" s="227">
        <v>-0.10104651751080138</v>
      </c>
      <c r="AP292" s="227">
        <v>0</v>
      </c>
      <c r="AQ292" s="227">
        <v>0</v>
      </c>
    </row>
    <row r="293" spans="5:43" ht="15" customHeight="1">
      <c r="E293" s="149" t="str">
        <f>Input!E293</f>
        <v>Metering services associated with the SM roll out net position</v>
      </c>
      <c r="G293" s="149" t="str">
        <f>Input!G293</f>
        <v>£m 12/13 prices</v>
      </c>
      <c r="AE293" s="167">
        <f t="shared" ref="AE293:AI293" si="59">SUM(AE291,AE292)</f>
        <v>0</v>
      </c>
      <c r="AF293" s="167">
        <f t="shared" si="59"/>
        <v>0</v>
      </c>
      <c r="AG293" s="167">
        <f t="shared" si="59"/>
        <v>0</v>
      </c>
      <c r="AH293" s="167">
        <f t="shared" si="59"/>
        <v>0</v>
      </c>
      <c r="AI293" s="167">
        <f t="shared" si="59"/>
        <v>0</v>
      </c>
      <c r="AJ293" s="167">
        <f>SUM(AJ291,AJ292)</f>
        <v>0</v>
      </c>
      <c r="AK293" s="167">
        <f t="shared" ref="AK293:AQ293" si="60">SUM(AK291,AK292)</f>
        <v>0</v>
      </c>
      <c r="AL293" s="167">
        <f t="shared" si="60"/>
        <v>0</v>
      </c>
      <c r="AM293" s="167">
        <f t="shared" si="60"/>
        <v>0</v>
      </c>
      <c r="AN293" s="167">
        <f t="shared" si="60"/>
        <v>0</v>
      </c>
      <c r="AO293" s="167">
        <f t="shared" si="60"/>
        <v>0</v>
      </c>
      <c r="AP293" s="167">
        <f t="shared" si="60"/>
        <v>0</v>
      </c>
      <c r="AQ293" s="167">
        <f t="shared" si="60"/>
        <v>0</v>
      </c>
    </row>
    <row r="294" spans="5:43" ht="15" customHeight="1">
      <c r="AE294" s="498"/>
      <c r="AF294" s="498"/>
      <c r="AG294" s="498"/>
      <c r="AH294" s="498"/>
      <c r="AI294" s="498"/>
    </row>
    <row r="295" spans="5:43" ht="15" customHeight="1">
      <c r="E295" s="149" t="str">
        <f>Input!E295</f>
        <v>De Minimis Activities revenue</v>
      </c>
      <c r="G295" s="149" t="str">
        <f>Input!G295</f>
        <v>£m 12/13 prices</v>
      </c>
      <c r="AE295" s="227">
        <v>0</v>
      </c>
      <c r="AF295" s="227">
        <v>0</v>
      </c>
      <c r="AG295" s="227">
        <v>1.0772120000000001</v>
      </c>
      <c r="AH295" s="227">
        <v>0.46498899999999999</v>
      </c>
      <c r="AI295" s="227">
        <v>0.39893200000000001</v>
      </c>
      <c r="AJ295" s="227">
        <v>0.28118400000000005</v>
      </c>
      <c r="AK295" s="227">
        <v>6.1865999999999997E-2</v>
      </c>
      <c r="AL295" s="227">
        <v>0</v>
      </c>
      <c r="AM295" s="227">
        <v>0</v>
      </c>
      <c r="AN295" s="227">
        <v>0</v>
      </c>
      <c r="AO295" s="227">
        <v>0</v>
      </c>
      <c r="AP295" s="227">
        <v>0</v>
      </c>
      <c r="AQ295" s="227">
        <v>0</v>
      </c>
    </row>
    <row r="296" spans="5:43" ht="15" customHeight="1">
      <c r="E296" s="149" t="str">
        <f>Input!E296</f>
        <v>De Minimis Activities costs</v>
      </c>
      <c r="G296" s="149" t="str">
        <f>Input!G296</f>
        <v>£m 12/13 prices</v>
      </c>
      <c r="AE296" s="227">
        <v>-0.89509913831387522</v>
      </c>
      <c r="AF296" s="227">
        <v>-3.501286853400793</v>
      </c>
      <c r="AG296" s="227">
        <v>-2.6340992799999996</v>
      </c>
      <c r="AH296" s="227">
        <v>-0.46498899999999999</v>
      </c>
      <c r="AI296" s="227">
        <v>-0.39893200000000001</v>
      </c>
      <c r="AJ296" s="227">
        <v>-0.28118400000000005</v>
      </c>
      <c r="AK296" s="227">
        <v>-6.186599999999999E-2</v>
      </c>
      <c r="AL296" s="227">
        <v>0</v>
      </c>
      <c r="AM296" s="227">
        <v>0</v>
      </c>
      <c r="AN296" s="227">
        <v>0</v>
      </c>
      <c r="AO296" s="227">
        <v>0</v>
      </c>
      <c r="AP296" s="227">
        <v>0</v>
      </c>
      <c r="AQ296" s="227">
        <v>0</v>
      </c>
    </row>
    <row r="297" spans="5:43" ht="15" customHeight="1">
      <c r="E297" s="149" t="str">
        <f>Input!E297</f>
        <v>De Minimis Activities net position</v>
      </c>
      <c r="G297" s="149" t="str">
        <f>Input!G297</f>
        <v>£m 12/13 prices</v>
      </c>
      <c r="AE297" s="167">
        <f t="shared" ref="AE297:AI297" si="61">SUM(AE295,AE296)</f>
        <v>-0.89509913831387522</v>
      </c>
      <c r="AF297" s="167">
        <f t="shared" si="61"/>
        <v>-3.501286853400793</v>
      </c>
      <c r="AG297" s="167">
        <f t="shared" si="61"/>
        <v>-1.5568872799999995</v>
      </c>
      <c r="AH297" s="167">
        <f t="shared" si="61"/>
        <v>0</v>
      </c>
      <c r="AI297" s="167">
        <f t="shared" si="61"/>
        <v>0</v>
      </c>
      <c r="AJ297" s="167">
        <f>SUM(AJ295,AJ296)</f>
        <v>0</v>
      </c>
      <c r="AK297" s="167">
        <f t="shared" ref="AK297:AQ297" si="62">SUM(AK295,AK296)</f>
        <v>0</v>
      </c>
      <c r="AL297" s="167">
        <f t="shared" si="62"/>
        <v>0</v>
      </c>
      <c r="AM297" s="167">
        <f t="shared" si="62"/>
        <v>0</v>
      </c>
      <c r="AN297" s="167">
        <f t="shared" si="62"/>
        <v>0</v>
      </c>
      <c r="AO297" s="167">
        <f t="shared" si="62"/>
        <v>0</v>
      </c>
      <c r="AP297" s="167">
        <f t="shared" si="62"/>
        <v>0</v>
      </c>
      <c r="AQ297" s="167">
        <f t="shared" si="62"/>
        <v>0</v>
      </c>
    </row>
    <row r="298" spans="5:43" ht="15" customHeight="1">
      <c r="AE298" s="498"/>
      <c r="AF298" s="498"/>
      <c r="AG298" s="498"/>
      <c r="AH298" s="498"/>
      <c r="AI298" s="498"/>
    </row>
    <row r="299" spans="5:43" ht="15" customHeight="1">
      <c r="E299" s="149" t="str">
        <f>Input!E299</f>
        <v>Out of Area Networks revenue</v>
      </c>
      <c r="G299" s="149" t="str">
        <f>Input!G299</f>
        <v>£m 12/13 prices</v>
      </c>
      <c r="AE299" s="227">
        <v>0</v>
      </c>
      <c r="AF299" s="227">
        <v>0</v>
      </c>
      <c r="AG299" s="227">
        <v>0</v>
      </c>
      <c r="AH299" s="227">
        <v>0</v>
      </c>
      <c r="AI299" s="227">
        <v>0</v>
      </c>
      <c r="AJ299" s="227">
        <v>0</v>
      </c>
      <c r="AK299" s="227">
        <v>0</v>
      </c>
      <c r="AL299" s="227">
        <v>0</v>
      </c>
      <c r="AM299" s="227">
        <v>0</v>
      </c>
      <c r="AN299" s="227">
        <v>0</v>
      </c>
      <c r="AO299" s="227">
        <v>0</v>
      </c>
      <c r="AP299" s="227">
        <v>0</v>
      </c>
      <c r="AQ299" s="227">
        <v>0</v>
      </c>
    </row>
    <row r="300" spans="5:43" ht="15" customHeight="1">
      <c r="E300" s="149" t="str">
        <f>Input!E300</f>
        <v>Out of Area Networks costs</v>
      </c>
      <c r="G300" s="149" t="str">
        <f>Input!G300</f>
        <v>£m 12/13 prices</v>
      </c>
      <c r="AE300" s="227">
        <v>0</v>
      </c>
      <c r="AF300" s="227">
        <v>0</v>
      </c>
      <c r="AG300" s="227">
        <v>0</v>
      </c>
      <c r="AH300" s="227">
        <v>0</v>
      </c>
      <c r="AI300" s="227">
        <v>0</v>
      </c>
      <c r="AJ300" s="227">
        <v>0</v>
      </c>
      <c r="AK300" s="227">
        <v>0</v>
      </c>
      <c r="AL300" s="227">
        <v>0</v>
      </c>
      <c r="AM300" s="227">
        <v>0</v>
      </c>
      <c r="AN300" s="227">
        <v>0</v>
      </c>
      <c r="AO300" s="227">
        <v>0</v>
      </c>
      <c r="AP300" s="227">
        <v>0</v>
      </c>
      <c r="AQ300" s="227">
        <v>0</v>
      </c>
    </row>
    <row r="301" spans="5:43" ht="15" customHeight="1">
      <c r="E301" s="149" t="str">
        <f>Input!E301</f>
        <v>Out of Area Networks net position</v>
      </c>
      <c r="G301" s="149" t="str">
        <f>Input!G301</f>
        <v>£m 12/13 prices</v>
      </c>
      <c r="AE301" s="167">
        <f t="shared" ref="AE301:AI301" si="63">SUM(AE299,AE300)</f>
        <v>0</v>
      </c>
      <c r="AF301" s="167">
        <f t="shared" si="63"/>
        <v>0</v>
      </c>
      <c r="AG301" s="167">
        <f t="shared" si="63"/>
        <v>0</v>
      </c>
      <c r="AH301" s="167">
        <f t="shared" si="63"/>
        <v>0</v>
      </c>
      <c r="AI301" s="167">
        <f t="shared" si="63"/>
        <v>0</v>
      </c>
      <c r="AJ301" s="167">
        <f>SUM(AJ299,AJ300)</f>
        <v>0</v>
      </c>
      <c r="AK301" s="167">
        <f t="shared" ref="AK301:AQ301" si="64">SUM(AK299,AK300)</f>
        <v>0</v>
      </c>
      <c r="AL301" s="167">
        <f t="shared" si="64"/>
        <v>0</v>
      </c>
      <c r="AM301" s="167">
        <f t="shared" si="64"/>
        <v>0</v>
      </c>
      <c r="AN301" s="167">
        <f t="shared" si="64"/>
        <v>0</v>
      </c>
      <c r="AO301" s="167">
        <f t="shared" si="64"/>
        <v>0</v>
      </c>
      <c r="AP301" s="167">
        <f t="shared" si="64"/>
        <v>0</v>
      </c>
      <c r="AQ301" s="167">
        <f t="shared" si="64"/>
        <v>0</v>
      </c>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v>0</v>
      </c>
      <c r="AF303" s="227">
        <v>0</v>
      </c>
      <c r="AG303" s="227">
        <v>0</v>
      </c>
      <c r="AH303" s="227">
        <v>0</v>
      </c>
      <c r="AI303" s="227">
        <v>0</v>
      </c>
      <c r="AJ303" s="227">
        <v>0</v>
      </c>
      <c r="AK303" s="227">
        <v>0</v>
      </c>
      <c r="AL303" s="227">
        <v>0</v>
      </c>
      <c r="AM303" s="227">
        <v>0</v>
      </c>
      <c r="AN303" s="227">
        <v>0</v>
      </c>
      <c r="AO303" s="227">
        <v>0</v>
      </c>
      <c r="AP303" s="227">
        <v>0</v>
      </c>
      <c r="AQ303" s="227">
        <v>0</v>
      </c>
    </row>
    <row r="304" spans="5:43" ht="15" customHeight="1">
      <c r="E304" s="149" t="str">
        <f>Input!E304</f>
        <v>Other consented activities costs</v>
      </c>
      <c r="G304" s="149" t="str">
        <f>Input!G304</f>
        <v>£m 12/13 prices</v>
      </c>
      <c r="AE304" s="227">
        <v>0</v>
      </c>
      <c r="AF304" s="227">
        <v>0</v>
      </c>
      <c r="AG304" s="227">
        <v>0</v>
      </c>
      <c r="AH304" s="227">
        <v>0</v>
      </c>
      <c r="AI304" s="227">
        <v>0</v>
      </c>
      <c r="AJ304" s="227">
        <v>0</v>
      </c>
      <c r="AK304" s="227">
        <v>0</v>
      </c>
      <c r="AL304" s="227">
        <v>0</v>
      </c>
      <c r="AM304" s="227">
        <v>0</v>
      </c>
      <c r="AN304" s="227">
        <v>0</v>
      </c>
      <c r="AO304" s="227">
        <v>0</v>
      </c>
      <c r="AP304" s="227">
        <v>0</v>
      </c>
      <c r="AQ304" s="227">
        <v>0</v>
      </c>
    </row>
    <row r="305" spans="2:43" ht="15" customHeight="1">
      <c r="E305" s="149" t="str">
        <f>Input!E305</f>
        <v>Other consented activities net position</v>
      </c>
      <c r="G305" s="149" t="str">
        <f>Input!G305</f>
        <v>£m 12/13 prices</v>
      </c>
      <c r="AE305" s="167">
        <f t="shared" ref="AE305:AI305" si="65">SUM(AE303,AE304)</f>
        <v>0</v>
      </c>
      <c r="AF305" s="167">
        <f t="shared" si="65"/>
        <v>0</v>
      </c>
      <c r="AG305" s="167">
        <f t="shared" si="65"/>
        <v>0</v>
      </c>
      <c r="AH305" s="167">
        <f t="shared" si="65"/>
        <v>0</v>
      </c>
      <c r="AI305" s="167">
        <f t="shared" si="65"/>
        <v>0</v>
      </c>
      <c r="AJ305" s="167">
        <f>SUM(AJ303,AJ304)</f>
        <v>0</v>
      </c>
      <c r="AK305" s="167">
        <f t="shared" ref="AK305:AQ305" si="66">SUM(AK303,AK304)</f>
        <v>0</v>
      </c>
      <c r="AL305" s="167">
        <f t="shared" si="66"/>
        <v>0</v>
      </c>
      <c r="AM305" s="167">
        <f t="shared" si="66"/>
        <v>0</v>
      </c>
      <c r="AN305" s="167">
        <f t="shared" si="66"/>
        <v>0</v>
      </c>
      <c r="AO305" s="167">
        <f t="shared" si="66"/>
        <v>0</v>
      </c>
      <c r="AP305" s="167">
        <f t="shared" si="66"/>
        <v>0</v>
      </c>
      <c r="AQ305" s="167">
        <f t="shared" si="66"/>
        <v>0</v>
      </c>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f t="shared" ref="AE309:AI309" si="67">SUM(AE307,AE308)</f>
        <v>0</v>
      </c>
      <c r="AF309" s="167">
        <f t="shared" si="67"/>
        <v>0</v>
      </c>
      <c r="AG309" s="167">
        <f t="shared" si="67"/>
        <v>0</v>
      </c>
      <c r="AH309" s="167">
        <f t="shared" si="67"/>
        <v>0</v>
      </c>
      <c r="AI309" s="167">
        <f t="shared" si="67"/>
        <v>0</v>
      </c>
      <c r="AJ309" s="167">
        <f>SUM(AJ307,AJ308)</f>
        <v>0</v>
      </c>
      <c r="AK309" s="167">
        <f t="shared" ref="AK309:AQ309" si="68">SUM(AK307,AK308)</f>
        <v>0</v>
      </c>
      <c r="AL309" s="167">
        <f t="shared" si="68"/>
        <v>0</v>
      </c>
      <c r="AM309" s="167">
        <f t="shared" si="68"/>
        <v>0</v>
      </c>
      <c r="AN309" s="167">
        <f t="shared" si="68"/>
        <v>0</v>
      </c>
      <c r="AO309" s="167">
        <f t="shared" si="68"/>
        <v>0</v>
      </c>
      <c r="AP309" s="167">
        <f t="shared" si="68"/>
        <v>0</v>
      </c>
      <c r="AQ309" s="167">
        <f t="shared" si="68"/>
        <v>0</v>
      </c>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f t="shared" ref="AE311:AI311" si="69">AE261+AE265+AE269+AE273+AE277+AE281+AE285+AE289+AE293+AE297+AE301+AE305+AE309</f>
        <v>8.5945187932817095</v>
      </c>
      <c r="AF311" s="167">
        <f t="shared" si="69"/>
        <v>6.0193175685755227</v>
      </c>
      <c r="AG311" s="167">
        <f t="shared" si="69"/>
        <v>9.8046188130529384</v>
      </c>
      <c r="AH311" s="167">
        <f t="shared" si="69"/>
        <v>9.405283792599425</v>
      </c>
      <c r="AI311" s="167">
        <f t="shared" si="69"/>
        <v>8.5811000264366175</v>
      </c>
      <c r="AJ311" s="167">
        <f>AJ261+AJ265+AJ269+AJ273+AJ277+AJ281+AJ285+AJ289+AJ293+AJ297+AJ301+AJ305+AJ309</f>
        <v>7.2698303283790953</v>
      </c>
      <c r="AK311" s="167">
        <f t="shared" ref="AK311:AQ311" si="70">AK261+AK265+AK269+AK273+AK277+AK281+AK285+AK289+AK293+AK297+AK301+AK305+AK309</f>
        <v>6.2961680140081242</v>
      </c>
      <c r="AL311" s="167">
        <f t="shared" si="70"/>
        <v>5.7247393720553763</v>
      </c>
      <c r="AM311" s="167">
        <f t="shared" si="70"/>
        <v>5.1246917397268668</v>
      </c>
      <c r="AN311" s="167">
        <f t="shared" si="70"/>
        <v>4.6000075445134909</v>
      </c>
      <c r="AO311" s="167">
        <f t="shared" si="70"/>
        <v>4.4572178073999673</v>
      </c>
      <c r="AP311" s="167">
        <f t="shared" si="70"/>
        <v>4.5215811135921902</v>
      </c>
      <c r="AQ311" s="167">
        <f t="shared" si="70"/>
        <v>4.6092693174933279</v>
      </c>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v>26.050223358889564</v>
      </c>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v>33.299999999999997</v>
      </c>
      <c r="L325" s="236">
        <v>33.299999999999997</v>
      </c>
      <c r="M325" s="236">
        <v>33.299999999999997</v>
      </c>
      <c r="N325" s="236">
        <v>33.299999999999997</v>
      </c>
      <c r="O325" s="236">
        <v>33.299999999999997</v>
      </c>
      <c r="P325" s="236">
        <v>33.299999999999997</v>
      </c>
      <c r="Q325" s="236">
        <v>33.299999999999997</v>
      </c>
      <c r="R325" s="236">
        <v>33.299999999999997</v>
      </c>
      <c r="S325" s="236">
        <v>33.299999999999997</v>
      </c>
      <c r="T325" s="236">
        <v>33.299999999999997</v>
      </c>
      <c r="U325" s="236">
        <v>33.299999999999997</v>
      </c>
      <c r="V325" s="236">
        <v>33.299999999999997</v>
      </c>
      <c r="W325" s="236">
        <v>33.299999999999997</v>
      </c>
      <c r="X325" s="236">
        <v>33.299999999999997</v>
      </c>
      <c r="Y325" s="236">
        <v>33.299999999999997</v>
      </c>
      <c r="Z325" s="236">
        <v>33.299999999999997</v>
      </c>
      <c r="AA325" s="236">
        <v>33.299999999999997</v>
      </c>
      <c r="AB325" s="236">
        <v>33.299999999999997</v>
      </c>
      <c r="AC325" s="236">
        <v>33.299999999999997</v>
      </c>
      <c r="AD325" s="236">
        <v>33.299999999999997</v>
      </c>
      <c r="AE325" s="236">
        <v>33.299999999999997</v>
      </c>
      <c r="AF325" s="236">
        <v>33.299999999999997</v>
      </c>
      <c r="AG325" s="236">
        <v>33.299999999999997</v>
      </c>
      <c r="AH325" s="236">
        <v>33.299999999999997</v>
      </c>
      <c r="AI325" s="327">
        <v>33.299999999999997</v>
      </c>
      <c r="AJ325" s="236">
        <v>23.125</v>
      </c>
      <c r="AK325" s="236">
        <v>26.25</v>
      </c>
      <c r="AL325" s="236">
        <v>29.375</v>
      </c>
      <c r="AM325" s="236">
        <v>32.5</v>
      </c>
      <c r="AN325" s="236">
        <v>35.625</v>
      </c>
      <c r="AO325" s="236">
        <v>38.75</v>
      </c>
      <c r="AP325" s="236">
        <v>41.875</v>
      </c>
      <c r="AQ325" s="236">
        <v>45</v>
      </c>
    </row>
    <row r="326" spans="2:43" ht="15" customHeight="1">
      <c r="E326" s="147" t="str">
        <f>Input!E326</f>
        <v>Accelerated post-vesting asset life</v>
      </c>
      <c r="G326" s="147" t="s">
        <v>51</v>
      </c>
      <c r="J326" s="153" t="s">
        <v>56</v>
      </c>
      <c r="K326" s="327">
        <v>20</v>
      </c>
      <c r="L326" s="236">
        <v>20</v>
      </c>
      <c r="M326" s="236">
        <v>20</v>
      </c>
      <c r="N326" s="236">
        <v>20</v>
      </c>
      <c r="O326" s="236">
        <v>20</v>
      </c>
      <c r="P326" s="236">
        <v>20</v>
      </c>
      <c r="Q326" s="236">
        <v>20</v>
      </c>
      <c r="R326" s="236">
        <v>20</v>
      </c>
      <c r="S326" s="236">
        <v>20</v>
      </c>
      <c r="T326" s="236">
        <v>20</v>
      </c>
      <c r="U326" s="236">
        <v>20</v>
      </c>
      <c r="V326" s="236">
        <v>20</v>
      </c>
      <c r="W326" s="236">
        <v>20</v>
      </c>
      <c r="X326" s="236">
        <v>20</v>
      </c>
      <c r="Y326" s="236">
        <v>20</v>
      </c>
      <c r="Z326" s="236">
        <v>20</v>
      </c>
      <c r="AA326" s="236">
        <v>20</v>
      </c>
      <c r="AB326" s="236">
        <v>20</v>
      </c>
      <c r="AC326" s="236">
        <v>20</v>
      </c>
      <c r="AD326" s="236">
        <v>20</v>
      </c>
      <c r="AE326" s="236">
        <v>20</v>
      </c>
      <c r="AF326" s="236">
        <v>20</v>
      </c>
      <c r="AG326" s="236">
        <v>20</v>
      </c>
      <c r="AH326" s="236">
        <v>20</v>
      </c>
      <c r="AI326" s="327">
        <v>20</v>
      </c>
      <c r="AJ326" s="236">
        <v>23.125</v>
      </c>
      <c r="AK326" s="236">
        <v>26.25</v>
      </c>
      <c r="AL326" s="236">
        <v>29.375</v>
      </c>
      <c r="AM326" s="236">
        <v>32.5</v>
      </c>
      <c r="AN326" s="236">
        <v>35.625</v>
      </c>
      <c r="AO326" s="236">
        <v>38.75</v>
      </c>
      <c r="AP326" s="236">
        <v>41.875</v>
      </c>
      <c r="AQ326" s="236">
        <v>45</v>
      </c>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v>33.741192212835173</v>
      </c>
      <c r="L329" s="227">
        <v>76.264338563257581</v>
      </c>
      <c r="M329" s="227">
        <v>91.363136905074242</v>
      </c>
      <c r="N329" s="227">
        <v>103.38054783019361</v>
      </c>
      <c r="O329" s="227">
        <v>120.79038673453323</v>
      </c>
      <c r="P329" s="227">
        <v>108.92704518024874</v>
      </c>
      <c r="Q329" s="227">
        <v>126.95316156792779</v>
      </c>
      <c r="R329" s="227">
        <v>121.56073358870754</v>
      </c>
      <c r="S329" s="227">
        <v>123.77301892213143</v>
      </c>
      <c r="T329" s="227">
        <v>139.21018831999189</v>
      </c>
      <c r="U329" s="227">
        <v>95.403969257709903</v>
      </c>
      <c r="V329" s="227">
        <v>66.419324227174712</v>
      </c>
      <c r="W329" s="227">
        <v>96.482308736628042</v>
      </c>
      <c r="X329" s="227">
        <v>103.24688313467598</v>
      </c>
      <c r="Y329" s="227">
        <v>89.666465029029894</v>
      </c>
      <c r="Z329" s="227">
        <v>121.50866896969214</v>
      </c>
      <c r="AA329" s="227">
        <v>138.63353629527646</v>
      </c>
      <c r="AB329" s="227">
        <v>143.33880494765612</v>
      </c>
      <c r="AC329" s="227">
        <v>140.45981609373789</v>
      </c>
      <c r="AD329" s="227">
        <v>138.2630783291736</v>
      </c>
      <c r="AE329" s="227">
        <v>142.33536797140945</v>
      </c>
      <c r="AF329" s="227">
        <v>117.88470003619574</v>
      </c>
      <c r="AG329" s="227">
        <v>142.54665675237874</v>
      </c>
      <c r="AH329" s="227">
        <v>173.56092170747041</v>
      </c>
      <c r="AI329" s="227">
        <v>187.63531780336001</v>
      </c>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f t="shared" ref="AH330:AI330" si="71">AH33</f>
        <v>0</v>
      </c>
      <c r="AI330" s="221">
        <f t="shared" si="71"/>
        <v>0</v>
      </c>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f>AH35</f>
        <v>0</v>
      </c>
      <c r="AI331" s="221">
        <f>AI35</f>
        <v>0</v>
      </c>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v>0</v>
      </c>
      <c r="AK333" s="236">
        <v>0</v>
      </c>
      <c r="AL333" s="236">
        <v>0</v>
      </c>
      <c r="AM333" s="236">
        <v>0</v>
      </c>
      <c r="AN333" s="236">
        <v>0</v>
      </c>
      <c r="AO333" s="236">
        <v>0</v>
      </c>
      <c r="AP333" s="236">
        <v>0</v>
      </c>
      <c r="AQ333" s="236">
        <v>0</v>
      </c>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f t="shared" ref="AJ340:AQ341" si="72">AJ36</f>
        <v>0</v>
      </c>
      <c r="AK340" s="221">
        <f t="shared" si="72"/>
        <v>0</v>
      </c>
      <c r="AL340" s="221">
        <f t="shared" si="72"/>
        <v>0</v>
      </c>
      <c r="AM340" s="221">
        <f t="shared" si="72"/>
        <v>0</v>
      </c>
      <c r="AN340" s="221">
        <f t="shared" si="72"/>
        <v>0</v>
      </c>
      <c r="AO340" s="221">
        <f t="shared" si="72"/>
        <v>0</v>
      </c>
      <c r="AP340" s="221">
        <f t="shared" si="72"/>
        <v>0</v>
      </c>
      <c r="AQ340" s="221">
        <f t="shared" si="72"/>
        <v>0</v>
      </c>
    </row>
    <row r="341" spans="3:44" ht="15" customHeight="1">
      <c r="E341" s="149" t="str">
        <f>E37</f>
        <v xml:space="preserve">Tax liability revenue allowance adjustments in respect of tax trigger events                                                       </v>
      </c>
      <c r="G341" s="149" t="s">
        <v>844</v>
      </c>
      <c r="AJ341" s="221">
        <f t="shared" si="72"/>
        <v>0</v>
      </c>
      <c r="AK341" s="221">
        <f t="shared" si="72"/>
        <v>0</v>
      </c>
      <c r="AL341" s="221">
        <f t="shared" si="72"/>
        <v>0</v>
      </c>
      <c r="AM341" s="221">
        <f t="shared" si="72"/>
        <v>0</v>
      </c>
      <c r="AN341" s="221">
        <f t="shared" si="72"/>
        <v>0</v>
      </c>
      <c r="AO341" s="221">
        <f t="shared" si="72"/>
        <v>0</v>
      </c>
      <c r="AP341" s="221">
        <f t="shared" si="72"/>
        <v>0</v>
      </c>
      <c r="AQ341" s="221">
        <f t="shared" si="72"/>
        <v>0</v>
      </c>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v>0.2</v>
      </c>
      <c r="AK343" s="329">
        <v>0.2</v>
      </c>
      <c r="AL343" s="329">
        <v>0.2</v>
      </c>
      <c r="AM343" s="329">
        <v>0.2</v>
      </c>
      <c r="AN343" s="329">
        <v>0.2</v>
      </c>
      <c r="AO343" s="329">
        <v>0.2</v>
      </c>
      <c r="AP343" s="329">
        <v>0.2</v>
      </c>
      <c r="AQ343" s="329">
        <v>0.2</v>
      </c>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v>0.18000000000000002</v>
      </c>
      <c r="AK345" s="329">
        <v>0.18000000000000002</v>
      </c>
      <c r="AL345" s="329">
        <v>0.18000000000000002</v>
      </c>
      <c r="AM345" s="329">
        <v>0.18000000000000002</v>
      </c>
      <c r="AN345" s="329">
        <v>0.18000000000000002</v>
      </c>
      <c r="AO345" s="329">
        <v>0.18000000000000002</v>
      </c>
      <c r="AP345" s="329">
        <v>0.18000000000000002</v>
      </c>
      <c r="AQ345" s="329">
        <v>0.18000000000000002</v>
      </c>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v>0.08</v>
      </c>
      <c r="AK346" s="329">
        <v>0.08</v>
      </c>
      <c r="AL346" s="329">
        <v>0.08</v>
      </c>
      <c r="AM346" s="329">
        <v>0.08</v>
      </c>
      <c r="AN346" s="329">
        <v>0.08</v>
      </c>
      <c r="AO346" s="329">
        <v>0.08</v>
      </c>
      <c r="AP346" s="329">
        <v>0.08</v>
      </c>
      <c r="AQ346" s="329">
        <v>0.08</v>
      </c>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v>2.2200000000000001E-2</v>
      </c>
      <c r="AK347" s="329">
        <v>2.2200000000000001E-2</v>
      </c>
      <c r="AL347" s="329">
        <v>2.2200000000000001E-2</v>
      </c>
      <c r="AM347" s="329">
        <v>2.2200000000000001E-2</v>
      </c>
      <c r="AN347" s="329">
        <v>2.2200000000000001E-2</v>
      </c>
      <c r="AO347" s="329">
        <v>2.2200000000000001E-2</v>
      </c>
      <c r="AP347" s="329">
        <v>2.2200000000000001E-2</v>
      </c>
      <c r="AQ347" s="329">
        <v>2.2200000000000001E-2</v>
      </c>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v>41.768658655346798</v>
      </c>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v>4.2369463794816031</v>
      </c>
      <c r="AI352" s="236">
        <v>0.15406351761827253</v>
      </c>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f>AH38</f>
        <v>0</v>
      </c>
      <c r="AI353" s="221">
        <f>AI38</f>
        <v>0</v>
      </c>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v>453.56581558088868</v>
      </c>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v>47.801543305411457</v>
      </c>
      <c r="AI356" s="426">
        <v>80.222868343267535</v>
      </c>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f>AH39</f>
        <v>0</v>
      </c>
      <c r="AI357" s="221">
        <f>AI39</f>
        <v>0</v>
      </c>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v>412.36346377126762</v>
      </c>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v>75.847853092073905</v>
      </c>
      <c r="AI360" s="236">
        <v>70.419158665816681</v>
      </c>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f>AH40</f>
        <v>0</v>
      </c>
      <c r="AI361" s="221">
        <f>AI40</f>
        <v>0</v>
      </c>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v>83.982971160607335</v>
      </c>
      <c r="AI364" s="454">
        <v>79.727678804817813</v>
      </c>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f>AH41</f>
        <v>0</v>
      </c>
      <c r="AI365" s="221">
        <f>AI41</f>
        <v>0</v>
      </c>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454">
        <v>0</v>
      </c>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v>7.6865010962911644E-3</v>
      </c>
      <c r="AK375" s="329">
        <v>7.6865010962911644E-3</v>
      </c>
      <c r="AL375" s="329">
        <v>7.6865010962911644E-3</v>
      </c>
      <c r="AM375" s="329">
        <v>7.6865010962911644E-3</v>
      </c>
      <c r="AN375" s="329">
        <v>7.6865010962911644E-3</v>
      </c>
      <c r="AO375" s="329">
        <v>7.6865010962911644E-3</v>
      </c>
      <c r="AP375" s="329">
        <v>7.6865010962911644E-3</v>
      </c>
      <c r="AQ375" s="329">
        <v>7.6865010962911644E-3</v>
      </c>
    </row>
    <row r="376" spans="3:43" s="157" customFormat="1" ht="12.75">
      <c r="E376" s="93" t="str">
        <f>Input!E376</f>
        <v>Non-load related capex - asset replacement</v>
      </c>
      <c r="G376" s="157" t="s">
        <v>49</v>
      </c>
      <c r="AJ376" s="329">
        <v>3.1135895684989603E-2</v>
      </c>
      <c r="AK376" s="329">
        <v>3.1135895684989603E-2</v>
      </c>
      <c r="AL376" s="329">
        <v>3.1135895684989603E-2</v>
      </c>
      <c r="AM376" s="329">
        <v>3.1135895684989603E-2</v>
      </c>
      <c r="AN376" s="329">
        <v>3.1135895684989603E-2</v>
      </c>
      <c r="AO376" s="329">
        <v>3.1135895684989603E-2</v>
      </c>
      <c r="AP376" s="329">
        <v>3.1135895684989603E-2</v>
      </c>
      <c r="AQ376" s="329">
        <v>3.1135895684989603E-2</v>
      </c>
    </row>
    <row r="377" spans="3:43" s="157" customFormat="1" ht="12.75">
      <c r="E377" s="157" t="str">
        <f>Input!E377</f>
        <v>Non-Load Related - other</v>
      </c>
      <c r="G377" s="157" t="s">
        <v>49</v>
      </c>
      <c r="AJ377" s="329">
        <v>0.83289273442995448</v>
      </c>
      <c r="AK377" s="329">
        <v>0.83289273442995448</v>
      </c>
      <c r="AL377" s="329">
        <v>0.83289273442995448</v>
      </c>
      <c r="AM377" s="329">
        <v>0.83289273442995448</v>
      </c>
      <c r="AN377" s="329">
        <v>0.83289273442995448</v>
      </c>
      <c r="AO377" s="329">
        <v>0.83289273442995448</v>
      </c>
      <c r="AP377" s="329">
        <v>0.83289273442995448</v>
      </c>
      <c r="AQ377" s="329">
        <v>0.83289273442995448</v>
      </c>
    </row>
    <row r="378" spans="3:43" s="157" customFormat="1" ht="12.75">
      <c r="E378" s="157" t="str">
        <f>Input!E378</f>
        <v>Faults</v>
      </c>
      <c r="G378" s="157" t="s">
        <v>49</v>
      </c>
      <c r="AJ378" s="329">
        <v>0</v>
      </c>
      <c r="AK378" s="329">
        <v>0</v>
      </c>
      <c r="AL378" s="329">
        <v>0</v>
      </c>
      <c r="AM378" s="329">
        <v>0</v>
      </c>
      <c r="AN378" s="329">
        <v>0</v>
      </c>
      <c r="AO378" s="329">
        <v>0</v>
      </c>
      <c r="AP378" s="329">
        <v>0</v>
      </c>
      <c r="AQ378" s="329">
        <v>0</v>
      </c>
    </row>
    <row r="379" spans="3:43" s="157" customFormat="1" ht="12.75">
      <c r="E379" s="221" t="s">
        <v>992</v>
      </c>
      <c r="G379" s="157" t="s">
        <v>49</v>
      </c>
      <c r="AJ379" s="329">
        <v>0</v>
      </c>
      <c r="AK379" s="329">
        <v>0</v>
      </c>
      <c r="AL379" s="329">
        <v>0</v>
      </c>
      <c r="AM379" s="329">
        <v>0</v>
      </c>
      <c r="AN379" s="329">
        <v>0</v>
      </c>
      <c r="AO379" s="329">
        <v>0</v>
      </c>
      <c r="AP379" s="329">
        <v>0</v>
      </c>
      <c r="AQ379" s="329">
        <v>0</v>
      </c>
    </row>
    <row r="380" spans="3:43" s="157" customFormat="1" ht="12.75">
      <c r="E380" s="157" t="str">
        <f>Input!E380</f>
        <v>100% ‘revenue pool’ expenditure</v>
      </c>
      <c r="G380" s="157" t="s">
        <v>49</v>
      </c>
      <c r="AJ380" s="329">
        <v>0</v>
      </c>
      <c r="AK380" s="329">
        <v>0</v>
      </c>
      <c r="AL380" s="329">
        <v>0</v>
      </c>
      <c r="AM380" s="329">
        <v>0</v>
      </c>
      <c r="AN380" s="329">
        <v>0</v>
      </c>
      <c r="AO380" s="329">
        <v>0</v>
      </c>
      <c r="AP380" s="329">
        <v>0</v>
      </c>
      <c r="AQ380" s="329">
        <v>0</v>
      </c>
    </row>
    <row r="381" spans="3:43" s="157" customFormat="1" ht="12.75">
      <c r="E381" s="157" t="str">
        <f>Input!E381</f>
        <v>Controllable Opex</v>
      </c>
      <c r="G381" s="157" t="s">
        <v>49</v>
      </c>
      <c r="AJ381" s="329">
        <v>0</v>
      </c>
      <c r="AK381" s="329">
        <v>0</v>
      </c>
      <c r="AL381" s="329">
        <v>0</v>
      </c>
      <c r="AM381" s="329">
        <v>0</v>
      </c>
      <c r="AN381" s="329">
        <v>0</v>
      </c>
      <c r="AO381" s="329">
        <v>0</v>
      </c>
      <c r="AP381" s="329">
        <v>0</v>
      </c>
      <c r="AQ381" s="329">
        <v>0</v>
      </c>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v>0.96199710040363795</v>
      </c>
      <c r="AK385" s="329">
        <v>0.96199710040363795</v>
      </c>
      <c r="AL385" s="329">
        <v>0.96199710040363795</v>
      </c>
      <c r="AM385" s="329">
        <v>0.96199710040363795</v>
      </c>
      <c r="AN385" s="329">
        <v>0.96199710040363795</v>
      </c>
      <c r="AO385" s="329">
        <v>0.96199710040363795</v>
      </c>
      <c r="AP385" s="329">
        <v>0.96199710040363795</v>
      </c>
      <c r="AQ385" s="329">
        <v>0.96199710040363795</v>
      </c>
    </row>
    <row r="386" spans="4:43" s="157" customFormat="1" ht="12.75">
      <c r="E386" s="93" t="str">
        <f>Input!E386</f>
        <v>Non-load related capex - asset replacement</v>
      </c>
      <c r="G386" s="157" t="s">
        <v>49</v>
      </c>
      <c r="AJ386" s="329">
        <v>0.40332241402689151</v>
      </c>
      <c r="AK386" s="329">
        <v>0.40332241402689151</v>
      </c>
      <c r="AL386" s="329">
        <v>0.40332241402689151</v>
      </c>
      <c r="AM386" s="329">
        <v>0.40332241402689151</v>
      </c>
      <c r="AN386" s="329">
        <v>0.40332241402689151</v>
      </c>
      <c r="AO386" s="329">
        <v>0.40332241402689151</v>
      </c>
      <c r="AP386" s="329">
        <v>0.40332241402689151</v>
      </c>
      <c r="AQ386" s="329">
        <v>0.40332241402689151</v>
      </c>
    </row>
    <row r="387" spans="4:43" s="157" customFormat="1" ht="12.75">
      <c r="E387" s="157" t="str">
        <f>Input!E387</f>
        <v>Non-Load Related - other</v>
      </c>
      <c r="G387" s="157" t="s">
        <v>49</v>
      </c>
      <c r="AJ387" s="329">
        <v>0</v>
      </c>
      <c r="AK387" s="329">
        <v>0</v>
      </c>
      <c r="AL387" s="329">
        <v>0</v>
      </c>
      <c r="AM387" s="329">
        <v>0</v>
      </c>
      <c r="AN387" s="329">
        <v>0</v>
      </c>
      <c r="AO387" s="329">
        <v>0</v>
      </c>
      <c r="AP387" s="329">
        <v>0</v>
      </c>
      <c r="AQ387" s="329">
        <v>0</v>
      </c>
    </row>
    <row r="388" spans="4:43" s="157" customFormat="1" ht="12.75">
      <c r="E388" s="157" t="str">
        <f>Input!E388</f>
        <v>Faults</v>
      </c>
      <c r="G388" s="157" t="s">
        <v>49</v>
      </c>
      <c r="AJ388" s="329">
        <v>0</v>
      </c>
      <c r="AK388" s="329">
        <v>0</v>
      </c>
      <c r="AL388" s="329">
        <v>0</v>
      </c>
      <c r="AM388" s="329">
        <v>0</v>
      </c>
      <c r="AN388" s="329">
        <v>0</v>
      </c>
      <c r="AO388" s="329">
        <v>0</v>
      </c>
      <c r="AP388" s="329">
        <v>0</v>
      </c>
      <c r="AQ388" s="329">
        <v>0</v>
      </c>
    </row>
    <row r="389" spans="4:43" s="157" customFormat="1" ht="12.75">
      <c r="E389" s="221" t="s">
        <v>992</v>
      </c>
      <c r="G389" s="157" t="s">
        <v>49</v>
      </c>
      <c r="AJ389" s="329">
        <v>0</v>
      </c>
      <c r="AK389" s="329">
        <v>0</v>
      </c>
      <c r="AL389" s="329">
        <v>0</v>
      </c>
      <c r="AM389" s="329">
        <v>0</v>
      </c>
      <c r="AN389" s="329">
        <v>0</v>
      </c>
      <c r="AO389" s="329">
        <v>0</v>
      </c>
      <c r="AP389" s="329">
        <v>0</v>
      </c>
      <c r="AQ389" s="329">
        <v>0</v>
      </c>
    </row>
    <row r="390" spans="4:43" s="157" customFormat="1" ht="12.75">
      <c r="E390" s="157" t="str">
        <f>Input!E390</f>
        <v>100% ‘revenue pool’ expenditure</v>
      </c>
      <c r="G390" s="157" t="s">
        <v>49</v>
      </c>
      <c r="AJ390" s="329">
        <v>0</v>
      </c>
      <c r="AK390" s="329">
        <v>0</v>
      </c>
      <c r="AL390" s="329">
        <v>0</v>
      </c>
      <c r="AM390" s="329">
        <v>0</v>
      </c>
      <c r="AN390" s="329">
        <v>0</v>
      </c>
      <c r="AO390" s="329">
        <v>0</v>
      </c>
      <c r="AP390" s="329">
        <v>0</v>
      </c>
      <c r="AQ390" s="329">
        <v>0</v>
      </c>
    </row>
    <row r="391" spans="4:43" s="157" customFormat="1" ht="12.75">
      <c r="E391" s="157" t="str">
        <f>Input!E391</f>
        <v>Controllable Opex</v>
      </c>
      <c r="G391" s="157" t="s">
        <v>49</v>
      </c>
      <c r="AJ391" s="329">
        <v>0.43472456017006222</v>
      </c>
      <c r="AK391" s="329">
        <v>0.43472456017006222</v>
      </c>
      <c r="AL391" s="329">
        <v>0.43472456017006222</v>
      </c>
      <c r="AM391" s="329">
        <v>0.43472456017006222</v>
      </c>
      <c r="AN391" s="329">
        <v>0.43472456017006222</v>
      </c>
      <c r="AO391" s="329">
        <v>0.43472456017006222</v>
      </c>
      <c r="AP391" s="329">
        <v>0.43472456017006222</v>
      </c>
      <c r="AQ391" s="329">
        <v>0.43472456017006222</v>
      </c>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v>2.8581987182959644E-2</v>
      </c>
      <c r="AK395" s="329">
        <v>2.8581987182959644E-2</v>
      </c>
      <c r="AL395" s="329">
        <v>2.8581987182959644E-2</v>
      </c>
      <c r="AM395" s="329">
        <v>2.8581987182959644E-2</v>
      </c>
      <c r="AN395" s="329">
        <v>2.8581987182959644E-2</v>
      </c>
      <c r="AO395" s="329">
        <v>2.8581987182959644E-2</v>
      </c>
      <c r="AP395" s="329">
        <v>2.8581987182959644E-2</v>
      </c>
      <c r="AQ395" s="329">
        <v>2.8581987182959644E-2</v>
      </c>
    </row>
    <row r="396" spans="4:43" s="157" customFormat="1" ht="12.75">
      <c r="E396" s="93" t="str">
        <f>Input!E396</f>
        <v>Non-load related capex - asset replacement</v>
      </c>
      <c r="G396" s="157" t="s">
        <v>49</v>
      </c>
      <c r="AJ396" s="329">
        <v>0.56153336910410145</v>
      </c>
      <c r="AK396" s="329">
        <v>0.56153336910410145</v>
      </c>
      <c r="AL396" s="329">
        <v>0.56153336910410145</v>
      </c>
      <c r="AM396" s="329">
        <v>0.56153336910410145</v>
      </c>
      <c r="AN396" s="329">
        <v>0.56153336910410145</v>
      </c>
      <c r="AO396" s="329">
        <v>0.56153336910410145</v>
      </c>
      <c r="AP396" s="329">
        <v>0.56153336910410145</v>
      </c>
      <c r="AQ396" s="329">
        <v>0.56153336910410145</v>
      </c>
    </row>
    <row r="397" spans="4:43" s="157" customFormat="1" ht="12.75">
      <c r="E397" s="157" t="str">
        <f>Input!E397</f>
        <v>Non-Load Related - other</v>
      </c>
      <c r="G397" s="157" t="s">
        <v>49</v>
      </c>
      <c r="AJ397" s="329">
        <v>0</v>
      </c>
      <c r="AK397" s="329">
        <v>0</v>
      </c>
      <c r="AL397" s="329">
        <v>0</v>
      </c>
      <c r="AM397" s="329">
        <v>0</v>
      </c>
      <c r="AN397" s="329">
        <v>0</v>
      </c>
      <c r="AO397" s="329">
        <v>0</v>
      </c>
      <c r="AP397" s="329">
        <v>0</v>
      </c>
      <c r="AQ397" s="329">
        <v>0</v>
      </c>
    </row>
    <row r="398" spans="4:43" s="157" customFormat="1" ht="12.75">
      <c r="E398" s="157" t="str">
        <f>Input!E398</f>
        <v>Faults</v>
      </c>
      <c r="G398" s="157" t="s">
        <v>49</v>
      </c>
      <c r="AJ398" s="329">
        <v>0.68295808017929971</v>
      </c>
      <c r="AK398" s="329">
        <v>0.68295808017929971</v>
      </c>
      <c r="AL398" s="329">
        <v>0.68295808017929971</v>
      </c>
      <c r="AM398" s="329">
        <v>0.68295808017929971</v>
      </c>
      <c r="AN398" s="329">
        <v>0.68295808017929971</v>
      </c>
      <c r="AO398" s="329">
        <v>0.68295808017929971</v>
      </c>
      <c r="AP398" s="329">
        <v>0.68295808017929971</v>
      </c>
      <c r="AQ398" s="329">
        <v>0.68295808017929971</v>
      </c>
    </row>
    <row r="399" spans="4:43" s="157" customFormat="1" ht="12.75">
      <c r="E399" s="221" t="s">
        <v>992</v>
      </c>
      <c r="G399" s="157" t="s">
        <v>49</v>
      </c>
      <c r="AJ399" s="329">
        <v>0</v>
      </c>
      <c r="AK399" s="329">
        <v>0</v>
      </c>
      <c r="AL399" s="329">
        <v>0</v>
      </c>
      <c r="AM399" s="329">
        <v>0</v>
      </c>
      <c r="AN399" s="329">
        <v>0</v>
      </c>
      <c r="AO399" s="329">
        <v>0</v>
      </c>
      <c r="AP399" s="329">
        <v>0</v>
      </c>
      <c r="AQ399" s="329">
        <v>0</v>
      </c>
    </row>
    <row r="400" spans="4:43" s="157" customFormat="1" ht="12.75">
      <c r="E400" s="157" t="str">
        <f>Input!E400</f>
        <v>100% ‘revenue pool’ expenditure</v>
      </c>
      <c r="G400" s="157" t="s">
        <v>49</v>
      </c>
      <c r="AJ400" s="329">
        <v>0</v>
      </c>
      <c r="AK400" s="329">
        <v>0</v>
      </c>
      <c r="AL400" s="329">
        <v>0</v>
      </c>
      <c r="AM400" s="329">
        <v>0</v>
      </c>
      <c r="AN400" s="329">
        <v>0</v>
      </c>
      <c r="AO400" s="329">
        <v>0</v>
      </c>
      <c r="AP400" s="329">
        <v>0</v>
      </c>
      <c r="AQ400" s="329">
        <v>0</v>
      </c>
    </row>
    <row r="401" spans="4:43" s="157" customFormat="1" ht="12.75">
      <c r="E401" s="157" t="str">
        <f>Input!E401</f>
        <v>Controllable Opex</v>
      </c>
      <c r="G401" s="157" t="s">
        <v>49</v>
      </c>
      <c r="AJ401" s="329">
        <v>0.18547571352552006</v>
      </c>
      <c r="AK401" s="329">
        <v>0.18547571352552006</v>
      </c>
      <c r="AL401" s="329">
        <v>0.18547571352552006</v>
      </c>
      <c r="AM401" s="329">
        <v>0.18547571352552006</v>
      </c>
      <c r="AN401" s="329">
        <v>0.18547571352552006</v>
      </c>
      <c r="AO401" s="329">
        <v>0.18547571352552006</v>
      </c>
      <c r="AP401" s="329">
        <v>0.18547571352552006</v>
      </c>
      <c r="AQ401" s="329">
        <v>0.18547571352552006</v>
      </c>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v>0</v>
      </c>
      <c r="AK405" s="329">
        <v>0</v>
      </c>
      <c r="AL405" s="329">
        <v>0</v>
      </c>
      <c r="AM405" s="329">
        <v>0</v>
      </c>
      <c r="AN405" s="329">
        <v>0</v>
      </c>
      <c r="AO405" s="329">
        <v>0</v>
      </c>
      <c r="AP405" s="329">
        <v>0</v>
      </c>
      <c r="AQ405" s="329">
        <v>0</v>
      </c>
    </row>
    <row r="406" spans="4:43" s="157" customFormat="1" ht="12.75">
      <c r="E406" s="93" t="str">
        <f>Input!E406</f>
        <v>Non-load related capex - asset replacement</v>
      </c>
      <c r="G406" s="157" t="s">
        <v>49</v>
      </c>
      <c r="AJ406" s="329">
        <v>0</v>
      </c>
      <c r="AK406" s="329">
        <v>0</v>
      </c>
      <c r="AL406" s="329">
        <v>0</v>
      </c>
      <c r="AM406" s="329">
        <v>0</v>
      </c>
      <c r="AN406" s="329">
        <v>0</v>
      </c>
      <c r="AO406" s="329">
        <v>0</v>
      </c>
      <c r="AP406" s="329">
        <v>0</v>
      </c>
      <c r="AQ406" s="329">
        <v>0</v>
      </c>
    </row>
    <row r="407" spans="4:43" s="157" customFormat="1" ht="12.75">
      <c r="E407" s="157" t="str">
        <f>Input!E407</f>
        <v>Non-Load Related - other</v>
      </c>
      <c r="G407" s="157" t="s">
        <v>49</v>
      </c>
      <c r="AJ407" s="329">
        <v>0</v>
      </c>
      <c r="AK407" s="329">
        <v>0</v>
      </c>
      <c r="AL407" s="329">
        <v>0</v>
      </c>
      <c r="AM407" s="329">
        <v>0</v>
      </c>
      <c r="AN407" s="329">
        <v>0</v>
      </c>
      <c r="AO407" s="329">
        <v>0</v>
      </c>
      <c r="AP407" s="329">
        <v>0</v>
      </c>
      <c r="AQ407" s="329">
        <v>0</v>
      </c>
    </row>
    <row r="408" spans="4:43" s="157" customFormat="1" ht="12.75">
      <c r="E408" s="157" t="str">
        <f>Input!E408</f>
        <v>Faults</v>
      </c>
      <c r="G408" s="157" t="s">
        <v>49</v>
      </c>
      <c r="AJ408" s="329">
        <v>0.31704191982070029</v>
      </c>
      <c r="AK408" s="329">
        <v>0.31704191982070029</v>
      </c>
      <c r="AL408" s="329">
        <v>0.31704191982070029</v>
      </c>
      <c r="AM408" s="329">
        <v>0.31704191982070029</v>
      </c>
      <c r="AN408" s="329">
        <v>0.31704191982070029</v>
      </c>
      <c r="AO408" s="329">
        <v>0.31704191982070029</v>
      </c>
      <c r="AP408" s="329">
        <v>0.31704191982070029</v>
      </c>
      <c r="AQ408" s="329">
        <v>0.31704191982070029</v>
      </c>
    </row>
    <row r="409" spans="4:43" s="157" customFormat="1" ht="12.75">
      <c r="E409" s="221" t="s">
        <v>992</v>
      </c>
      <c r="G409" s="157" t="s">
        <v>49</v>
      </c>
      <c r="AJ409" s="329">
        <v>1</v>
      </c>
      <c r="AK409" s="329">
        <v>1</v>
      </c>
      <c r="AL409" s="329">
        <v>1</v>
      </c>
      <c r="AM409" s="329">
        <v>1</v>
      </c>
      <c r="AN409" s="329">
        <v>1</v>
      </c>
      <c r="AO409" s="329">
        <v>1</v>
      </c>
      <c r="AP409" s="329">
        <v>1</v>
      </c>
      <c r="AQ409" s="329">
        <v>1</v>
      </c>
    </row>
    <row r="410" spans="4:43" s="157" customFormat="1" ht="12.75">
      <c r="E410" s="157" t="str">
        <f>Input!E410</f>
        <v>100% ‘revenue pool’ expenditure</v>
      </c>
      <c r="G410" s="157" t="s">
        <v>49</v>
      </c>
      <c r="AJ410" s="329">
        <v>1</v>
      </c>
      <c r="AK410" s="329">
        <v>1</v>
      </c>
      <c r="AL410" s="329">
        <v>1</v>
      </c>
      <c r="AM410" s="329">
        <v>1</v>
      </c>
      <c r="AN410" s="329">
        <v>1</v>
      </c>
      <c r="AO410" s="329">
        <v>1</v>
      </c>
      <c r="AP410" s="329">
        <v>1</v>
      </c>
      <c r="AQ410" s="329">
        <v>1</v>
      </c>
    </row>
    <row r="411" spans="4:43" s="157" customFormat="1" ht="12.75">
      <c r="E411" s="157" t="str">
        <f>Input!E411</f>
        <v>Controllable Opex</v>
      </c>
      <c r="G411" s="157" t="s">
        <v>49</v>
      </c>
      <c r="AJ411" s="329">
        <v>0.37979972630441755</v>
      </c>
      <c r="AK411" s="329">
        <v>0.37979972630441755</v>
      </c>
      <c r="AL411" s="329">
        <v>0.37979972630441755</v>
      </c>
      <c r="AM411" s="329">
        <v>0.37979972630441755</v>
      </c>
      <c r="AN411" s="329">
        <v>0.37979972630441755</v>
      </c>
      <c r="AO411" s="329">
        <v>0.37979972630441755</v>
      </c>
      <c r="AP411" s="329">
        <v>0.37979972630441755</v>
      </c>
      <c r="AQ411" s="329">
        <v>0.37979972630441755</v>
      </c>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v>1.7344113171111793E-3</v>
      </c>
      <c r="AK415" s="329">
        <v>1.7344113171111793E-3</v>
      </c>
      <c r="AL415" s="329">
        <v>1.7344113171111793E-3</v>
      </c>
      <c r="AM415" s="329">
        <v>1.7344113171111793E-3</v>
      </c>
      <c r="AN415" s="329">
        <v>1.7344113171111793E-3</v>
      </c>
      <c r="AO415" s="329">
        <v>1.7344113171111793E-3</v>
      </c>
      <c r="AP415" s="329">
        <v>1.7344113171111793E-3</v>
      </c>
      <c r="AQ415" s="329">
        <v>1.7344113171111793E-3</v>
      </c>
    </row>
    <row r="416" spans="4:43" s="157" customFormat="1" ht="12.75">
      <c r="E416" s="93" t="str">
        <f>Input!E416</f>
        <v>Non-load related capex - asset replacement</v>
      </c>
      <c r="G416" s="157" t="s">
        <v>49</v>
      </c>
      <c r="AJ416" s="329">
        <v>4.0083211840174788E-3</v>
      </c>
      <c r="AK416" s="329">
        <v>4.0083211840174788E-3</v>
      </c>
      <c r="AL416" s="329">
        <v>4.0083211840174788E-3</v>
      </c>
      <c r="AM416" s="329">
        <v>4.0083211840174788E-3</v>
      </c>
      <c r="AN416" s="329">
        <v>4.0083211840174788E-3</v>
      </c>
      <c r="AO416" s="329">
        <v>4.0083211840174788E-3</v>
      </c>
      <c r="AP416" s="329">
        <v>4.0083211840174788E-3</v>
      </c>
      <c r="AQ416" s="329">
        <v>4.0083211840174788E-3</v>
      </c>
    </row>
    <row r="417" spans="4:43" s="157" customFormat="1" ht="12.75">
      <c r="E417" s="157" t="str">
        <f>Input!E417</f>
        <v>Non-Load Related - other</v>
      </c>
      <c r="G417" s="157" t="s">
        <v>49</v>
      </c>
      <c r="AG417" s="24"/>
      <c r="AJ417" s="329">
        <v>0.16710726557004552</v>
      </c>
      <c r="AK417" s="329">
        <v>0.16710726557004552</v>
      </c>
      <c r="AL417" s="329">
        <v>0.16710726557004552</v>
      </c>
      <c r="AM417" s="329">
        <v>0.16710726557004552</v>
      </c>
      <c r="AN417" s="329">
        <v>0.16710726557004552</v>
      </c>
      <c r="AO417" s="329">
        <v>0.16710726557004552</v>
      </c>
      <c r="AP417" s="329">
        <v>0.16710726557004552</v>
      </c>
      <c r="AQ417" s="329">
        <v>0.16710726557004552</v>
      </c>
    </row>
    <row r="418" spans="4:43" s="157" customFormat="1" ht="12.75">
      <c r="E418" s="157" t="str">
        <f>Input!E418</f>
        <v>Faults</v>
      </c>
      <c r="G418" s="157" t="s">
        <v>49</v>
      </c>
      <c r="AG418" s="24"/>
      <c r="AJ418" s="329">
        <v>0</v>
      </c>
      <c r="AK418" s="329">
        <v>0</v>
      </c>
      <c r="AL418" s="329">
        <v>0</v>
      </c>
      <c r="AM418" s="329">
        <v>0</v>
      </c>
      <c r="AN418" s="329">
        <v>0</v>
      </c>
      <c r="AO418" s="329">
        <v>0</v>
      </c>
      <c r="AP418" s="329">
        <v>0</v>
      </c>
      <c r="AQ418" s="329">
        <v>0</v>
      </c>
    </row>
    <row r="419" spans="4:43" s="157" customFormat="1" ht="12.75">
      <c r="E419" s="221" t="s">
        <v>992</v>
      </c>
      <c r="G419" s="157" t="s">
        <v>49</v>
      </c>
      <c r="AG419" s="24"/>
      <c r="AJ419" s="329">
        <v>0</v>
      </c>
      <c r="AK419" s="329">
        <v>0</v>
      </c>
      <c r="AL419" s="329">
        <v>0</v>
      </c>
      <c r="AM419" s="329">
        <v>0</v>
      </c>
      <c r="AN419" s="329">
        <v>0</v>
      </c>
      <c r="AO419" s="329">
        <v>0</v>
      </c>
      <c r="AP419" s="329">
        <v>0</v>
      </c>
      <c r="AQ419" s="329">
        <v>0</v>
      </c>
    </row>
    <row r="420" spans="4:43" s="157" customFormat="1" ht="12.75">
      <c r="E420" s="157" t="str">
        <f>Input!E420</f>
        <v>100% ‘revenue pool’ expenditure</v>
      </c>
      <c r="G420" s="157" t="s">
        <v>49</v>
      </c>
      <c r="AG420" s="24"/>
      <c r="AJ420" s="329">
        <v>0</v>
      </c>
      <c r="AK420" s="329">
        <v>0</v>
      </c>
      <c r="AL420" s="329">
        <v>0</v>
      </c>
      <c r="AM420" s="329">
        <v>0</v>
      </c>
      <c r="AN420" s="329">
        <v>0</v>
      </c>
      <c r="AO420" s="329">
        <v>0</v>
      </c>
      <c r="AP420" s="329">
        <v>0</v>
      </c>
      <c r="AQ420" s="329">
        <v>0</v>
      </c>
    </row>
    <row r="421" spans="4:43" s="157" customFormat="1" ht="12.75">
      <c r="E421" s="157" t="str">
        <f>Input!E421</f>
        <v>Controllable Opex</v>
      </c>
      <c r="G421" s="157" t="s">
        <v>49</v>
      </c>
      <c r="AG421" s="24"/>
      <c r="AJ421" s="329">
        <v>0</v>
      </c>
      <c r="AK421" s="329">
        <v>0</v>
      </c>
      <c r="AL421" s="329">
        <v>0</v>
      </c>
      <c r="AM421" s="329">
        <v>0</v>
      </c>
      <c r="AN421" s="329">
        <v>0</v>
      </c>
      <c r="AO421" s="329">
        <v>0</v>
      </c>
      <c r="AP421" s="329">
        <v>0</v>
      </c>
      <c r="AQ421" s="329">
        <v>0</v>
      </c>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f t="shared" ref="AJ426:AQ432" si="73">AJ375+AJ385+AJ395+AJ405+AJ415</f>
        <v>1</v>
      </c>
      <c r="AK426" s="217">
        <f t="shared" si="73"/>
        <v>1</v>
      </c>
      <c r="AL426" s="217">
        <f t="shared" si="73"/>
        <v>1</v>
      </c>
      <c r="AM426" s="217">
        <f t="shared" si="73"/>
        <v>1</v>
      </c>
      <c r="AN426" s="217">
        <f t="shared" si="73"/>
        <v>1</v>
      </c>
      <c r="AO426" s="217">
        <f t="shared" si="73"/>
        <v>1</v>
      </c>
      <c r="AP426" s="217">
        <f t="shared" si="73"/>
        <v>1</v>
      </c>
      <c r="AQ426" s="217">
        <f t="shared" si="73"/>
        <v>1</v>
      </c>
    </row>
    <row r="427" spans="4:43" s="157" customFormat="1" ht="12.75">
      <c r="E427" s="93" t="str">
        <f>Input!E427</f>
        <v>Non-load related capex - asset replacement</v>
      </c>
      <c r="G427" s="157" t="s">
        <v>49</v>
      </c>
      <c r="AJ427" s="217">
        <f t="shared" si="73"/>
        <v>1</v>
      </c>
      <c r="AK427" s="217">
        <f t="shared" si="73"/>
        <v>1</v>
      </c>
      <c r="AL427" s="217">
        <f t="shared" si="73"/>
        <v>1</v>
      </c>
      <c r="AM427" s="217">
        <f t="shared" si="73"/>
        <v>1</v>
      </c>
      <c r="AN427" s="217">
        <f t="shared" si="73"/>
        <v>1</v>
      </c>
      <c r="AO427" s="217">
        <f t="shared" si="73"/>
        <v>1</v>
      </c>
      <c r="AP427" s="217">
        <f t="shared" si="73"/>
        <v>1</v>
      </c>
      <c r="AQ427" s="217">
        <f t="shared" si="73"/>
        <v>1</v>
      </c>
    </row>
    <row r="428" spans="4:43" s="157" customFormat="1" ht="12.75">
      <c r="E428" s="157" t="str">
        <f>Input!E428</f>
        <v>Non-Load Related - other</v>
      </c>
      <c r="G428" s="157" t="s">
        <v>49</v>
      </c>
      <c r="AJ428" s="217">
        <f t="shared" si="73"/>
        <v>1</v>
      </c>
      <c r="AK428" s="217">
        <f t="shared" si="73"/>
        <v>1</v>
      </c>
      <c r="AL428" s="217">
        <f t="shared" si="73"/>
        <v>1</v>
      </c>
      <c r="AM428" s="217">
        <f t="shared" si="73"/>
        <v>1</v>
      </c>
      <c r="AN428" s="217">
        <f t="shared" si="73"/>
        <v>1</v>
      </c>
      <c r="AO428" s="217">
        <f t="shared" si="73"/>
        <v>1</v>
      </c>
      <c r="AP428" s="217">
        <f t="shared" si="73"/>
        <v>1</v>
      </c>
      <c r="AQ428" s="217">
        <f t="shared" si="73"/>
        <v>1</v>
      </c>
    </row>
    <row r="429" spans="4:43" s="157" customFormat="1" ht="12.75">
      <c r="E429" s="157" t="str">
        <f>Input!E429</f>
        <v>Faults</v>
      </c>
      <c r="G429" s="157" t="s">
        <v>49</v>
      </c>
      <c r="AJ429" s="217">
        <f t="shared" si="73"/>
        <v>1</v>
      </c>
      <c r="AK429" s="217">
        <f t="shared" si="73"/>
        <v>1</v>
      </c>
      <c r="AL429" s="217">
        <f t="shared" si="73"/>
        <v>1</v>
      </c>
      <c r="AM429" s="217">
        <f t="shared" si="73"/>
        <v>1</v>
      </c>
      <c r="AN429" s="217">
        <f t="shared" si="73"/>
        <v>1</v>
      </c>
      <c r="AO429" s="217">
        <f t="shared" si="73"/>
        <v>1</v>
      </c>
      <c r="AP429" s="217">
        <f t="shared" si="73"/>
        <v>1</v>
      </c>
      <c r="AQ429" s="217">
        <f t="shared" si="73"/>
        <v>1</v>
      </c>
    </row>
    <row r="430" spans="4:43" s="157" customFormat="1" ht="12.75">
      <c r="E430" s="221" t="s">
        <v>992</v>
      </c>
      <c r="G430" s="157" t="s">
        <v>49</v>
      </c>
      <c r="AJ430" s="217">
        <f t="shared" si="73"/>
        <v>1</v>
      </c>
      <c r="AK430" s="217">
        <f t="shared" si="73"/>
        <v>1</v>
      </c>
      <c r="AL430" s="217">
        <f t="shared" si="73"/>
        <v>1</v>
      </c>
      <c r="AM430" s="217">
        <f t="shared" si="73"/>
        <v>1</v>
      </c>
      <c r="AN430" s="217">
        <f t="shared" si="73"/>
        <v>1</v>
      </c>
      <c r="AO430" s="217">
        <f t="shared" si="73"/>
        <v>1</v>
      </c>
      <c r="AP430" s="217">
        <f t="shared" si="73"/>
        <v>1</v>
      </c>
      <c r="AQ430" s="217">
        <f t="shared" si="73"/>
        <v>1</v>
      </c>
    </row>
    <row r="431" spans="4:43" s="157" customFormat="1" ht="12.75">
      <c r="E431" s="157" t="str">
        <f>Input!E431</f>
        <v>100% ‘revenue pool’ expenditure</v>
      </c>
      <c r="G431" s="157" t="s">
        <v>49</v>
      </c>
      <c r="AJ431" s="217">
        <f t="shared" si="73"/>
        <v>1</v>
      </c>
      <c r="AK431" s="217">
        <f t="shared" si="73"/>
        <v>1</v>
      </c>
      <c r="AL431" s="217">
        <f t="shared" si="73"/>
        <v>1</v>
      </c>
      <c r="AM431" s="217">
        <f t="shared" si="73"/>
        <v>1</v>
      </c>
      <c r="AN431" s="217">
        <f t="shared" si="73"/>
        <v>1</v>
      </c>
      <c r="AO431" s="217">
        <f t="shared" si="73"/>
        <v>1</v>
      </c>
      <c r="AP431" s="217">
        <f t="shared" si="73"/>
        <v>1</v>
      </c>
      <c r="AQ431" s="217">
        <f t="shared" si="73"/>
        <v>1</v>
      </c>
    </row>
    <row r="432" spans="4:43" s="157" customFormat="1" ht="12.75">
      <c r="E432" s="157" t="str">
        <f>Input!E432</f>
        <v>Controllable Opex</v>
      </c>
      <c r="G432" s="157" t="s">
        <v>49</v>
      </c>
      <c r="AJ432" s="217">
        <f t="shared" si="73"/>
        <v>0.99999999999999978</v>
      </c>
      <c r="AK432" s="217">
        <f t="shared" si="73"/>
        <v>0.99999999999999978</v>
      </c>
      <c r="AL432" s="217">
        <f t="shared" si="73"/>
        <v>0.99999999999999978</v>
      </c>
      <c r="AM432" s="217">
        <f t="shared" si="73"/>
        <v>0.99999999999999978</v>
      </c>
      <c r="AN432" s="217">
        <f t="shared" si="73"/>
        <v>0.99999999999999978</v>
      </c>
      <c r="AO432" s="217">
        <f t="shared" si="73"/>
        <v>0.99999999999999978</v>
      </c>
      <c r="AP432" s="217">
        <f t="shared" si="73"/>
        <v>0.99999999999999978</v>
      </c>
      <c r="AQ432" s="217">
        <f t="shared" si="73"/>
        <v>0.99999999999999978</v>
      </c>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v>57.207766252224722</v>
      </c>
      <c r="AK436" s="227">
        <v>60.118651310382127</v>
      </c>
      <c r="AL436" s="227">
        <v>60.890850452790353</v>
      </c>
      <c r="AM436" s="227">
        <v>62.787561725079328</v>
      </c>
      <c r="AN436" s="227">
        <v>64.015897192524974</v>
      </c>
      <c r="AO436" s="227">
        <v>63.646666848990769</v>
      </c>
      <c r="AP436" s="227">
        <v>65.700536421626254</v>
      </c>
      <c r="AQ436" s="227">
        <v>66.734405539445774</v>
      </c>
    </row>
    <row r="437" spans="1:43" ht="15" customHeight="1">
      <c r="A437" s="400"/>
      <c r="E437" s="149" t="s">
        <v>579</v>
      </c>
      <c r="G437" s="149" t="s">
        <v>844</v>
      </c>
      <c r="H437" s="362"/>
      <c r="AJ437" s="227">
        <v>213.36711742970985</v>
      </c>
      <c r="AK437" s="227">
        <v>210.23929236607324</v>
      </c>
      <c r="AL437" s="227">
        <v>204.17470259032294</v>
      </c>
      <c r="AM437" s="227">
        <v>194.3092197104244</v>
      </c>
      <c r="AN437" s="227">
        <v>202.90851310548973</v>
      </c>
      <c r="AO437" s="227">
        <v>192.26844668539991</v>
      </c>
      <c r="AP437" s="227">
        <v>177.34928543757931</v>
      </c>
      <c r="AQ437" s="227">
        <v>164.76171243930776</v>
      </c>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f>'Revenue Profiling'!AJ247*'Revenue Profiling'!$G$247</f>
        <v>-16.276896689207302</v>
      </c>
      <c r="AK446" s="236">
        <f>'Revenue Profiling'!AK247*'Revenue Profiling'!$G$247</f>
        <v>-15.488956503415558</v>
      </c>
      <c r="AL446" s="236">
        <f>'Revenue Profiling'!AL247*'Revenue Profiling'!$G$247</f>
        <v>-11.4050851677215</v>
      </c>
      <c r="AM446" s="236">
        <f>'Revenue Profiling'!AM247*'Revenue Profiling'!$G$247</f>
        <v>-7.7865255149949899</v>
      </c>
      <c r="AN446" s="236">
        <f>'Revenue Profiling'!AN247*'Revenue Profiling'!$G$247</f>
        <v>-8.5231278257933489</v>
      </c>
      <c r="AO446" s="236">
        <f>'Revenue Profiling'!AO247*'Revenue Profiling'!$G$247</f>
        <v>3.1530610988990029E-2</v>
      </c>
      <c r="AP446" s="236">
        <f>'Revenue Profiling'!AP247*'Revenue Profiling'!$G$247</f>
        <v>25.542900351749001</v>
      </c>
      <c r="AQ446" s="236">
        <f>'Revenue Profiling'!AQ247*'Revenue Profiling'!$G$247</f>
        <v>34.146650812211398</v>
      </c>
    </row>
    <row r="447" spans="1:43" ht="15" customHeight="1">
      <c r="E447" s="149" t="s">
        <v>816</v>
      </c>
      <c r="G447" s="149" t="s">
        <v>844</v>
      </c>
      <c r="AJ447" s="236">
        <f>'Revenue Profiling'!AJ264*'Revenue Profiling'!$G$247</f>
        <v>0.39385670396680217</v>
      </c>
      <c r="AK447" s="236">
        <f>'Revenue Profiling'!AK264*'Revenue Profiling'!$G$247</f>
        <v>1.1631076535740992</v>
      </c>
      <c r="AL447" s="236">
        <f>'Revenue Profiling'!AL264*'Revenue Profiling'!$G$247</f>
        <v>1.8155450287771864</v>
      </c>
      <c r="AM447" s="236">
        <f>'Revenue Profiling'!AM264*'Revenue Profiling'!$G$247</f>
        <v>2.2822842401138517</v>
      </c>
      <c r="AN447" s="236">
        <f>'Revenue Profiling'!AN264*'Revenue Profiling'!$G$247</f>
        <v>2.6794992158499915</v>
      </c>
      <c r="AO447" s="236">
        <f>'Revenue Profiling'!AO264*'Revenue Profiling'!$G$247</f>
        <v>2.8875068679121889</v>
      </c>
      <c r="AP447" s="236">
        <f>'Revenue Profiling'!AP264*'Revenue Profiling'!$G$247</f>
        <v>2.2707684737095506</v>
      </c>
      <c r="AQ447" s="236">
        <f>'Revenue Profiling'!AQ264*'Revenue Profiling'!$G$247</f>
        <v>0.82676371633258228</v>
      </c>
    </row>
    <row r="448" spans="1:43" ht="15" customHeight="1">
      <c r="E448" s="149" t="s">
        <v>817</v>
      </c>
      <c r="G448" s="149" t="s">
        <v>844</v>
      </c>
      <c r="AJ448" s="149">
        <f>AJ460</f>
        <v>0</v>
      </c>
      <c r="AK448" s="149">
        <f t="shared" ref="AK448:AQ448" si="74">AK460</f>
        <v>0</v>
      </c>
      <c r="AL448" s="149">
        <f t="shared" si="74"/>
        <v>0</v>
      </c>
      <c r="AM448" s="149">
        <f t="shared" si="74"/>
        <v>0</v>
      </c>
      <c r="AN448" s="149">
        <f t="shared" si="74"/>
        <v>0</v>
      </c>
      <c r="AO448" s="149">
        <f t="shared" si="74"/>
        <v>0</v>
      </c>
      <c r="AP448" s="149">
        <f t="shared" si="74"/>
        <v>0</v>
      </c>
      <c r="AQ448" s="149">
        <f t="shared" si="74"/>
        <v>0</v>
      </c>
    </row>
    <row r="450" spans="2:43" ht="15" customHeight="1">
      <c r="E450" s="149" t="s">
        <v>812</v>
      </c>
    </row>
    <row r="452" spans="2:43" ht="15" customHeight="1">
      <c r="E452" s="149" t="s">
        <v>815</v>
      </c>
      <c r="AJ452" s="406">
        <f>AJ453</f>
        <v>3.8679999999999999E-2</v>
      </c>
      <c r="AK452" s="406">
        <f t="shared" ref="AK452:AQ452" si="75">AK453</f>
        <v>3.8679999999999999E-2</v>
      </c>
      <c r="AL452" s="406">
        <f t="shared" si="75"/>
        <v>3.8679999999999999E-2</v>
      </c>
      <c r="AM452" s="406">
        <f t="shared" si="75"/>
        <v>3.8679999999999999E-2</v>
      </c>
      <c r="AN452" s="406">
        <f t="shared" si="75"/>
        <v>3.8679999999999999E-2</v>
      </c>
      <c r="AO452" s="406">
        <f t="shared" si="75"/>
        <v>3.8679999999999999E-2</v>
      </c>
      <c r="AP452" s="406">
        <f t="shared" si="75"/>
        <v>3.8679999999999999E-2</v>
      </c>
      <c r="AQ452" s="406">
        <f t="shared" si="75"/>
        <v>3.8679999999999999E-2</v>
      </c>
    </row>
    <row r="453" spans="2:43" ht="15" customHeight="1">
      <c r="E453" s="149" t="s">
        <v>813</v>
      </c>
      <c r="AJ453" s="165">
        <f>AJ51</f>
        <v>3.8679999999999999E-2</v>
      </c>
      <c r="AK453" s="165">
        <f t="shared" ref="AK453:AQ453" si="76">AK51</f>
        <v>3.8679999999999999E-2</v>
      </c>
      <c r="AL453" s="165">
        <f t="shared" si="76"/>
        <v>3.8679999999999999E-2</v>
      </c>
      <c r="AM453" s="165">
        <f t="shared" si="76"/>
        <v>3.8679999999999999E-2</v>
      </c>
      <c r="AN453" s="165">
        <f t="shared" si="76"/>
        <v>3.8679999999999999E-2</v>
      </c>
      <c r="AO453" s="165">
        <f t="shared" si="76"/>
        <v>3.8679999999999999E-2</v>
      </c>
      <c r="AP453" s="165">
        <f t="shared" si="76"/>
        <v>3.8679999999999999E-2</v>
      </c>
      <c r="AQ453" s="165">
        <f t="shared" si="76"/>
        <v>3.8679999999999999E-2</v>
      </c>
    </row>
    <row r="455" spans="2:43" ht="15" customHeight="1">
      <c r="E455" s="149" t="s">
        <v>814</v>
      </c>
    </row>
    <row r="456" spans="2:43" ht="15" customHeight="1">
      <c r="E456" s="157" t="s">
        <v>803</v>
      </c>
      <c r="AJ456" s="236">
        <v>0</v>
      </c>
      <c r="AK456" s="236">
        <v>-20.364876109969089</v>
      </c>
      <c r="AL456" s="236">
        <v>-39.775126774525006</v>
      </c>
      <c r="AM456" s="236">
        <v>-54.100004679899598</v>
      </c>
      <c r="AN456" s="236">
        <v>-63.90848973080216</v>
      </c>
      <c r="AO456" s="236">
        <v>-74.638527178820539</v>
      </c>
      <c r="AP456" s="236">
        <v>-74.663801264578183</v>
      </c>
      <c r="AQ456" s="236">
        <v>-42.749266838157553</v>
      </c>
    </row>
    <row r="457" spans="2:43" ht="15" customHeight="1">
      <c r="E457" s="157" t="s">
        <v>805</v>
      </c>
      <c r="AJ457" s="236">
        <v>-20.364876109969089</v>
      </c>
      <c r="AK457" s="236">
        <v>-19.410250664555917</v>
      </c>
      <c r="AL457" s="236">
        <v>-14.324877905374592</v>
      </c>
      <c r="AM457" s="236">
        <v>-9.8084850509025614</v>
      </c>
      <c r="AN457" s="236">
        <v>-10.730037448018379</v>
      </c>
      <c r="AO457" s="236">
        <v>-2.5274085757644116E-2</v>
      </c>
      <c r="AP457" s="236">
        <v>31.91453442642063</v>
      </c>
      <c r="AQ457" s="236">
        <v>42.749613928553288</v>
      </c>
    </row>
    <row r="458" spans="2:43" ht="15" customHeight="1">
      <c r="E458" s="195" t="s">
        <v>806</v>
      </c>
      <c r="AJ458" s="236">
        <v>-20.364876109969089</v>
      </c>
      <c r="AK458" s="236">
        <v>-39.775126774525006</v>
      </c>
      <c r="AL458" s="236">
        <v>-54.100004679899598</v>
      </c>
      <c r="AM458" s="236">
        <v>-63.90848973080216</v>
      </c>
      <c r="AN458" s="236">
        <v>-74.638527178820539</v>
      </c>
      <c r="AO458" s="236">
        <v>-74.663801264578183</v>
      </c>
      <c r="AP458" s="236">
        <v>-42.749266838157553</v>
      </c>
      <c r="AQ458" s="236">
        <v>3.4709039573499467E-4</v>
      </c>
    </row>
    <row r="460" spans="2:43" ht="15" customHeight="1">
      <c r="E460" s="149" t="s">
        <v>811</v>
      </c>
      <c r="AJ460" s="149">
        <f>AVERAGE(AJ456,AJ458)*(AJ453-AJ452)</f>
        <v>0</v>
      </c>
      <c r="AK460" s="149">
        <f t="shared" ref="AK460:AQ460" si="77">AVERAGE(AK456,AK458)*(AK453-AK452)</f>
        <v>0</v>
      </c>
      <c r="AL460" s="149">
        <f t="shared" si="77"/>
        <v>0</v>
      </c>
      <c r="AM460" s="149">
        <f t="shared" si="77"/>
        <v>0</v>
      </c>
      <c r="AN460" s="149">
        <f t="shared" si="77"/>
        <v>0</v>
      </c>
      <c r="AO460" s="149">
        <f t="shared" si="77"/>
        <v>0</v>
      </c>
      <c r="AP460" s="149">
        <f t="shared" si="77"/>
        <v>0</v>
      </c>
      <c r="AQ460" s="149">
        <f t="shared" si="77"/>
        <v>0</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v>261.69168966719627</v>
      </c>
      <c r="AK464" s="236">
        <v>259.04387247384165</v>
      </c>
      <c r="AL464" s="236">
        <v>253.16789522085273</v>
      </c>
      <c r="AM464" s="236">
        <v>245.41248694986777</v>
      </c>
      <c r="AN464" s="236">
        <v>252.66208200281227</v>
      </c>
      <c r="AO464" s="236">
        <v>242.64445708420507</v>
      </c>
      <c r="AP464" s="236">
        <v>227.44213903573842</v>
      </c>
      <c r="AQ464" s="236">
        <v>218.77428504843542</v>
      </c>
    </row>
  </sheetData>
  <conditionalFormatting sqref="AJ426:AQ432">
    <cfRule type="cellIs" dxfId="13" priority="1" operator="lessThan">
      <formula>1</formula>
    </cfRule>
    <cfRule type="cellIs" dxfId="12"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1">
    <tabColor rgb="FF7030A0"/>
    <pageSetUpPr fitToPage="1"/>
  </sheetPr>
  <dimension ref="A1:AR464"/>
  <sheetViews>
    <sheetView zoomScale="70" zoomScaleNormal="70" workbookViewId="0">
      <pane xSplit="10" ySplit="7" topLeftCell="AF8" activePane="bottomRight" state="frozen"/>
      <selection activeCell="AI456" sqref="AI456"/>
      <selection pane="topRight" activeCell="AI456" sqref="AI456"/>
      <selection pane="bottomLeft" activeCell="AI456" sqref="AI456"/>
      <selection pane="bottomRight" activeCell="AJ456" sqref="AJ456:AQ458"/>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633</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683</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693</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693</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v>2.7199999999999998E-2</v>
      </c>
      <c r="AK11" s="230">
        <v>2.7199999999999998E-2</v>
      </c>
      <c r="AL11" s="230">
        <v>2.7199999999999998E-2</v>
      </c>
      <c r="AM11" s="230">
        <v>2.7199999999999998E-2</v>
      </c>
      <c r="AN11" s="230">
        <v>2.7199999999999998E-2</v>
      </c>
      <c r="AO11" s="230">
        <v>2.7199999999999998E-2</v>
      </c>
      <c r="AP11" s="230">
        <v>2.7199999999999998E-2</v>
      </c>
      <c r="AQ11" s="230">
        <v>2.7199999999999998E-2</v>
      </c>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v>2.5152614695250004</v>
      </c>
      <c r="AK19" s="421">
        <v>0</v>
      </c>
      <c r="AL19" s="421">
        <v>0</v>
      </c>
      <c r="AM19" s="421">
        <v>2.5860496786900762</v>
      </c>
      <c r="AN19" s="421">
        <v>3.1323096701978663</v>
      </c>
      <c r="AO19" s="421">
        <v>1.0539113881358191</v>
      </c>
      <c r="AP19" s="421">
        <v>0</v>
      </c>
      <c r="AQ19" s="421">
        <v>0</v>
      </c>
    </row>
    <row r="20" spans="5:43" ht="15" customHeight="1">
      <c r="E20" s="157" t="str">
        <f>Input!E20</f>
        <v>Allowed Expenditure - High Value Projects</v>
      </c>
      <c r="F20" s="157" t="str">
        <f>Input!F20</f>
        <v>CRC3F</v>
      </c>
      <c r="G20" s="157" t="str">
        <f>Input!G20</f>
        <v>£m 12/13 prices</v>
      </c>
      <c r="H20" s="157" t="str">
        <f>Input!H20</f>
        <v>UCHVP</v>
      </c>
      <c r="AJ20" s="421">
        <v>5.2012850463206401</v>
      </c>
      <c r="AK20" s="421">
        <v>6.37155744513095</v>
      </c>
      <c r="AL20" s="421">
        <v>6.3547719984256448</v>
      </c>
      <c r="AM20" s="421">
        <v>5.9505840986754546</v>
      </c>
      <c r="AN20" s="421">
        <v>4.9613310651294755</v>
      </c>
      <c r="AO20" s="421">
        <v>2.9872918053546043</v>
      </c>
      <c r="AP20" s="421">
        <v>0</v>
      </c>
      <c r="AQ20" s="421">
        <v>0</v>
      </c>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v>0</v>
      </c>
      <c r="AK21" s="421">
        <v>0</v>
      </c>
      <c r="AL21" s="421">
        <v>0</v>
      </c>
      <c r="AM21" s="421">
        <v>0</v>
      </c>
      <c r="AN21" s="421">
        <v>0</v>
      </c>
      <c r="AO21" s="421">
        <v>0</v>
      </c>
      <c r="AP21" s="421">
        <v>0</v>
      </c>
      <c r="AQ21" s="421">
        <v>0</v>
      </c>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v>0</v>
      </c>
      <c r="AK22" s="421">
        <v>0</v>
      </c>
      <c r="AL22" s="421">
        <v>0</v>
      </c>
      <c r="AM22" s="421">
        <v>0</v>
      </c>
      <c r="AN22" s="421">
        <v>0</v>
      </c>
      <c r="AO22" s="421">
        <v>0</v>
      </c>
      <c r="AP22" s="421">
        <v>0</v>
      </c>
      <c r="AQ22" s="421">
        <v>0</v>
      </c>
    </row>
    <row r="23" spans="5:43" ht="15" customHeight="1">
      <c r="E23" s="157" t="str">
        <f>Input!E23</f>
        <v xml:space="preserve">Allowed Expenditure - Smart Meter Allowed Expenditure                                                                                                                                          </v>
      </c>
      <c r="F23" s="157" t="str">
        <f>Input!F23</f>
        <v>CRC3E</v>
      </c>
      <c r="G23" s="157" t="str">
        <f>Input!G23</f>
        <v>£m 12/13 prices</v>
      </c>
      <c r="H23" s="157" t="str">
        <f>Input!H23</f>
        <v>SAME</v>
      </c>
      <c r="AJ23" s="421">
        <v>1.2141391264816848</v>
      </c>
      <c r="AK23" s="421">
        <v>2.0573283969813678</v>
      </c>
      <c r="AL23" s="421">
        <v>2.6669305420740144</v>
      </c>
      <c r="AM23" s="421">
        <v>2.9505720007760901</v>
      </c>
      <c r="AN23" s="421">
        <v>2.9554379088445755</v>
      </c>
      <c r="AO23" s="421">
        <v>2.1746193333421426</v>
      </c>
      <c r="AP23" s="421">
        <v>0</v>
      </c>
      <c r="AQ23" s="421">
        <v>0</v>
      </c>
    </row>
    <row r="24" spans="5:43" ht="15" customHeight="1">
      <c r="E24" s="157" t="str">
        <f>Input!E24</f>
        <v>Allowed Expenditure - Specified Street Works</v>
      </c>
      <c r="F24" s="157" t="str">
        <f>Input!F24</f>
        <v>CRC3F</v>
      </c>
      <c r="G24" s="157" t="str">
        <f>Input!G24</f>
        <v>£m 12/13 prices</v>
      </c>
      <c r="H24" s="157" t="str">
        <f>Input!H24</f>
        <v>UCSSW</v>
      </c>
      <c r="AJ24" s="421">
        <v>0</v>
      </c>
      <c r="AK24" s="421">
        <v>0</v>
      </c>
      <c r="AL24" s="421">
        <v>0</v>
      </c>
      <c r="AM24" s="421">
        <v>0</v>
      </c>
      <c r="AN24" s="421">
        <v>0</v>
      </c>
      <c r="AO24" s="421">
        <v>0</v>
      </c>
      <c r="AP24" s="421">
        <v>0</v>
      </c>
      <c r="AQ24" s="421">
        <v>0</v>
      </c>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v>27.004944225494526</v>
      </c>
      <c r="AK25" s="421">
        <v>35.56153439346658</v>
      </c>
      <c r="AL25" s="421">
        <v>36.979247311328116</v>
      </c>
      <c r="AM25" s="421">
        <v>27.410152531856969</v>
      </c>
      <c r="AN25" s="421">
        <v>22.557307318170174</v>
      </c>
      <c r="AO25" s="421">
        <v>22.496902555508203</v>
      </c>
      <c r="AP25" s="421">
        <v>29.880221071090336</v>
      </c>
      <c r="AQ25" s="421">
        <v>28.042831769747085</v>
      </c>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v>0</v>
      </c>
      <c r="AK26" s="421">
        <v>0</v>
      </c>
      <c r="AL26" s="421">
        <v>0</v>
      </c>
      <c r="AM26" s="421">
        <v>0</v>
      </c>
      <c r="AN26" s="421">
        <v>0</v>
      </c>
      <c r="AO26" s="421">
        <v>0</v>
      </c>
      <c r="AP26" s="421">
        <v>0</v>
      </c>
      <c r="AQ26" s="421">
        <v>0</v>
      </c>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v>31.195491306318768</v>
      </c>
      <c r="AK31" s="224">
        <v>31.195491306318768</v>
      </c>
      <c r="AL31" s="224">
        <v>31.195491306318768</v>
      </c>
      <c r="AM31" s="224">
        <v>31.195491306318768</v>
      </c>
      <c r="AN31" s="224">
        <v>31.195491306318768</v>
      </c>
      <c r="AO31" s="224">
        <v>31.195491306318768</v>
      </c>
      <c r="AP31" s="224">
        <v>31.195491306318768</v>
      </c>
      <c r="AQ31" s="224">
        <v>31.195491306318768</v>
      </c>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f>AJ11</f>
        <v>2.7199999999999998E-2</v>
      </c>
      <c r="AK47" s="405">
        <f t="shared" ref="AK47:AQ47" si="0">AK11</f>
        <v>2.7199999999999998E-2</v>
      </c>
      <c r="AL47" s="405">
        <f t="shared" si="0"/>
        <v>2.7199999999999998E-2</v>
      </c>
      <c r="AM47" s="405">
        <f t="shared" si="0"/>
        <v>2.7199999999999998E-2</v>
      </c>
      <c r="AN47" s="405">
        <f t="shared" si="0"/>
        <v>2.7199999999999998E-2</v>
      </c>
      <c r="AO47" s="405">
        <f t="shared" si="0"/>
        <v>2.7199999999999998E-2</v>
      </c>
      <c r="AP47" s="405">
        <f t="shared" si="0"/>
        <v>2.7199999999999998E-2</v>
      </c>
      <c r="AQ47" s="405">
        <f t="shared" si="0"/>
        <v>2.7199999999999998E-2</v>
      </c>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v>0.06</v>
      </c>
      <c r="AK48" s="238">
        <v>0.06</v>
      </c>
      <c r="AL48" s="238">
        <v>0.06</v>
      </c>
      <c r="AM48" s="238">
        <v>0.06</v>
      </c>
      <c r="AN48" s="238">
        <v>0.06</v>
      </c>
      <c r="AO48" s="238">
        <v>0.06</v>
      </c>
      <c r="AP48" s="238">
        <v>0.06</v>
      </c>
      <c r="AQ48" s="238">
        <v>0.06</v>
      </c>
    </row>
    <row r="49" spans="3:44"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v>0.65</v>
      </c>
      <c r="AJ49" s="238">
        <v>0.65</v>
      </c>
      <c r="AK49" s="238">
        <v>0.65</v>
      </c>
      <c r="AL49" s="238">
        <v>0.65</v>
      </c>
      <c r="AM49" s="238">
        <v>0.65</v>
      </c>
      <c r="AN49" s="238">
        <v>0.65</v>
      </c>
      <c r="AO49" s="238">
        <v>0.65</v>
      </c>
      <c r="AP49" s="238">
        <v>0.65</v>
      </c>
      <c r="AQ49" s="238">
        <v>0.65</v>
      </c>
    </row>
    <row r="50" spans="3:44"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4"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f t="shared" ref="AJ51:AQ51" si="1">(AJ47 * AJ49) + (AJ48 * (1 - AJ49))</f>
        <v>3.8679999999999999E-2</v>
      </c>
      <c r="AK51" s="407">
        <f t="shared" si="1"/>
        <v>3.8679999999999999E-2</v>
      </c>
      <c r="AL51" s="407">
        <f t="shared" si="1"/>
        <v>3.8679999999999999E-2</v>
      </c>
      <c r="AM51" s="407">
        <f t="shared" si="1"/>
        <v>3.8679999999999999E-2</v>
      </c>
      <c r="AN51" s="407">
        <f t="shared" si="1"/>
        <v>3.8679999999999999E-2</v>
      </c>
      <c r="AO51" s="407">
        <f t="shared" si="1"/>
        <v>3.8679999999999999E-2</v>
      </c>
      <c r="AP51" s="407">
        <f t="shared" si="1"/>
        <v>3.8679999999999999E-2</v>
      </c>
      <c r="AQ51" s="407">
        <f t="shared" si="1"/>
        <v>3.8679999999999999E-2</v>
      </c>
    </row>
    <row r="52" spans="3:44"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4"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4"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4"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4"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4"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f>ROUND(AVERAGE(242.5,242.4,241.8,242.1,243,244.2,245.6,245.6,246.8,245.8,247.6,248.7),3)</f>
        <v>244.67500000000001</v>
      </c>
      <c r="AH57" s="236">
        <f>ROUND(AG57*(1+3.1%),3)</f>
        <v>252.26</v>
      </c>
      <c r="AI57" s="236">
        <f t="shared" ref="AI57:AQ58" si="2">ROUND(AH57*(1+3.1%),3)</f>
        <v>260.08</v>
      </c>
      <c r="AJ57" s="236">
        <f t="shared" si="2"/>
        <v>268.142</v>
      </c>
      <c r="AK57" s="236">
        <f t="shared" si="2"/>
        <v>276.45400000000001</v>
      </c>
      <c r="AL57" s="236">
        <f t="shared" si="2"/>
        <v>285.024</v>
      </c>
      <c r="AM57" s="236">
        <f t="shared" si="2"/>
        <v>293.86</v>
      </c>
      <c r="AN57" s="236">
        <f t="shared" si="2"/>
        <v>302.97000000000003</v>
      </c>
      <c r="AO57" s="236">
        <f t="shared" si="2"/>
        <v>312.36200000000002</v>
      </c>
      <c r="AP57" s="236">
        <f t="shared" si="2"/>
        <v>322.04500000000002</v>
      </c>
      <c r="AQ57" s="236">
        <f t="shared" si="2"/>
        <v>332.02800000000002</v>
      </c>
    </row>
    <row r="58" spans="3:44"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f>ROUND(AVERAGE(242.5,242.4,241.8,242.1,243,244.2,245.6,245.6,246.8,245.8,247.6,248.7),3)</f>
        <v>244.67500000000001</v>
      </c>
      <c r="AH58" s="236">
        <f>ROUND(AG58*(1+3.1%),3)</f>
        <v>252.26</v>
      </c>
      <c r="AI58" s="236">
        <f t="shared" si="2"/>
        <v>260.08</v>
      </c>
      <c r="AJ58" s="236">
        <f t="shared" si="2"/>
        <v>268.142</v>
      </c>
      <c r="AK58" s="236">
        <f t="shared" si="2"/>
        <v>276.45400000000001</v>
      </c>
      <c r="AL58" s="236">
        <f t="shared" si="2"/>
        <v>285.024</v>
      </c>
      <c r="AM58" s="236">
        <f t="shared" si="2"/>
        <v>293.86</v>
      </c>
      <c r="AN58" s="236">
        <f t="shared" si="2"/>
        <v>302.97000000000003</v>
      </c>
      <c r="AO58" s="236">
        <f t="shared" si="2"/>
        <v>312.36200000000002</v>
      </c>
      <c r="AP58" s="236">
        <f t="shared" si="2"/>
        <v>322.04500000000002</v>
      </c>
      <c r="AQ58" s="236">
        <f t="shared" si="2"/>
        <v>332.02800000000002</v>
      </c>
    </row>
    <row r="59" spans="3:44"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4"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4" ht="15" customHeight="1">
      <c r="E62" s="149" t="s">
        <v>197</v>
      </c>
      <c r="G62" s="149" t="s">
        <v>51</v>
      </c>
      <c r="I62" s="326">
        <v>2</v>
      </c>
    </row>
    <row r="63" spans="3:44" ht="15" customHeight="1">
      <c r="AI63" s="147"/>
    </row>
    <row r="64" spans="3:44" ht="15" customHeight="1">
      <c r="E64" s="149" t="str">
        <f>Input!E64</f>
        <v>Capitalised share of totex</v>
      </c>
      <c r="G64" s="149" t="s">
        <v>49</v>
      </c>
      <c r="AI64" s="147"/>
      <c r="AJ64" s="406">
        <v>0.68</v>
      </c>
      <c r="AK64" s="406">
        <v>0.68</v>
      </c>
      <c r="AL64" s="406">
        <v>0.68</v>
      </c>
      <c r="AM64" s="406">
        <v>0.68</v>
      </c>
      <c r="AN64" s="406">
        <v>0.68</v>
      </c>
      <c r="AO64" s="406">
        <v>0.68</v>
      </c>
      <c r="AP64" s="406">
        <v>0.68</v>
      </c>
      <c r="AQ64" s="406">
        <v>0.68</v>
      </c>
      <c r="AR64" s="406">
        <v>0.7</v>
      </c>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f>I74</f>
        <v>1867.8524040706066</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v>1867.8524040706066</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f>I73 + LPN!I73+EPN!I73</f>
        <v>6608.1484301111032</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f>I74 + LPN!I74+EPN!I74</f>
        <v>6608.1484301111032</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v>0.05</v>
      </c>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v>0.05</v>
      </c>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v>0.05</v>
      </c>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f>AJ49</f>
        <v>0.65</v>
      </c>
      <c r="AK85" s="238">
        <f t="shared" ref="AK85:AQ85" si="3">AK49</f>
        <v>0.65</v>
      </c>
      <c r="AL85" s="238">
        <f t="shared" si="3"/>
        <v>0.65</v>
      </c>
      <c r="AM85" s="238">
        <f t="shared" si="3"/>
        <v>0.65</v>
      </c>
      <c r="AN85" s="238">
        <f t="shared" si="3"/>
        <v>0.65</v>
      </c>
      <c r="AO85" s="238">
        <f t="shared" si="3"/>
        <v>0.65</v>
      </c>
      <c r="AP85" s="238">
        <f t="shared" si="3"/>
        <v>0.65</v>
      </c>
      <c r="AQ85" s="238">
        <f t="shared" si="3"/>
        <v>0.65</v>
      </c>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v>0.25</v>
      </c>
      <c r="AK87" s="238">
        <v>0.25</v>
      </c>
      <c r="AL87" s="238">
        <v>0.25</v>
      </c>
      <c r="AM87" s="238">
        <v>0.25</v>
      </c>
      <c r="AN87" s="238">
        <v>0.25</v>
      </c>
      <c r="AO87" s="238">
        <v>0.25</v>
      </c>
      <c r="AP87" s="238">
        <v>0.25</v>
      </c>
      <c r="AQ87" s="238">
        <v>0.25</v>
      </c>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v>0</v>
      </c>
      <c r="AK95" s="236">
        <v>0</v>
      </c>
      <c r="AL95" s="236">
        <v>0</v>
      </c>
      <c r="AM95" s="236">
        <v>0</v>
      </c>
      <c r="AN95" s="236">
        <v>0</v>
      </c>
      <c r="AO95" s="236">
        <v>0</v>
      </c>
      <c r="AP95" s="236">
        <v>0</v>
      </c>
      <c r="AQ95" s="236">
        <v>0</v>
      </c>
    </row>
    <row r="96" spans="2:43" s="309" customFormat="1" ht="15" customHeight="1">
      <c r="E96" s="163" t="str">
        <f>Input!E96</f>
        <v>Non-variant allowed non-load related capex - asset replacement</v>
      </c>
      <c r="G96" s="309" t="s">
        <v>844</v>
      </c>
      <c r="I96" s="409"/>
      <c r="AE96" s="149"/>
      <c r="AJ96" s="236">
        <v>58.241762059550652</v>
      </c>
      <c r="AK96" s="236">
        <v>67.60151601242957</v>
      </c>
      <c r="AL96" s="236">
        <v>63.685786608426014</v>
      </c>
      <c r="AM96" s="236">
        <v>63.988969856161901</v>
      </c>
      <c r="AN96" s="236">
        <v>62.861331229506987</v>
      </c>
      <c r="AO96" s="236">
        <v>62.567136719531455</v>
      </c>
      <c r="AP96" s="236">
        <v>58.862741628195216</v>
      </c>
      <c r="AQ96" s="236">
        <v>57.066748754906456</v>
      </c>
    </row>
    <row r="97" spans="4:43" s="309" customFormat="1" ht="15" customHeight="1">
      <c r="E97" s="163" t="str">
        <f>Input!E97</f>
        <v>Non-variant allowed non-load related capex - other</v>
      </c>
      <c r="G97" s="309" t="s">
        <v>844</v>
      </c>
      <c r="I97" s="409"/>
      <c r="AJ97" s="236">
        <v>13.991215034853029</v>
      </c>
      <c r="AK97" s="236">
        <v>18.928463332794266</v>
      </c>
      <c r="AL97" s="236">
        <v>16.482738082368776</v>
      </c>
      <c r="AM97" s="236">
        <v>15.458043617419392</v>
      </c>
      <c r="AN97" s="236">
        <v>15.767547692558061</v>
      </c>
      <c r="AO97" s="236">
        <v>14.502008789609039</v>
      </c>
      <c r="AP97" s="236">
        <v>16.731030495438947</v>
      </c>
      <c r="AQ97" s="236">
        <v>15.271170582085546</v>
      </c>
    </row>
    <row r="98" spans="4:43" s="309" customFormat="1" ht="15" customHeight="1">
      <c r="E98" s="163" t="str">
        <f>Input!E98</f>
        <v>Non-variant allowed faults</v>
      </c>
      <c r="G98" s="309" t="s">
        <v>844</v>
      </c>
      <c r="I98" s="409"/>
      <c r="AJ98" s="236">
        <v>23.008090432561694</v>
      </c>
      <c r="AK98" s="236">
        <v>22.892742106570036</v>
      </c>
      <c r="AL98" s="236">
        <v>22.858878503846469</v>
      </c>
      <c r="AM98" s="236">
        <v>22.97314495624822</v>
      </c>
      <c r="AN98" s="236">
        <v>23.120071766167612</v>
      </c>
      <c r="AO98" s="236">
        <v>23.374384462375929</v>
      </c>
      <c r="AP98" s="236">
        <v>23.980841433706388</v>
      </c>
      <c r="AQ98" s="236">
        <v>24.498382573441969</v>
      </c>
    </row>
    <row r="99" spans="4:43" s="309" customFormat="1" ht="15" customHeight="1">
      <c r="E99" s="551" t="s">
        <v>999</v>
      </c>
      <c r="G99" s="309" t="s">
        <v>844</v>
      </c>
      <c r="I99" s="409"/>
      <c r="AJ99" s="236">
        <v>8.2841718957351382</v>
      </c>
      <c r="AK99" s="236">
        <v>8.3879646906665197</v>
      </c>
      <c r="AL99" s="236">
        <v>8.4927246531457889</v>
      </c>
      <c r="AM99" s="236">
        <v>8.5851383427340835</v>
      </c>
      <c r="AN99" s="236">
        <v>8.7337511061520772</v>
      </c>
      <c r="AO99" s="236">
        <v>8.7244212967361001</v>
      </c>
      <c r="AP99" s="236">
        <v>8.7251645355224134</v>
      </c>
      <c r="AQ99" s="236">
        <v>8.7084713647120999</v>
      </c>
    </row>
    <row r="100" spans="4:43" s="309" customFormat="1" ht="15" customHeight="1">
      <c r="E100" s="163" t="str">
        <f>Input!E100</f>
        <v>Non-variant allowed 100% ‘revenue pool’ expenditure</v>
      </c>
      <c r="G100" s="309" t="s">
        <v>844</v>
      </c>
      <c r="I100" s="409"/>
      <c r="AJ100" s="236">
        <v>12.005047995283977</v>
      </c>
      <c r="AK100" s="236">
        <v>11.866710411009489</v>
      </c>
      <c r="AL100" s="236">
        <v>11.488819313469863</v>
      </c>
      <c r="AM100" s="236">
        <v>11.133211424279915</v>
      </c>
      <c r="AN100" s="236">
        <v>10.672034763404998</v>
      </c>
      <c r="AO100" s="236">
        <v>10.187313667721998</v>
      </c>
      <c r="AP100" s="236">
        <v>9.4352877511775048</v>
      </c>
      <c r="AQ100" s="236">
        <v>8.8523194192476673</v>
      </c>
    </row>
    <row r="101" spans="4:43" s="309" customFormat="1" ht="15" customHeight="1">
      <c r="E101" s="163" t="str">
        <f>Input!E101</f>
        <v>Non-variant allowed controllable opex</v>
      </c>
      <c r="G101" s="309" t="s">
        <v>844</v>
      </c>
      <c r="I101" s="409"/>
      <c r="AJ101" s="236">
        <v>79.755690507905229</v>
      </c>
      <c r="AK101" s="236">
        <v>79.107224852823933</v>
      </c>
      <c r="AL101" s="236">
        <v>77.504996094820783</v>
      </c>
      <c r="AM101" s="236">
        <v>77.413193066922062</v>
      </c>
      <c r="AN101" s="236">
        <v>76.439106663338691</v>
      </c>
      <c r="AO101" s="236">
        <v>75.993393679638743</v>
      </c>
      <c r="AP101" s="236">
        <v>77.089081902134112</v>
      </c>
      <c r="AQ101" s="236">
        <v>76.485895790522221</v>
      </c>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f>AJ19</f>
        <v>2.5152614695250004</v>
      </c>
      <c r="AK105" s="221">
        <f t="shared" ref="AK105:AQ105" si="4">AK19</f>
        <v>0</v>
      </c>
      <c r="AL105" s="221">
        <f t="shared" si="4"/>
        <v>0</v>
      </c>
      <c r="AM105" s="221">
        <f t="shared" si="4"/>
        <v>2.5860496786900762</v>
      </c>
      <c r="AN105" s="221">
        <f t="shared" si="4"/>
        <v>3.1323096701978663</v>
      </c>
      <c r="AO105" s="221">
        <f t="shared" si="4"/>
        <v>1.0539113881358191</v>
      </c>
      <c r="AP105" s="221">
        <f t="shared" si="4"/>
        <v>0</v>
      </c>
      <c r="AQ105" s="221">
        <f t="shared" si="4"/>
        <v>0</v>
      </c>
    </row>
    <row r="106" spans="4:43" s="309" customFormat="1" ht="15" customHeight="1">
      <c r="E106" s="410" t="str">
        <f>Input!E106</f>
        <v>Allocation to load related capex</v>
      </c>
      <c r="G106" s="309" t="s">
        <v>49</v>
      </c>
      <c r="I106" s="149"/>
      <c r="AJ106" s="238">
        <v>0</v>
      </c>
      <c r="AK106" s="238">
        <v>0</v>
      </c>
      <c r="AL106" s="238">
        <v>0</v>
      </c>
      <c r="AM106" s="238">
        <v>0</v>
      </c>
      <c r="AN106" s="238">
        <v>0</v>
      </c>
      <c r="AO106" s="238">
        <v>0</v>
      </c>
      <c r="AP106" s="238">
        <v>0</v>
      </c>
      <c r="AQ106" s="238">
        <v>0</v>
      </c>
    </row>
    <row r="107" spans="4:43" s="309" customFormat="1" ht="15" customHeight="1">
      <c r="E107" s="410" t="str">
        <f>Input!E107</f>
        <v>Allocation to non-load related capex - asset replacement</v>
      </c>
      <c r="G107" s="309" t="s">
        <v>49</v>
      </c>
      <c r="I107" s="149"/>
      <c r="AJ107" s="238">
        <v>1</v>
      </c>
      <c r="AK107" s="238">
        <v>0.90842335073075053</v>
      </c>
      <c r="AL107" s="238">
        <v>0.90843012702524795</v>
      </c>
      <c r="AM107" s="238">
        <v>1</v>
      </c>
      <c r="AN107" s="238">
        <v>1</v>
      </c>
      <c r="AO107" s="238">
        <v>1</v>
      </c>
      <c r="AP107" s="238">
        <v>0.92210844685728055</v>
      </c>
      <c r="AQ107" s="238">
        <v>0.92607363567130285</v>
      </c>
    </row>
    <row r="108" spans="4:43" s="309" customFormat="1" ht="15" customHeight="1">
      <c r="E108" s="410" t="str">
        <f>Input!E108</f>
        <v>Allocation to non-load related capex - other</v>
      </c>
      <c r="G108" s="309" t="s">
        <v>49</v>
      </c>
      <c r="I108" s="149"/>
      <c r="AJ108" s="238">
        <v>0</v>
      </c>
      <c r="AK108" s="238">
        <v>0</v>
      </c>
      <c r="AL108" s="238">
        <v>0</v>
      </c>
      <c r="AM108" s="238">
        <v>0</v>
      </c>
      <c r="AN108" s="238">
        <v>0</v>
      </c>
      <c r="AO108" s="238">
        <v>0</v>
      </c>
      <c r="AP108" s="238">
        <v>0</v>
      </c>
      <c r="AQ108" s="238">
        <v>0</v>
      </c>
    </row>
    <row r="109" spans="4:43" s="309" customFormat="1" ht="15" customHeight="1">
      <c r="E109" s="410" t="str">
        <f>Input!E109</f>
        <v>Allocation to faults</v>
      </c>
      <c r="G109" s="309" t="s">
        <v>49</v>
      </c>
      <c r="I109" s="149"/>
      <c r="AJ109" s="238">
        <v>0</v>
      </c>
      <c r="AK109" s="238">
        <v>0</v>
      </c>
      <c r="AL109" s="238">
        <v>0</v>
      </c>
      <c r="AM109" s="238">
        <v>0</v>
      </c>
      <c r="AN109" s="238">
        <v>0</v>
      </c>
      <c r="AO109" s="238">
        <v>0</v>
      </c>
      <c r="AP109" s="238">
        <v>0</v>
      </c>
      <c r="AQ109" s="238">
        <v>0</v>
      </c>
    </row>
    <row r="110" spans="4:43" s="309" customFormat="1" ht="15" customHeight="1">
      <c r="E110" s="553" t="s">
        <v>994</v>
      </c>
      <c r="G110" s="309" t="s">
        <v>49</v>
      </c>
      <c r="I110" s="498"/>
      <c r="AJ110" s="238">
        <v>0</v>
      </c>
      <c r="AK110" s="238">
        <v>0</v>
      </c>
      <c r="AL110" s="238">
        <v>0</v>
      </c>
      <c r="AM110" s="238">
        <v>0</v>
      </c>
      <c r="AN110" s="238">
        <v>0</v>
      </c>
      <c r="AO110" s="238">
        <v>0</v>
      </c>
      <c r="AP110" s="238">
        <v>0</v>
      </c>
      <c r="AQ110" s="238">
        <v>0</v>
      </c>
    </row>
    <row r="111" spans="4:43" s="309" customFormat="1" ht="15" customHeight="1">
      <c r="E111" s="410" t="str">
        <f>Input!E111</f>
        <v>Allocation to 100% ‘revenue pool’ expenditure</v>
      </c>
      <c r="G111" s="309" t="s">
        <v>49</v>
      </c>
      <c r="I111" s="149"/>
      <c r="AJ111" s="238">
        <v>0</v>
      </c>
      <c r="AK111" s="238">
        <v>9.1576649269249466E-2</v>
      </c>
      <c r="AL111" s="238">
        <v>9.1569872974752053E-2</v>
      </c>
      <c r="AM111" s="238">
        <v>0</v>
      </c>
      <c r="AN111" s="238">
        <v>0</v>
      </c>
      <c r="AO111" s="238">
        <v>0</v>
      </c>
      <c r="AP111" s="238">
        <v>7.789155314271945E-2</v>
      </c>
      <c r="AQ111" s="238">
        <v>7.3926364328697147E-2</v>
      </c>
    </row>
    <row r="112" spans="4:43" s="309" customFormat="1" ht="15" customHeight="1">
      <c r="E112" s="410" t="str">
        <f>Input!E112</f>
        <v>Allocation to controllable opex</v>
      </c>
      <c r="G112" s="309" t="s">
        <v>49</v>
      </c>
      <c r="I112" s="149"/>
      <c r="AJ112" s="238">
        <v>0</v>
      </c>
      <c r="AK112" s="238">
        <v>0</v>
      </c>
      <c r="AL112" s="238">
        <v>0</v>
      </c>
      <c r="AM112" s="238">
        <v>0</v>
      </c>
      <c r="AN112" s="238">
        <v>0</v>
      </c>
      <c r="AO112" s="238">
        <v>0</v>
      </c>
      <c r="AP112" s="238">
        <v>0</v>
      </c>
      <c r="AQ112" s="238">
        <v>0</v>
      </c>
    </row>
    <row r="114" spans="5:43" s="309" customFormat="1" ht="15" customHeight="1">
      <c r="E114" s="149" t="str">
        <f>Input!E114</f>
        <v>Allowed Expenditure - High Value Projects</v>
      </c>
      <c r="G114" s="309" t="s">
        <v>844</v>
      </c>
      <c r="I114" s="409"/>
      <c r="AJ114" s="221">
        <f t="shared" ref="AJ114:AQ114" si="5">AJ20</f>
        <v>5.2012850463206401</v>
      </c>
      <c r="AK114" s="221">
        <f t="shared" si="5"/>
        <v>6.37155744513095</v>
      </c>
      <c r="AL114" s="221">
        <f t="shared" si="5"/>
        <v>6.3547719984256448</v>
      </c>
      <c r="AM114" s="221">
        <f t="shared" si="5"/>
        <v>5.9505840986754546</v>
      </c>
      <c r="AN114" s="221">
        <f t="shared" si="5"/>
        <v>4.9613310651294755</v>
      </c>
      <c r="AO114" s="221">
        <f t="shared" si="5"/>
        <v>2.9872918053546043</v>
      </c>
      <c r="AP114" s="221">
        <f t="shared" si="5"/>
        <v>0</v>
      </c>
      <c r="AQ114" s="221">
        <f t="shared" si="5"/>
        <v>0</v>
      </c>
    </row>
    <row r="115" spans="5:43" s="309" customFormat="1" ht="15" customHeight="1">
      <c r="E115" s="410" t="str">
        <f>Input!E115</f>
        <v>Allocation to load related capex</v>
      </c>
      <c r="G115" s="309" t="s">
        <v>49</v>
      </c>
      <c r="I115" s="149"/>
      <c r="AJ115" s="238">
        <v>0</v>
      </c>
      <c r="AK115" s="238">
        <v>0</v>
      </c>
      <c r="AL115" s="238">
        <v>0</v>
      </c>
      <c r="AM115" s="238">
        <v>0</v>
      </c>
      <c r="AN115" s="238">
        <v>0</v>
      </c>
      <c r="AO115" s="238">
        <v>0</v>
      </c>
      <c r="AP115" s="238">
        <v>0</v>
      </c>
      <c r="AQ115" s="238">
        <v>0</v>
      </c>
    </row>
    <row r="116" spans="5:43" s="309" customFormat="1" ht="15" customHeight="1">
      <c r="E116" s="410" t="str">
        <f>Input!E116</f>
        <v>Allocation to non-load related capex - asset replacement</v>
      </c>
      <c r="G116" s="309" t="s">
        <v>49</v>
      </c>
      <c r="I116" s="149"/>
      <c r="AJ116" s="238">
        <v>0.99283538828211682</v>
      </c>
      <c r="AK116" s="238">
        <v>0.99283538828211682</v>
      </c>
      <c r="AL116" s="238">
        <v>0.9928353882821167</v>
      </c>
      <c r="AM116" s="238">
        <v>0.99283538828211682</v>
      </c>
      <c r="AN116" s="238">
        <v>0.99283538828211682</v>
      </c>
      <c r="AO116" s="238">
        <v>0.9928353882821167</v>
      </c>
      <c r="AP116" s="238">
        <v>0</v>
      </c>
      <c r="AQ116" s="238">
        <v>0</v>
      </c>
    </row>
    <row r="117" spans="5:43" s="309" customFormat="1" ht="15" customHeight="1">
      <c r="E117" s="410" t="str">
        <f>Input!E117</f>
        <v>Allocation to non-load related capex - other</v>
      </c>
      <c r="G117" s="309" t="s">
        <v>49</v>
      </c>
      <c r="I117" s="149"/>
      <c r="AJ117" s="238">
        <v>0</v>
      </c>
      <c r="AK117" s="238">
        <v>0</v>
      </c>
      <c r="AL117" s="238">
        <v>0</v>
      </c>
      <c r="AM117" s="238">
        <v>0</v>
      </c>
      <c r="AN117" s="238">
        <v>0</v>
      </c>
      <c r="AO117" s="238">
        <v>0</v>
      </c>
      <c r="AP117" s="238">
        <v>0</v>
      </c>
      <c r="AQ117" s="238">
        <v>0</v>
      </c>
    </row>
    <row r="118" spans="5:43" s="309" customFormat="1" ht="15" customHeight="1">
      <c r="E118" s="410" t="str">
        <f>Input!E118</f>
        <v>Allocation to faults</v>
      </c>
      <c r="G118" s="309" t="s">
        <v>49</v>
      </c>
      <c r="I118" s="149"/>
      <c r="AJ118" s="238">
        <v>0</v>
      </c>
      <c r="AK118" s="238">
        <v>0</v>
      </c>
      <c r="AL118" s="238">
        <v>0</v>
      </c>
      <c r="AM118" s="238">
        <v>0</v>
      </c>
      <c r="AN118" s="238">
        <v>0</v>
      </c>
      <c r="AO118" s="238">
        <v>0</v>
      </c>
      <c r="AP118" s="238">
        <v>0</v>
      </c>
      <c r="AQ118" s="238">
        <v>0</v>
      </c>
    </row>
    <row r="119" spans="5:43" s="309" customFormat="1" ht="15" customHeight="1">
      <c r="E119" s="553" t="s">
        <v>994</v>
      </c>
      <c r="G119" s="309" t="s">
        <v>49</v>
      </c>
      <c r="I119" s="498"/>
      <c r="AJ119" s="238">
        <v>0</v>
      </c>
      <c r="AK119" s="238">
        <v>0</v>
      </c>
      <c r="AL119" s="238">
        <v>0</v>
      </c>
      <c r="AM119" s="238">
        <v>0</v>
      </c>
      <c r="AN119" s="238">
        <v>0</v>
      </c>
      <c r="AO119" s="238">
        <v>0</v>
      </c>
      <c r="AP119" s="238">
        <v>0</v>
      </c>
      <c r="AQ119" s="238">
        <v>0</v>
      </c>
    </row>
    <row r="120" spans="5:43" s="309" customFormat="1" ht="15" customHeight="1">
      <c r="E120" s="410" t="str">
        <f>Input!E120</f>
        <v>Allocation to 100% ‘revenue pool’ expenditure</v>
      </c>
      <c r="G120" s="309" t="s">
        <v>49</v>
      </c>
      <c r="I120" s="149"/>
      <c r="AH120" s="558"/>
      <c r="AJ120" s="238">
        <v>7.1646117178832966E-3</v>
      </c>
      <c r="AK120" s="238">
        <v>7.1646117178832932E-3</v>
      </c>
      <c r="AL120" s="238">
        <v>7.1646117178832949E-3</v>
      </c>
      <c r="AM120" s="238">
        <v>7.1646117178832949E-3</v>
      </c>
      <c r="AN120" s="238">
        <v>7.1646117178832975E-3</v>
      </c>
      <c r="AO120" s="238">
        <v>7.1646117178832949E-3</v>
      </c>
      <c r="AP120" s="238">
        <v>0</v>
      </c>
      <c r="AQ120" s="238">
        <v>0</v>
      </c>
    </row>
    <row r="121" spans="5:43" s="309" customFormat="1" ht="15" customHeight="1">
      <c r="E121" s="410" t="str">
        <f>Input!E121</f>
        <v>Allocation to controllable opex</v>
      </c>
      <c r="G121" s="309" t="s">
        <v>49</v>
      </c>
      <c r="I121" s="149"/>
      <c r="AJ121" s="238">
        <v>0</v>
      </c>
      <c r="AK121" s="238">
        <v>0</v>
      </c>
      <c r="AL121" s="238">
        <v>0</v>
      </c>
      <c r="AM121" s="238">
        <v>0</v>
      </c>
      <c r="AN121" s="238">
        <v>0</v>
      </c>
      <c r="AO121" s="238">
        <v>0</v>
      </c>
      <c r="AP121" s="238">
        <v>0</v>
      </c>
      <c r="AQ121" s="238">
        <v>0</v>
      </c>
    </row>
    <row r="122" spans="5:43" ht="15" customHeight="1">
      <c r="AH122" s="528"/>
      <c r="AI122" s="498"/>
      <c r="AJ122" s="528"/>
      <c r="AK122" s="528"/>
      <c r="AL122" s="528"/>
      <c r="AM122" s="528"/>
      <c r="AN122" s="528"/>
      <c r="AO122" s="528"/>
      <c r="AP122" s="528"/>
      <c r="AQ122" s="528"/>
    </row>
    <row r="123" spans="5:43" s="309" customFormat="1" ht="15" customHeight="1">
      <c r="E123" s="149" t="str">
        <f>Input!E123</f>
        <v xml:space="preserve">Allowed Expenditure - Visual Amenity Allowed (TIM neutral)                                                                                                      </v>
      </c>
      <c r="G123" s="309" t="s">
        <v>844</v>
      </c>
      <c r="I123" s="409"/>
      <c r="AJ123" s="221">
        <f>AJ21</f>
        <v>0</v>
      </c>
      <c r="AK123" s="221">
        <f t="shared" ref="AK123:AQ123" si="6">AK21</f>
        <v>0</v>
      </c>
      <c r="AL123" s="221">
        <f t="shared" si="6"/>
        <v>0</v>
      </c>
      <c r="AM123" s="221">
        <f t="shared" si="6"/>
        <v>0</v>
      </c>
      <c r="AN123" s="221">
        <f t="shared" si="6"/>
        <v>0</v>
      </c>
      <c r="AO123" s="221">
        <f t="shared" si="6"/>
        <v>0</v>
      </c>
      <c r="AP123" s="221">
        <f t="shared" si="6"/>
        <v>0</v>
      </c>
      <c r="AQ123" s="221">
        <f t="shared" si="6"/>
        <v>0</v>
      </c>
    </row>
    <row r="124" spans="5:43" s="309" customFormat="1" ht="15" customHeight="1">
      <c r="E124" s="410" t="str">
        <f>Input!E124</f>
        <v>Allocation to load related capex</v>
      </c>
      <c r="G124" s="309" t="s">
        <v>49</v>
      </c>
      <c r="I124" s="149"/>
      <c r="AJ124" s="238">
        <v>0</v>
      </c>
      <c r="AK124" s="238">
        <v>0</v>
      </c>
      <c r="AL124" s="238">
        <v>0</v>
      </c>
      <c r="AM124" s="238">
        <v>0</v>
      </c>
      <c r="AN124" s="238">
        <v>0</v>
      </c>
      <c r="AO124" s="238">
        <v>0</v>
      </c>
      <c r="AP124" s="238">
        <v>0</v>
      </c>
      <c r="AQ124" s="238">
        <v>0</v>
      </c>
    </row>
    <row r="125" spans="5:43" s="309" customFormat="1" ht="15" customHeight="1">
      <c r="E125" s="410" t="str">
        <f>Input!E125</f>
        <v>Allocation to non-load related capex - asset replacement</v>
      </c>
      <c r="G125" s="309" t="s">
        <v>49</v>
      </c>
      <c r="I125" s="149"/>
      <c r="AJ125" s="238">
        <v>0</v>
      </c>
      <c r="AK125" s="238">
        <v>0</v>
      </c>
      <c r="AL125" s="238">
        <v>0</v>
      </c>
      <c r="AM125" s="238">
        <v>0</v>
      </c>
      <c r="AN125" s="238">
        <v>0</v>
      </c>
      <c r="AO125" s="238">
        <v>0</v>
      </c>
      <c r="AP125" s="238">
        <v>0</v>
      </c>
      <c r="AQ125" s="238">
        <v>0</v>
      </c>
    </row>
    <row r="126" spans="5:43" s="309" customFormat="1" ht="15" customHeight="1">
      <c r="E126" s="410" t="str">
        <f>Input!E126</f>
        <v>Allocation to non-load related capex - other</v>
      </c>
      <c r="G126" s="309" t="s">
        <v>49</v>
      </c>
      <c r="I126" s="149"/>
      <c r="AJ126" s="238">
        <v>1</v>
      </c>
      <c r="AK126" s="238">
        <v>1</v>
      </c>
      <c r="AL126" s="238">
        <v>1</v>
      </c>
      <c r="AM126" s="238">
        <v>1</v>
      </c>
      <c r="AN126" s="238">
        <v>1</v>
      </c>
      <c r="AO126" s="238">
        <v>1</v>
      </c>
      <c r="AP126" s="238">
        <v>1</v>
      </c>
      <c r="AQ126" s="238">
        <v>1</v>
      </c>
    </row>
    <row r="127" spans="5:43" s="309" customFormat="1" ht="15" customHeight="1">
      <c r="E127" s="410" t="str">
        <f>Input!E127</f>
        <v>Allocation to faults</v>
      </c>
      <c r="G127" s="309" t="s">
        <v>49</v>
      </c>
      <c r="I127" s="149"/>
      <c r="AJ127" s="238">
        <v>0</v>
      </c>
      <c r="AK127" s="238">
        <v>0</v>
      </c>
      <c r="AL127" s="238">
        <v>0</v>
      </c>
      <c r="AM127" s="238">
        <v>0</v>
      </c>
      <c r="AN127" s="238">
        <v>0</v>
      </c>
      <c r="AO127" s="238">
        <v>0</v>
      </c>
      <c r="AP127" s="238">
        <v>0</v>
      </c>
      <c r="AQ127" s="238">
        <v>0</v>
      </c>
    </row>
    <row r="128" spans="5:43" s="309" customFormat="1" ht="15" customHeight="1">
      <c r="E128" s="553" t="s">
        <v>994</v>
      </c>
      <c r="G128" s="309" t="s">
        <v>49</v>
      </c>
      <c r="I128" s="498"/>
      <c r="AJ128" s="238">
        <v>0</v>
      </c>
      <c r="AK128" s="238">
        <v>0</v>
      </c>
      <c r="AL128" s="238">
        <v>0</v>
      </c>
      <c r="AM128" s="238">
        <v>0</v>
      </c>
      <c r="AN128" s="238">
        <v>0</v>
      </c>
      <c r="AO128" s="238">
        <v>0</v>
      </c>
      <c r="AP128" s="238">
        <v>0</v>
      </c>
      <c r="AQ128" s="238">
        <v>0</v>
      </c>
    </row>
    <row r="129" spans="5:43" s="309" customFormat="1" ht="15" customHeight="1">
      <c r="E129" s="410" t="str">
        <f>Input!E129</f>
        <v>Allocation to 100% ‘revenue pool’ expenditure</v>
      </c>
      <c r="G129" s="309" t="s">
        <v>49</v>
      </c>
      <c r="I129" s="149"/>
      <c r="AJ129" s="238">
        <v>0</v>
      </c>
      <c r="AK129" s="238">
        <v>0</v>
      </c>
      <c r="AL129" s="238">
        <v>0</v>
      </c>
      <c r="AM129" s="238">
        <v>0</v>
      </c>
      <c r="AN129" s="238">
        <v>0</v>
      </c>
      <c r="AO129" s="238">
        <v>0</v>
      </c>
      <c r="AP129" s="238">
        <v>0</v>
      </c>
      <c r="AQ129" s="238">
        <v>0</v>
      </c>
    </row>
    <row r="130" spans="5:43" s="309" customFormat="1" ht="15" customHeight="1">
      <c r="E130" s="410" t="str">
        <f>Input!E130</f>
        <v>Allocation to controllable opex</v>
      </c>
      <c r="G130" s="309" t="s">
        <v>49</v>
      </c>
      <c r="I130" s="149"/>
      <c r="AJ130" s="238">
        <v>0</v>
      </c>
      <c r="AK130" s="238">
        <v>0</v>
      </c>
      <c r="AL130" s="238">
        <v>0</v>
      </c>
      <c r="AM130" s="238">
        <v>0</v>
      </c>
      <c r="AN130" s="238">
        <v>0</v>
      </c>
      <c r="AO130" s="238">
        <v>0</v>
      </c>
      <c r="AP130" s="238">
        <v>0</v>
      </c>
      <c r="AQ130" s="238">
        <v>0</v>
      </c>
    </row>
    <row r="132" spans="5:43" s="309" customFormat="1" ht="15" customHeight="1">
      <c r="E132" s="149" t="str">
        <f>Input!E132</f>
        <v>Allowed Expenditure - Worst Served Customers Allowed (TIM neutral)</v>
      </c>
      <c r="G132" s="309" t="s">
        <v>844</v>
      </c>
      <c r="I132" s="409"/>
      <c r="AJ132" s="221">
        <f>AJ22</f>
        <v>0</v>
      </c>
      <c r="AK132" s="221">
        <f t="shared" ref="AK132:AQ132" si="7">AK22</f>
        <v>0</v>
      </c>
      <c r="AL132" s="221">
        <f t="shared" si="7"/>
        <v>0</v>
      </c>
      <c r="AM132" s="221">
        <f t="shared" si="7"/>
        <v>0</v>
      </c>
      <c r="AN132" s="221">
        <f t="shared" si="7"/>
        <v>0</v>
      </c>
      <c r="AO132" s="221">
        <f t="shared" si="7"/>
        <v>0</v>
      </c>
      <c r="AP132" s="221">
        <f t="shared" si="7"/>
        <v>0</v>
      </c>
      <c r="AQ132" s="221">
        <f t="shared" si="7"/>
        <v>0</v>
      </c>
    </row>
    <row r="133" spans="5:43" s="309" customFormat="1" ht="15" customHeight="1">
      <c r="E133" s="410" t="str">
        <f>Input!E133</f>
        <v>Allocation to load related capex</v>
      </c>
      <c r="G133" s="309" t="s">
        <v>49</v>
      </c>
      <c r="I133" s="149"/>
      <c r="AJ133" s="238">
        <v>0</v>
      </c>
      <c r="AK133" s="238">
        <v>0</v>
      </c>
      <c r="AL133" s="238">
        <v>0</v>
      </c>
      <c r="AM133" s="238">
        <v>0</v>
      </c>
      <c r="AN133" s="238">
        <v>0</v>
      </c>
      <c r="AO133" s="238">
        <v>0</v>
      </c>
      <c r="AP133" s="238">
        <v>0</v>
      </c>
      <c r="AQ133" s="238">
        <v>0</v>
      </c>
    </row>
    <row r="134" spans="5:43" s="309" customFormat="1" ht="15" customHeight="1">
      <c r="E134" s="410" t="str">
        <f>Input!E134</f>
        <v>Allocation to non-load related capex - asset replacement</v>
      </c>
      <c r="G134" s="309" t="s">
        <v>49</v>
      </c>
      <c r="I134" s="149"/>
      <c r="AJ134" s="238">
        <v>0</v>
      </c>
      <c r="AK134" s="238">
        <v>0</v>
      </c>
      <c r="AL134" s="238">
        <v>0</v>
      </c>
      <c r="AM134" s="238">
        <v>0</v>
      </c>
      <c r="AN134" s="238">
        <v>0</v>
      </c>
      <c r="AO134" s="238">
        <v>0</v>
      </c>
      <c r="AP134" s="238">
        <v>0</v>
      </c>
      <c r="AQ134" s="238">
        <v>0</v>
      </c>
    </row>
    <row r="135" spans="5:43" s="309" customFormat="1" ht="15" customHeight="1">
      <c r="E135" s="410" t="str">
        <f>Input!E135</f>
        <v>Allocation to non-load related capex - other</v>
      </c>
      <c r="G135" s="309" t="s">
        <v>49</v>
      </c>
      <c r="I135" s="149"/>
      <c r="AJ135" s="238">
        <v>0.98374390821285607</v>
      </c>
      <c r="AK135" s="238">
        <v>0.98374390821285607</v>
      </c>
      <c r="AL135" s="238">
        <v>0.98374390821285607</v>
      </c>
      <c r="AM135" s="238">
        <v>0.98374390821285607</v>
      </c>
      <c r="AN135" s="238">
        <v>0.98374390821285607</v>
      </c>
      <c r="AO135" s="238">
        <v>0.98374390821285607</v>
      </c>
      <c r="AP135" s="238">
        <v>0.98374390821285607</v>
      </c>
      <c r="AQ135" s="238">
        <v>0.98374390821285596</v>
      </c>
    </row>
    <row r="136" spans="5:43" s="309" customFormat="1" ht="15" customHeight="1">
      <c r="E136" s="410" t="str">
        <f>Input!E136</f>
        <v>Allocation to faults</v>
      </c>
      <c r="G136" s="309" t="s">
        <v>49</v>
      </c>
      <c r="I136" s="149"/>
      <c r="AJ136" s="238">
        <v>0</v>
      </c>
      <c r="AK136" s="238">
        <v>0</v>
      </c>
      <c r="AL136" s="238">
        <v>0</v>
      </c>
      <c r="AM136" s="238">
        <v>0</v>
      </c>
      <c r="AN136" s="238">
        <v>0</v>
      </c>
      <c r="AO136" s="238">
        <v>0</v>
      </c>
      <c r="AP136" s="238">
        <v>0</v>
      </c>
      <c r="AQ136" s="238">
        <v>0</v>
      </c>
    </row>
    <row r="137" spans="5:43" s="309" customFormat="1" ht="15" customHeight="1">
      <c r="E137" s="553" t="s">
        <v>994</v>
      </c>
      <c r="G137" s="309" t="s">
        <v>49</v>
      </c>
      <c r="I137" s="498"/>
      <c r="AJ137" s="238">
        <v>0</v>
      </c>
      <c r="AK137" s="238">
        <v>0</v>
      </c>
      <c r="AL137" s="238">
        <v>0</v>
      </c>
      <c r="AM137" s="238">
        <v>0</v>
      </c>
      <c r="AN137" s="238">
        <v>0</v>
      </c>
      <c r="AO137" s="238">
        <v>0</v>
      </c>
      <c r="AP137" s="238">
        <v>0</v>
      </c>
      <c r="AQ137" s="238">
        <v>0</v>
      </c>
    </row>
    <row r="138" spans="5:43" s="309" customFormat="1" ht="15" customHeight="1">
      <c r="E138" s="410" t="str">
        <f>Input!E138</f>
        <v>Allocation to 100% ‘revenue pool’ expenditure</v>
      </c>
      <c r="G138" s="309" t="s">
        <v>49</v>
      </c>
      <c r="I138" s="149"/>
      <c r="AH138" s="558"/>
      <c r="AJ138" s="238">
        <v>1.625609178714392E-2</v>
      </c>
      <c r="AK138" s="238">
        <v>1.625609178714392E-2</v>
      </c>
      <c r="AL138" s="238">
        <v>1.625609178714392E-2</v>
      </c>
      <c r="AM138" s="238">
        <v>1.625609178714392E-2</v>
      </c>
      <c r="AN138" s="238">
        <v>1.625609178714392E-2</v>
      </c>
      <c r="AO138" s="238">
        <v>1.625609178714392E-2</v>
      </c>
      <c r="AP138" s="238">
        <v>1.625609178714392E-2</v>
      </c>
      <c r="AQ138" s="238">
        <v>1.625609178714392E-2</v>
      </c>
    </row>
    <row r="139" spans="5:43" s="309" customFormat="1" ht="15" customHeight="1">
      <c r="E139" s="410" t="str">
        <f>Input!E139</f>
        <v>Allocation to controllable opex</v>
      </c>
      <c r="G139" s="309" t="s">
        <v>49</v>
      </c>
      <c r="I139" s="149"/>
      <c r="AF139" s="558"/>
      <c r="AJ139" s="238">
        <v>0</v>
      </c>
      <c r="AK139" s="238">
        <v>0</v>
      </c>
      <c r="AL139" s="238">
        <v>0</v>
      </c>
      <c r="AM139" s="238">
        <v>0</v>
      </c>
      <c r="AN139" s="238">
        <v>0</v>
      </c>
      <c r="AO139" s="238">
        <v>0</v>
      </c>
      <c r="AP139" s="238">
        <v>0</v>
      </c>
      <c r="AQ139" s="238">
        <v>0</v>
      </c>
    </row>
    <row r="141" spans="5:43" s="309" customFormat="1" ht="15" customHeight="1">
      <c r="E141" s="149" t="str">
        <f>Input!E141</f>
        <v xml:space="preserve">Allowed Expenditure - Smart Meter Allowed Expenditure                                                                                                                                          </v>
      </c>
      <c r="G141" s="309" t="s">
        <v>844</v>
      </c>
      <c r="I141" s="409"/>
      <c r="AJ141" s="221">
        <f t="shared" ref="AJ141:AQ141" si="8">AJ23</f>
        <v>1.2141391264816848</v>
      </c>
      <c r="AK141" s="221">
        <f t="shared" si="8"/>
        <v>2.0573283969813678</v>
      </c>
      <c r="AL141" s="221">
        <f t="shared" si="8"/>
        <v>2.6669305420740144</v>
      </c>
      <c r="AM141" s="221">
        <f t="shared" si="8"/>
        <v>2.9505720007760901</v>
      </c>
      <c r="AN141" s="221">
        <f t="shared" si="8"/>
        <v>2.9554379088445755</v>
      </c>
      <c r="AO141" s="221">
        <f t="shared" si="8"/>
        <v>2.1746193333421426</v>
      </c>
      <c r="AP141" s="221">
        <f t="shared" si="8"/>
        <v>0</v>
      </c>
      <c r="AQ141" s="221">
        <f t="shared" si="8"/>
        <v>0</v>
      </c>
    </row>
    <row r="142" spans="5:43" s="309" customFormat="1" ht="15" customHeight="1">
      <c r="E142" s="410" t="str">
        <f>Input!E142</f>
        <v>Allocation to load related capex</v>
      </c>
      <c r="G142" s="309" t="s">
        <v>49</v>
      </c>
      <c r="I142" s="149"/>
      <c r="AJ142" s="238">
        <v>0</v>
      </c>
      <c r="AK142" s="238">
        <v>0</v>
      </c>
      <c r="AL142" s="238">
        <v>0</v>
      </c>
      <c r="AM142" s="238">
        <v>0</v>
      </c>
      <c r="AN142" s="238">
        <v>0</v>
      </c>
      <c r="AO142" s="238">
        <v>0</v>
      </c>
      <c r="AP142" s="238">
        <v>0</v>
      </c>
      <c r="AQ142" s="238">
        <v>0</v>
      </c>
    </row>
    <row r="143" spans="5:43" s="309" customFormat="1" ht="15" customHeight="1">
      <c r="E143" s="410" t="str">
        <f>Input!E143</f>
        <v>Allocation to non-load related capex - asset replacement</v>
      </c>
      <c r="G143" s="309" t="s">
        <v>49</v>
      </c>
      <c r="I143" s="149"/>
      <c r="AJ143" s="238">
        <v>0</v>
      </c>
      <c r="AK143" s="238">
        <v>0</v>
      </c>
      <c r="AL143" s="238">
        <v>0</v>
      </c>
      <c r="AM143" s="238">
        <v>0</v>
      </c>
      <c r="AN143" s="238">
        <v>0</v>
      </c>
      <c r="AO143" s="238">
        <v>0</v>
      </c>
      <c r="AP143" s="238">
        <v>0</v>
      </c>
      <c r="AQ143" s="238">
        <v>0</v>
      </c>
    </row>
    <row r="144" spans="5:43" s="309" customFormat="1" ht="15" customHeight="1">
      <c r="E144" s="410" t="str">
        <f>Input!E144</f>
        <v>Allocation to non-load related capex - other</v>
      </c>
      <c r="G144" s="309" t="s">
        <v>49</v>
      </c>
      <c r="I144" s="149"/>
      <c r="AJ144" s="238">
        <v>0</v>
      </c>
      <c r="AK144" s="238">
        <v>0</v>
      </c>
      <c r="AL144" s="238">
        <v>0</v>
      </c>
      <c r="AM144" s="238">
        <v>0</v>
      </c>
      <c r="AN144" s="238">
        <v>0</v>
      </c>
      <c r="AO144" s="238">
        <v>0</v>
      </c>
      <c r="AP144" s="238">
        <v>0</v>
      </c>
      <c r="AQ144" s="238">
        <v>0</v>
      </c>
    </row>
    <row r="145" spans="5:43" s="309" customFormat="1" ht="15" customHeight="1">
      <c r="E145" s="410" t="str">
        <f>Input!E145</f>
        <v>Allocation to faults</v>
      </c>
      <c r="G145" s="309" t="s">
        <v>49</v>
      </c>
      <c r="I145" s="149"/>
      <c r="AJ145" s="238">
        <v>0</v>
      </c>
      <c r="AK145" s="238">
        <v>0</v>
      </c>
      <c r="AL145" s="238">
        <v>0</v>
      </c>
      <c r="AM145" s="238">
        <v>0</v>
      </c>
      <c r="AN145" s="238">
        <v>0</v>
      </c>
      <c r="AO145" s="238">
        <v>0</v>
      </c>
      <c r="AP145" s="238">
        <v>0</v>
      </c>
      <c r="AQ145" s="238">
        <v>0</v>
      </c>
    </row>
    <row r="146" spans="5:43" s="309" customFormat="1" ht="15" customHeight="1">
      <c r="E146" s="553" t="s">
        <v>994</v>
      </c>
      <c r="G146" s="309" t="s">
        <v>49</v>
      </c>
      <c r="I146" s="498"/>
      <c r="AJ146" s="238">
        <v>0</v>
      </c>
      <c r="AK146" s="238">
        <v>0</v>
      </c>
      <c r="AL146" s="238">
        <v>0</v>
      </c>
      <c r="AM146" s="238">
        <v>0</v>
      </c>
      <c r="AN146" s="238">
        <v>0</v>
      </c>
      <c r="AO146" s="238">
        <v>0</v>
      </c>
      <c r="AP146" s="238">
        <v>0</v>
      </c>
      <c r="AQ146" s="238">
        <v>0</v>
      </c>
    </row>
    <row r="147" spans="5:43" s="309" customFormat="1" ht="15" customHeight="1">
      <c r="E147" s="410" t="str">
        <f>Input!E147</f>
        <v>Allocation to 100% ‘revenue pool’ expenditure</v>
      </c>
      <c r="G147" s="309" t="s">
        <v>49</v>
      </c>
      <c r="I147" s="149"/>
      <c r="AH147" s="558"/>
      <c r="AJ147" s="238">
        <v>0.11858869553088822</v>
      </c>
      <c r="AK147" s="238">
        <v>0.1176010345939595</v>
      </c>
      <c r="AL147" s="238">
        <v>0.11747350621278997</v>
      </c>
      <c r="AM147" s="238">
        <v>0.11712063204305216</v>
      </c>
      <c r="AN147" s="238">
        <v>0.11706825435125746</v>
      </c>
      <c r="AO147" s="238">
        <v>0.11716669543286889</v>
      </c>
      <c r="AP147" s="238">
        <v>0</v>
      </c>
      <c r="AQ147" s="238">
        <v>0</v>
      </c>
    </row>
    <row r="148" spans="5:43" s="309" customFormat="1" ht="15" customHeight="1">
      <c r="E148" s="410" t="str">
        <f>Input!E148</f>
        <v>Allocation to controllable opex</v>
      </c>
      <c r="G148" s="309" t="s">
        <v>49</v>
      </c>
      <c r="I148" s="149"/>
      <c r="AJ148" s="238">
        <v>0.88141130446911187</v>
      </c>
      <c r="AK148" s="238">
        <v>0.88239896540604046</v>
      </c>
      <c r="AL148" s="238">
        <v>0.88252649378721004</v>
      </c>
      <c r="AM148" s="238">
        <v>0.88287936795694788</v>
      </c>
      <c r="AN148" s="238">
        <v>0.88293174564874255</v>
      </c>
      <c r="AO148" s="238">
        <v>0.88283330456713094</v>
      </c>
      <c r="AP148" s="238">
        <v>0</v>
      </c>
      <c r="AQ148" s="238">
        <v>0</v>
      </c>
    </row>
    <row r="149" spans="5:43" ht="15" customHeight="1">
      <c r="AH149" s="528"/>
      <c r="AI149" s="498"/>
      <c r="AJ149" s="528"/>
      <c r="AK149" s="528"/>
      <c r="AL149" s="528"/>
      <c r="AM149" s="528"/>
      <c r="AN149" s="528"/>
      <c r="AO149" s="528"/>
      <c r="AP149" s="528"/>
      <c r="AQ149" s="528"/>
    </row>
    <row r="150" spans="5:43" s="309" customFormat="1" ht="15" customHeight="1">
      <c r="E150" s="149" t="str">
        <f>Input!E150</f>
        <v>Allowed Expenditure - Specified Street Works</v>
      </c>
      <c r="G150" s="309" t="s">
        <v>844</v>
      </c>
      <c r="I150" s="409"/>
      <c r="AJ150" s="221">
        <f t="shared" ref="AJ150:AQ150" si="9">AJ24</f>
        <v>0</v>
      </c>
      <c r="AK150" s="221">
        <f t="shared" si="9"/>
        <v>0</v>
      </c>
      <c r="AL150" s="221">
        <f t="shared" si="9"/>
        <v>0</v>
      </c>
      <c r="AM150" s="221">
        <f t="shared" si="9"/>
        <v>0</v>
      </c>
      <c r="AN150" s="221">
        <f t="shared" si="9"/>
        <v>0</v>
      </c>
      <c r="AO150" s="221">
        <f t="shared" si="9"/>
        <v>0</v>
      </c>
      <c r="AP150" s="221">
        <f t="shared" si="9"/>
        <v>0</v>
      </c>
      <c r="AQ150" s="221">
        <f t="shared" si="9"/>
        <v>0</v>
      </c>
    </row>
    <row r="151" spans="5:43" s="309" customFormat="1" ht="15" customHeight="1">
      <c r="E151" s="410" t="str">
        <f>Input!E151</f>
        <v>Allocation to load related capex</v>
      </c>
      <c r="G151" s="309" t="s">
        <v>49</v>
      </c>
      <c r="I151" s="149"/>
      <c r="AJ151" s="238">
        <v>0.26666930935395616</v>
      </c>
      <c r="AK151" s="238">
        <v>0.25798798232106446</v>
      </c>
      <c r="AL151" s="238">
        <v>0.25783055639375985</v>
      </c>
      <c r="AM151" s="238">
        <v>0.26578741215846347</v>
      </c>
      <c r="AN151" s="238">
        <v>0.26440032715450401</v>
      </c>
      <c r="AO151" s="238">
        <v>0.26139877822764884</v>
      </c>
      <c r="AP151" s="238">
        <v>0.25906181534741457</v>
      </c>
      <c r="AQ151" s="238">
        <v>0.25573291707917783</v>
      </c>
    </row>
    <row r="152" spans="5:43" s="309" customFormat="1" ht="15" customHeight="1">
      <c r="E152" s="410" t="str">
        <f>Input!E152</f>
        <v>Allocation to non-load related capex - asset replacement</v>
      </c>
      <c r="G152" s="309" t="s">
        <v>49</v>
      </c>
      <c r="I152" s="149"/>
      <c r="AJ152" s="238">
        <v>6.4883441468235728E-2</v>
      </c>
      <c r="AK152" s="238">
        <v>8.8020133807166598E-2</v>
      </c>
      <c r="AL152" s="238">
        <v>6.9210970905443606E-2</v>
      </c>
      <c r="AM152" s="238">
        <v>2.6140850145239768E-2</v>
      </c>
      <c r="AN152" s="238">
        <v>3.2154550783042579E-2</v>
      </c>
      <c r="AO152" s="238">
        <v>4.6478964267442732E-2</v>
      </c>
      <c r="AP152" s="238">
        <v>5.7174896930420403E-2</v>
      </c>
      <c r="AQ152" s="238">
        <v>7.3304501962309268E-2</v>
      </c>
    </row>
    <row r="153" spans="5:43" s="309" customFormat="1" ht="15" customHeight="1">
      <c r="E153" s="410" t="str">
        <f>Input!E153</f>
        <v>Allocation to non-load related capex - other</v>
      </c>
      <c r="G153" s="309" t="s">
        <v>49</v>
      </c>
      <c r="I153" s="149"/>
      <c r="AJ153" s="238">
        <v>0</v>
      </c>
      <c r="AK153" s="238">
        <v>0</v>
      </c>
      <c r="AL153" s="238">
        <v>0</v>
      </c>
      <c r="AM153" s="238">
        <v>0</v>
      </c>
      <c r="AN153" s="238">
        <v>0</v>
      </c>
      <c r="AO153" s="238">
        <v>0</v>
      </c>
      <c r="AP153" s="238">
        <v>0</v>
      </c>
      <c r="AQ153" s="238">
        <v>0</v>
      </c>
    </row>
    <row r="154" spans="5:43" s="309" customFormat="1" ht="15" customHeight="1">
      <c r="E154" s="410" t="str">
        <f>Input!E154</f>
        <v>Allocation to faults</v>
      </c>
      <c r="G154" s="309" t="s">
        <v>49</v>
      </c>
      <c r="I154" s="149"/>
      <c r="AJ154" s="238">
        <v>0.15708386476104683</v>
      </c>
      <c r="AK154" s="238">
        <v>0.14720273132995343</v>
      </c>
      <c r="AL154" s="238">
        <v>0.15134827248857383</v>
      </c>
      <c r="AM154" s="238">
        <v>0.16631880618224304</v>
      </c>
      <c r="AN154" s="238">
        <v>0.16445951077978851</v>
      </c>
      <c r="AO154" s="238">
        <v>0.159724195356897</v>
      </c>
      <c r="AP154" s="238">
        <v>0.15621241732774949</v>
      </c>
      <c r="AQ154" s="238">
        <v>0.15094858528834329</v>
      </c>
    </row>
    <row r="155" spans="5:43" s="309" customFormat="1" ht="15" customHeight="1">
      <c r="E155" s="553" t="s">
        <v>994</v>
      </c>
      <c r="G155" s="309" t="s">
        <v>49</v>
      </c>
      <c r="I155" s="498"/>
      <c r="AJ155" s="238">
        <v>0</v>
      </c>
      <c r="AK155" s="238">
        <v>0</v>
      </c>
      <c r="AL155" s="238">
        <v>0</v>
      </c>
      <c r="AM155" s="238">
        <v>0</v>
      </c>
      <c r="AN155" s="238">
        <v>0</v>
      </c>
      <c r="AO155" s="238">
        <v>0</v>
      </c>
      <c r="AP155" s="238">
        <v>0</v>
      </c>
      <c r="AQ155" s="238">
        <v>0</v>
      </c>
    </row>
    <row r="156" spans="5:43" s="309" customFormat="1" ht="15" customHeight="1">
      <c r="E156" s="410" t="str">
        <f>Input!E156</f>
        <v>Allocation to 100% ‘revenue pool’ expenditure</v>
      </c>
      <c r="G156" s="309" t="s">
        <v>49</v>
      </c>
      <c r="I156" s="149"/>
      <c r="AH156" s="558"/>
      <c r="AJ156" s="238">
        <v>0.49808338698427379</v>
      </c>
      <c r="AK156" s="238">
        <v>0.49369417694404</v>
      </c>
      <c r="AL156" s="238">
        <v>0.50810030834783926</v>
      </c>
      <c r="AM156" s="238">
        <v>0.5276279640635273</v>
      </c>
      <c r="AN156" s="238">
        <v>0.52497215189926805</v>
      </c>
      <c r="AO156" s="238">
        <v>0.51861610576513706</v>
      </c>
      <c r="AP156" s="238">
        <v>0.51394957890688764</v>
      </c>
      <c r="AQ156" s="238">
        <v>0.50693834203338373</v>
      </c>
    </row>
    <row r="157" spans="5:43" s="309" customFormat="1" ht="15" customHeight="1">
      <c r="E157" s="410" t="str">
        <f>Input!E157</f>
        <v>Allocation to controllable opex</v>
      </c>
      <c r="G157" s="309" t="s">
        <v>49</v>
      </c>
      <c r="I157" s="149"/>
      <c r="AJ157" s="238">
        <v>1.3279997432487357E-2</v>
      </c>
      <c r="AK157" s="238">
        <v>1.3094975597775428E-2</v>
      </c>
      <c r="AL157" s="238">
        <v>1.3509891864383552E-2</v>
      </c>
      <c r="AM157" s="238">
        <v>1.4124967450526521E-2</v>
      </c>
      <c r="AN157" s="238">
        <v>1.401345938339682E-2</v>
      </c>
      <c r="AO157" s="238">
        <v>1.3781956382874327E-2</v>
      </c>
      <c r="AP157" s="238">
        <v>1.3601291487528019E-2</v>
      </c>
      <c r="AQ157" s="238">
        <v>1.3075653636785969E-2</v>
      </c>
    </row>
    <row r="159" spans="5:43" s="309" customFormat="1" ht="15" customHeight="1">
      <c r="E159" s="149" t="str">
        <f>Input!E159</f>
        <v>Allowed Expenditure - Load Related</v>
      </c>
      <c r="G159" s="309" t="s">
        <v>844</v>
      </c>
      <c r="I159" s="409"/>
      <c r="AJ159" s="221">
        <f>AJ25</f>
        <v>27.004944225494526</v>
      </c>
      <c r="AK159" s="221">
        <f t="shared" ref="AK159:AQ159" si="10">AK25</f>
        <v>35.56153439346658</v>
      </c>
      <c r="AL159" s="221">
        <f t="shared" si="10"/>
        <v>36.979247311328116</v>
      </c>
      <c r="AM159" s="221">
        <f t="shared" si="10"/>
        <v>27.410152531856969</v>
      </c>
      <c r="AN159" s="221">
        <f t="shared" si="10"/>
        <v>22.557307318170174</v>
      </c>
      <c r="AO159" s="221">
        <f t="shared" si="10"/>
        <v>22.496902555508203</v>
      </c>
      <c r="AP159" s="221">
        <f t="shared" si="10"/>
        <v>29.880221071090336</v>
      </c>
      <c r="AQ159" s="221">
        <f t="shared" si="10"/>
        <v>28.042831769747085</v>
      </c>
    </row>
    <row r="160" spans="5:43" s="309" customFormat="1" ht="15" customHeight="1">
      <c r="E160" s="410" t="str">
        <f>Input!E160</f>
        <v>Allocation to load related capex</v>
      </c>
      <c r="G160" s="309" t="s">
        <v>49</v>
      </c>
      <c r="I160" s="149"/>
      <c r="AJ160" s="238">
        <v>0.99018868930620585</v>
      </c>
      <c r="AK160" s="238">
        <v>0.99095218043315692</v>
      </c>
      <c r="AL160" s="238">
        <v>0.99136042543478353</v>
      </c>
      <c r="AM160" s="238">
        <v>0.99120779415626725</v>
      </c>
      <c r="AN160" s="238">
        <v>0.99107304036233612</v>
      </c>
      <c r="AO160" s="238">
        <v>0.99104220148349442</v>
      </c>
      <c r="AP160" s="238">
        <v>0.99120985027933839</v>
      </c>
      <c r="AQ160" s="238">
        <v>0.99115859247744553</v>
      </c>
    </row>
    <row r="161" spans="5:43" s="309" customFormat="1" ht="15" customHeight="1">
      <c r="E161" s="410" t="str">
        <f>Input!E161</f>
        <v>Allocation to non-load related capex - asset replacement</v>
      </c>
      <c r="G161" s="309" t="s">
        <v>49</v>
      </c>
      <c r="I161" s="149"/>
      <c r="AJ161" s="238">
        <v>0</v>
      </c>
      <c r="AK161" s="238">
        <v>0</v>
      </c>
      <c r="AL161" s="238">
        <v>0</v>
      </c>
      <c r="AM161" s="238">
        <v>0</v>
      </c>
      <c r="AN161" s="238">
        <v>0</v>
      </c>
      <c r="AO161" s="238">
        <v>0</v>
      </c>
      <c r="AP161" s="238">
        <v>0</v>
      </c>
      <c r="AQ161" s="238">
        <v>0</v>
      </c>
    </row>
    <row r="162" spans="5:43" s="309" customFormat="1" ht="15" customHeight="1">
      <c r="E162" s="410" t="str">
        <f>Input!E162</f>
        <v>Allocation to non-load related capex - other</v>
      </c>
      <c r="G162" s="309" t="s">
        <v>49</v>
      </c>
      <c r="I162" s="149"/>
      <c r="AJ162" s="238">
        <v>0</v>
      </c>
      <c r="AK162" s="238">
        <v>0</v>
      </c>
      <c r="AL162" s="238">
        <v>0</v>
      </c>
      <c r="AM162" s="238">
        <v>0</v>
      </c>
      <c r="AN162" s="238">
        <v>0</v>
      </c>
      <c r="AO162" s="238">
        <v>0</v>
      </c>
      <c r="AP162" s="238">
        <v>0</v>
      </c>
      <c r="AQ162" s="238">
        <v>0</v>
      </c>
    </row>
    <row r="163" spans="5:43" s="309" customFormat="1" ht="15" customHeight="1">
      <c r="E163" s="410" t="str">
        <f>Input!E163</f>
        <v>Allocation to faults</v>
      </c>
      <c r="G163" s="309" t="s">
        <v>49</v>
      </c>
      <c r="I163" s="149"/>
      <c r="AJ163" s="238">
        <v>0</v>
      </c>
      <c r="AK163" s="238">
        <v>0</v>
      </c>
      <c r="AL163" s="238">
        <v>0</v>
      </c>
      <c r="AM163" s="238">
        <v>0</v>
      </c>
      <c r="AN163" s="238">
        <v>0</v>
      </c>
      <c r="AO163" s="238">
        <v>0</v>
      </c>
      <c r="AP163" s="238">
        <v>0</v>
      </c>
      <c r="AQ163" s="238">
        <v>0</v>
      </c>
    </row>
    <row r="164" spans="5:43" s="309" customFormat="1" ht="15" customHeight="1">
      <c r="E164" s="553" t="s">
        <v>994</v>
      </c>
      <c r="G164" s="309" t="s">
        <v>49</v>
      </c>
      <c r="I164" s="498"/>
      <c r="AJ164" s="238">
        <v>0</v>
      </c>
      <c r="AK164" s="238">
        <v>0</v>
      </c>
      <c r="AL164" s="238">
        <v>0</v>
      </c>
      <c r="AM164" s="238">
        <v>0</v>
      </c>
      <c r="AN164" s="238">
        <v>0</v>
      </c>
      <c r="AO164" s="238">
        <v>0</v>
      </c>
      <c r="AP164" s="238">
        <v>0</v>
      </c>
      <c r="AQ164" s="238">
        <v>0</v>
      </c>
    </row>
    <row r="165" spans="5:43" s="309" customFormat="1" ht="15" customHeight="1">
      <c r="E165" s="410" t="str">
        <f>Input!E165</f>
        <v>Allocation to 100% ‘revenue pool’ expenditure</v>
      </c>
      <c r="G165" s="309" t="s">
        <v>49</v>
      </c>
      <c r="I165" s="149"/>
      <c r="AH165" s="558"/>
      <c r="AJ165" s="238">
        <v>9.8113106937941508E-3</v>
      </c>
      <c r="AK165" s="238">
        <v>9.047819566843085E-3</v>
      </c>
      <c r="AL165" s="238">
        <v>8.6395745652164679E-3</v>
      </c>
      <c r="AM165" s="238">
        <v>8.7922058437327477E-3</v>
      </c>
      <c r="AN165" s="238">
        <v>8.9269596376638782E-3</v>
      </c>
      <c r="AO165" s="238">
        <v>8.9577985165055773E-3</v>
      </c>
      <c r="AP165" s="238">
        <v>8.7901497206616108E-3</v>
      </c>
      <c r="AQ165" s="238">
        <v>8.8414075225544675E-3</v>
      </c>
    </row>
    <row r="166" spans="5:43" s="309" customFormat="1" ht="15" customHeight="1">
      <c r="E166" s="410" t="str">
        <f>Input!E166</f>
        <v>Allocation to controllable opex</v>
      </c>
      <c r="G166" s="309" t="s">
        <v>49</v>
      </c>
      <c r="I166" s="149"/>
      <c r="AJ166" s="238">
        <v>0</v>
      </c>
      <c r="AK166" s="238">
        <v>0</v>
      </c>
      <c r="AL166" s="238">
        <v>0</v>
      </c>
      <c r="AM166" s="238">
        <v>0</v>
      </c>
      <c r="AN166" s="238">
        <v>0</v>
      </c>
      <c r="AO166" s="238">
        <v>0</v>
      </c>
      <c r="AP166" s="238">
        <v>0</v>
      </c>
      <c r="AQ166" s="238">
        <v>0</v>
      </c>
    </row>
    <row r="167" spans="5:43" ht="15" customHeight="1">
      <c r="AH167" s="528"/>
      <c r="AJ167" s="528"/>
      <c r="AK167" s="528"/>
      <c r="AL167" s="528"/>
      <c r="AM167" s="528"/>
      <c r="AN167" s="528"/>
      <c r="AO167" s="528"/>
      <c r="AP167" s="528"/>
      <c r="AQ167" s="528"/>
    </row>
    <row r="168" spans="5:43" s="498" customFormat="1" ht="15" customHeight="1">
      <c r="E168" s="498" t="str">
        <f>Input!E168</f>
        <v>Allowed Expenditure - Rail Electrification</v>
      </c>
      <c r="G168" s="309" t="s">
        <v>844</v>
      </c>
      <c r="AH168" s="528"/>
      <c r="AJ168" s="221">
        <f>AJ26</f>
        <v>0</v>
      </c>
      <c r="AK168" s="221">
        <f t="shared" ref="AK168:AQ168" si="11">AK26</f>
        <v>0</v>
      </c>
      <c r="AL168" s="221">
        <f t="shared" si="11"/>
        <v>0</v>
      </c>
      <c r="AM168" s="221">
        <f t="shared" si="11"/>
        <v>0</v>
      </c>
      <c r="AN168" s="221">
        <f t="shared" si="11"/>
        <v>0</v>
      </c>
      <c r="AO168" s="221">
        <f t="shared" si="11"/>
        <v>0</v>
      </c>
      <c r="AP168" s="221">
        <f t="shared" si="11"/>
        <v>0</v>
      </c>
      <c r="AQ168" s="221">
        <f t="shared" si="11"/>
        <v>0</v>
      </c>
    </row>
    <row r="169" spans="5:43" s="498" customFormat="1" ht="15" customHeight="1">
      <c r="E169" s="410" t="str">
        <f>Input!E169</f>
        <v>Allocation to load related capex</v>
      </c>
      <c r="G169" s="309" t="s">
        <v>49</v>
      </c>
      <c r="AH169" s="528"/>
      <c r="AJ169" s="238">
        <v>0</v>
      </c>
      <c r="AK169" s="238">
        <v>0</v>
      </c>
      <c r="AL169" s="238">
        <v>0</v>
      </c>
      <c r="AM169" s="238">
        <v>0</v>
      </c>
      <c r="AN169" s="238">
        <v>0</v>
      </c>
      <c r="AO169" s="238">
        <v>0</v>
      </c>
      <c r="AP169" s="238">
        <v>0</v>
      </c>
      <c r="AQ169" s="238">
        <v>0</v>
      </c>
    </row>
    <row r="170" spans="5:43" s="498" customFormat="1" ht="15" customHeight="1">
      <c r="E170" s="410" t="str">
        <f>Input!E170</f>
        <v>Allocation to non-load related capex - asset replacement</v>
      </c>
      <c r="G170" s="309" t="s">
        <v>49</v>
      </c>
      <c r="AH170" s="528"/>
      <c r="AJ170" s="238">
        <v>0.99332988044453996</v>
      </c>
      <c r="AK170" s="238">
        <v>0.99332988044453996</v>
      </c>
      <c r="AL170" s="238">
        <v>0.99332988044453996</v>
      </c>
      <c r="AM170" s="238">
        <v>0.99332988044453985</v>
      </c>
      <c r="AN170" s="238">
        <v>0.99332988044453996</v>
      </c>
      <c r="AO170" s="238">
        <v>0.99332988044453985</v>
      </c>
      <c r="AP170" s="238">
        <v>0.99332988044453985</v>
      </c>
      <c r="AQ170" s="238">
        <v>0.99332988044453996</v>
      </c>
    </row>
    <row r="171" spans="5:43" s="498" customFormat="1" ht="15" customHeight="1">
      <c r="E171" s="410" t="str">
        <f>Input!E171</f>
        <v>Allocation to non-load related capex - other</v>
      </c>
      <c r="G171" s="309" t="s">
        <v>49</v>
      </c>
      <c r="AH171" s="528"/>
      <c r="AJ171" s="238">
        <v>0</v>
      </c>
      <c r="AK171" s="238">
        <v>0</v>
      </c>
      <c r="AL171" s="238">
        <v>0</v>
      </c>
      <c r="AM171" s="238">
        <v>0</v>
      </c>
      <c r="AN171" s="238">
        <v>0</v>
      </c>
      <c r="AO171" s="238">
        <v>0</v>
      </c>
      <c r="AP171" s="238">
        <v>0</v>
      </c>
      <c r="AQ171" s="238">
        <v>0</v>
      </c>
    </row>
    <row r="172" spans="5:43" s="498" customFormat="1" ht="15" customHeight="1">
      <c r="E172" s="410" t="str">
        <f>Input!E172</f>
        <v>Allocation to faults</v>
      </c>
      <c r="G172" s="309" t="s">
        <v>49</v>
      </c>
      <c r="AH172" s="528"/>
      <c r="AJ172" s="238">
        <v>0</v>
      </c>
      <c r="AK172" s="238">
        <v>0</v>
      </c>
      <c r="AL172" s="238">
        <v>0</v>
      </c>
      <c r="AM172" s="238">
        <v>0</v>
      </c>
      <c r="AN172" s="238">
        <v>0</v>
      </c>
      <c r="AO172" s="238">
        <v>0</v>
      </c>
      <c r="AP172" s="238">
        <v>0</v>
      </c>
      <c r="AQ172" s="238">
        <v>0</v>
      </c>
    </row>
    <row r="173" spans="5:43" s="498" customFormat="1" ht="15" customHeight="1">
      <c r="E173" s="553" t="s">
        <v>994</v>
      </c>
      <c r="G173" s="309" t="s">
        <v>49</v>
      </c>
      <c r="AH173" s="528"/>
      <c r="AJ173" s="238">
        <v>0</v>
      </c>
      <c r="AK173" s="238">
        <v>0</v>
      </c>
      <c r="AL173" s="238">
        <v>0</v>
      </c>
      <c r="AM173" s="238">
        <v>0</v>
      </c>
      <c r="AN173" s="238">
        <v>0</v>
      </c>
      <c r="AO173" s="238">
        <v>0</v>
      </c>
      <c r="AP173" s="238">
        <v>0</v>
      </c>
      <c r="AQ173" s="238">
        <v>0</v>
      </c>
    </row>
    <row r="174" spans="5:43" s="498" customFormat="1" ht="15" customHeight="1">
      <c r="E174" s="410" t="str">
        <f>Input!E174</f>
        <v>Allocation to 100% ‘revenue pool’ expenditure</v>
      </c>
      <c r="G174" s="309" t="s">
        <v>49</v>
      </c>
      <c r="AH174" s="528"/>
      <c r="AJ174" s="238">
        <v>6.6701195554600412E-3</v>
      </c>
      <c r="AK174" s="238">
        <v>6.6701195554600412E-3</v>
      </c>
      <c r="AL174" s="238">
        <v>6.6701195554600412E-3</v>
      </c>
      <c r="AM174" s="238">
        <v>6.6701195554601522E-3</v>
      </c>
      <c r="AN174" s="238">
        <v>6.6701195554600412E-3</v>
      </c>
      <c r="AO174" s="238">
        <v>6.6701195554601522E-3</v>
      </c>
      <c r="AP174" s="238">
        <v>6.6701195554601522E-3</v>
      </c>
      <c r="AQ174" s="238">
        <v>6.6701195554600412E-3</v>
      </c>
    </row>
    <row r="175" spans="5:43" s="498" customFormat="1" ht="15" customHeight="1">
      <c r="E175" s="410" t="str">
        <f>Input!E175</f>
        <v>Allocation to controllable opex</v>
      </c>
      <c r="G175" s="309" t="s">
        <v>49</v>
      </c>
      <c r="AH175" s="528"/>
      <c r="AJ175" s="238">
        <v>0</v>
      </c>
      <c r="AK175" s="238">
        <v>0</v>
      </c>
      <c r="AL175" s="238">
        <v>0</v>
      </c>
      <c r="AM175" s="238">
        <v>0</v>
      </c>
      <c r="AN175" s="238">
        <v>0</v>
      </c>
      <c r="AO175" s="238">
        <v>0</v>
      </c>
      <c r="AP175" s="238">
        <v>0</v>
      </c>
      <c r="AQ175" s="238">
        <v>0</v>
      </c>
    </row>
    <row r="176" spans="5:43" s="498" customFormat="1" ht="15" customHeight="1">
      <c r="AH176" s="528"/>
      <c r="AJ176" s="528"/>
      <c r="AK176" s="528"/>
      <c r="AL176" s="528"/>
      <c r="AM176" s="528"/>
      <c r="AN176" s="528"/>
      <c r="AO176" s="528"/>
      <c r="AP176" s="528"/>
      <c r="AQ176" s="528"/>
    </row>
    <row r="177" spans="5:43" s="309" customFormat="1" ht="15" customHeight="1">
      <c r="E177" s="149" t="str">
        <f>Input!E177</f>
        <v>Spare 1</v>
      </c>
      <c r="G177" s="309" t="s">
        <v>844</v>
      </c>
      <c r="I177" s="409"/>
      <c r="AJ177" s="221">
        <f>AJ27</f>
        <v>0</v>
      </c>
      <c r="AK177" s="221">
        <f>AK27</f>
        <v>0</v>
      </c>
      <c r="AL177" s="221">
        <f t="shared" ref="AL177:AQ177" si="12">AL27</f>
        <v>0</v>
      </c>
      <c r="AM177" s="221">
        <f t="shared" si="12"/>
        <v>0</v>
      </c>
      <c r="AN177" s="221">
        <f>AN27</f>
        <v>0</v>
      </c>
      <c r="AO177" s="221">
        <f t="shared" si="12"/>
        <v>0</v>
      </c>
      <c r="AP177" s="221">
        <f t="shared" si="12"/>
        <v>0</v>
      </c>
      <c r="AQ177" s="221">
        <f t="shared" si="12"/>
        <v>0</v>
      </c>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f t="shared" ref="AJ186:AQ186" si="13">AJ28</f>
        <v>0</v>
      </c>
      <c r="AK186" s="221">
        <f t="shared" si="13"/>
        <v>0</v>
      </c>
      <c r="AL186" s="221">
        <f t="shared" si="13"/>
        <v>0</v>
      </c>
      <c r="AM186" s="221">
        <f t="shared" si="13"/>
        <v>0</v>
      </c>
      <c r="AN186" s="221">
        <f t="shared" si="13"/>
        <v>0</v>
      </c>
      <c r="AO186" s="221">
        <f t="shared" si="13"/>
        <v>0</v>
      </c>
      <c r="AP186" s="221">
        <f t="shared" si="13"/>
        <v>0</v>
      </c>
      <c r="AQ186" s="221">
        <f t="shared" si="13"/>
        <v>0</v>
      </c>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f t="shared" ref="AJ195:AQ195" si="14">AJ29</f>
        <v>0</v>
      </c>
      <c r="AK195" s="221">
        <f t="shared" si="14"/>
        <v>0</v>
      </c>
      <c r="AL195" s="221">
        <f t="shared" si="14"/>
        <v>0</v>
      </c>
      <c r="AM195" s="221">
        <f t="shared" si="14"/>
        <v>0</v>
      </c>
      <c r="AN195" s="221">
        <f t="shared" si="14"/>
        <v>0</v>
      </c>
      <c r="AO195" s="221">
        <f t="shared" si="14"/>
        <v>0</v>
      </c>
      <c r="AP195" s="221">
        <f t="shared" si="14"/>
        <v>0</v>
      </c>
      <c r="AQ195" s="221">
        <f t="shared" si="14"/>
        <v>0</v>
      </c>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f>AJ30</f>
        <v>0</v>
      </c>
      <c r="AK204" s="221">
        <f t="shared" ref="AK204:AQ204" si="15">AK30</f>
        <v>0</v>
      </c>
      <c r="AL204" s="221">
        <f t="shared" si="15"/>
        <v>0</v>
      </c>
      <c r="AM204" s="221">
        <f t="shared" si="15"/>
        <v>0</v>
      </c>
      <c r="AN204" s="221">
        <f t="shared" si="15"/>
        <v>0</v>
      </c>
      <c r="AO204" s="221">
        <f t="shared" si="15"/>
        <v>0</v>
      </c>
      <c r="AP204" s="221">
        <f t="shared" si="15"/>
        <v>0</v>
      </c>
      <c r="AQ204" s="221">
        <f t="shared" si="15"/>
        <v>0</v>
      </c>
    </row>
    <row r="205" spans="5:43" s="309" customFormat="1" ht="15" customHeight="1">
      <c r="E205" s="410" t="str">
        <f>Input!E205</f>
        <v>Allocation to load related capex</v>
      </c>
      <c r="G205" s="309" t="s">
        <v>49</v>
      </c>
      <c r="I205" s="409"/>
      <c r="AJ205" s="238">
        <v>0.25</v>
      </c>
      <c r="AK205" s="238">
        <v>0.25</v>
      </c>
      <c r="AL205" s="238">
        <v>0.25</v>
      </c>
      <c r="AM205" s="238">
        <v>0.25</v>
      </c>
      <c r="AN205" s="238">
        <v>0.25</v>
      </c>
      <c r="AO205" s="238">
        <v>0.25</v>
      </c>
      <c r="AP205" s="238">
        <v>0.25</v>
      </c>
      <c r="AQ205" s="238">
        <v>0.25</v>
      </c>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v>0.75</v>
      </c>
      <c r="AK207" s="238">
        <v>0.75</v>
      </c>
      <c r="AL207" s="238">
        <v>0.75</v>
      </c>
      <c r="AM207" s="238">
        <v>0.75</v>
      </c>
      <c r="AN207" s="238">
        <v>0.75</v>
      </c>
      <c r="AO207" s="238">
        <v>0.75</v>
      </c>
      <c r="AP207" s="238">
        <v>0.75</v>
      </c>
      <c r="AQ207" s="238">
        <v>0.75</v>
      </c>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f>(AJ$105*AJ106)+(AJ$114*AJ115)+(AJ$123*AJ124)+(AJ$132*AJ133)+(AJ$141*AJ142)+(AJ$150*AJ151)+(AJ$159*AJ160)+(AJ$168*AJ169)+(AJ$177*AJ178)+(AJ$186*AJ187)+(AJ$195*AJ196)+(AJ$204*AJ205)</f>
        <v>26.739990327429616</v>
      </c>
      <c r="AK213" s="152">
        <f t="shared" ref="AK213:AQ213" si="16">(AK$105*AK106)+(AK$114*AK115)+(AK$123*AK124)+(AK$132*AK133)+(AK$141*AK142)+(AK$150*AK151)+(AK$159*AK160)+(AK$168*AK169)+(AK$177*AK178)+(AK$186*AK187)+(AK$195*AK196)+(AK$204*AK205)</f>
        <v>35.239780046754412</v>
      </c>
      <c r="AL213" s="152">
        <f t="shared" si="16"/>
        <v>36.659762346816315</v>
      </c>
      <c r="AM213" s="152">
        <f t="shared" si="16"/>
        <v>27.169156828588772</v>
      </c>
      <c r="AN213" s="152">
        <f t="shared" si="16"/>
        <v>22.355939146206488</v>
      </c>
      <c r="AO213" s="152">
        <f t="shared" si="16"/>
        <v>22.2953798351705</v>
      </c>
      <c r="AP213" s="152">
        <f t="shared" si="16"/>
        <v>29.617569454188985</v>
      </c>
      <c r="AQ213" s="152">
        <f t="shared" si="16"/>
        <v>27.794893665984315</v>
      </c>
    </row>
    <row r="214" spans="4:44" s="309" customFormat="1" ht="15" customHeight="1">
      <c r="E214" s="163" t="str">
        <f>Input!E214</f>
        <v>Variant allowed non-load related capex - asset replacement</v>
      </c>
      <c r="G214" s="309" t="s">
        <v>844</v>
      </c>
      <c r="I214" s="409"/>
      <c r="AE214" s="149"/>
      <c r="AJ214" s="152">
        <f t="shared" ref="AJ214:AQ214" si="17">(AJ$105*AJ107)+(AJ$114*AJ116)+(AJ$123*AJ125)+(AJ$132*AJ134)+(AJ$141*AJ143)+(AJ$150*AJ152)+(AJ$159*AJ161)+(AJ$168*AJ170)+(AJ$177*AJ179)+(AJ$186*AJ188)+(AJ$195*AJ197)+(AJ$204*AJ206)</f>
        <v>7.6792813280547207</v>
      </c>
      <c r="AK214" s="152">
        <f t="shared" si="17"/>
        <v>6.3259077099983987</v>
      </c>
      <c r="AL214" s="152">
        <f t="shared" si="17"/>
        <v>6.309242524501248</v>
      </c>
      <c r="AM214" s="152">
        <f t="shared" si="17"/>
        <v>8.4940001528039115</v>
      </c>
      <c r="AN214" s="152">
        <f t="shared" si="17"/>
        <v>8.0580947246418173</v>
      </c>
      <c r="AO214" s="152">
        <f t="shared" si="17"/>
        <v>4.0198004076170433</v>
      </c>
      <c r="AP214" s="152">
        <f t="shared" si="17"/>
        <v>0</v>
      </c>
      <c r="AQ214" s="152">
        <f t="shared" si="17"/>
        <v>0</v>
      </c>
    </row>
    <row r="215" spans="4:44" s="309" customFormat="1" ht="15" customHeight="1">
      <c r="E215" s="163" t="str">
        <f>Input!E215</f>
        <v>Variant allowed non-load related capex - other</v>
      </c>
      <c r="G215" s="309" t="s">
        <v>844</v>
      </c>
      <c r="I215" s="409"/>
      <c r="AJ215" s="152">
        <f t="shared" ref="AJ215:AQ215" si="18">(AJ$105*AJ108)+(AJ$114*AJ117)+(AJ$123*AJ126)+(AJ$132*AJ135)+(AJ$141*AJ144)+(AJ$150*AJ153)+(AJ$159*AJ162)+(AJ$168*AJ171)+(AJ$177*AJ180)+(AJ$186*AJ189)+(AJ$195*AJ198)+(AJ$204*AJ207)</f>
        <v>0</v>
      </c>
      <c r="AK215" s="152">
        <f t="shared" si="18"/>
        <v>0</v>
      </c>
      <c r="AL215" s="152">
        <f t="shared" si="18"/>
        <v>0</v>
      </c>
      <c r="AM215" s="152">
        <f t="shared" si="18"/>
        <v>0</v>
      </c>
      <c r="AN215" s="152">
        <f t="shared" si="18"/>
        <v>0</v>
      </c>
      <c r="AO215" s="152">
        <f t="shared" si="18"/>
        <v>0</v>
      </c>
      <c r="AP215" s="152">
        <f t="shared" si="18"/>
        <v>0</v>
      </c>
      <c r="AQ215" s="152">
        <f t="shared" si="18"/>
        <v>0</v>
      </c>
    </row>
    <row r="216" spans="4:44" s="309" customFormat="1" ht="15" customHeight="1">
      <c r="E216" s="163" t="str">
        <f>Input!E216</f>
        <v>Variant allowed faults</v>
      </c>
      <c r="G216" s="309" t="s">
        <v>844</v>
      </c>
      <c r="I216" s="409"/>
      <c r="AJ216" s="152">
        <f t="shared" ref="AJ216:AQ216" si="19">(AJ$105*AJ109)+(AJ$114*AJ118)+(AJ$123*AJ127)+(AJ$132*AJ136)+(AJ$141*AJ145)+(AJ$150*AJ154)+(AJ$159*AJ163)+(AJ$168*AJ172)+(AJ$177*AJ181)+(AJ$186*AJ190)+(AJ$195*AJ199)+(AJ$204*AJ208)</f>
        <v>0</v>
      </c>
      <c r="AK216" s="152">
        <f t="shared" si="19"/>
        <v>0</v>
      </c>
      <c r="AL216" s="152">
        <f t="shared" si="19"/>
        <v>0</v>
      </c>
      <c r="AM216" s="152">
        <f t="shared" si="19"/>
        <v>0</v>
      </c>
      <c r="AN216" s="152">
        <f t="shared" si="19"/>
        <v>0</v>
      </c>
      <c r="AO216" s="152">
        <f t="shared" si="19"/>
        <v>0</v>
      </c>
      <c r="AP216" s="152">
        <f t="shared" si="19"/>
        <v>0</v>
      </c>
      <c r="AQ216" s="152">
        <f t="shared" si="19"/>
        <v>0</v>
      </c>
    </row>
    <row r="217" spans="4:44" s="309" customFormat="1" ht="15" customHeight="1">
      <c r="E217" s="551" t="s">
        <v>995</v>
      </c>
      <c r="G217" s="309" t="s">
        <v>844</v>
      </c>
      <c r="I217" s="409"/>
      <c r="AJ217" s="152">
        <f t="shared" ref="AJ217:AQ217" si="20">(AJ$105*AJ110)+(AJ$114*AJ119)+(AJ$123*AJ128)+(AJ$132*AJ137)+(AJ$141*AJ146)+(AJ$150*AJ155)+(AJ$159*AJ164)+(AJ$168*AJ173)+(AJ$177*AJ182)+(AJ$186*AJ191)+(AJ$195*AJ200)+(AJ$204*AJ209)</f>
        <v>0</v>
      </c>
      <c r="AK217" s="152">
        <f t="shared" si="20"/>
        <v>0</v>
      </c>
      <c r="AL217" s="152">
        <f t="shared" si="20"/>
        <v>0</v>
      </c>
      <c r="AM217" s="152">
        <f t="shared" si="20"/>
        <v>0</v>
      </c>
      <c r="AN217" s="152">
        <f t="shared" si="20"/>
        <v>0</v>
      </c>
      <c r="AO217" s="152">
        <f t="shared" si="20"/>
        <v>0</v>
      </c>
      <c r="AP217" s="152">
        <f t="shared" si="20"/>
        <v>0</v>
      </c>
      <c r="AQ217" s="152">
        <f t="shared" si="20"/>
        <v>0</v>
      </c>
    </row>
    <row r="218" spans="4:44" s="309" customFormat="1" ht="15" customHeight="1">
      <c r="E218" s="163" t="str">
        <f>Input!E218</f>
        <v>Variant allowed 100% ‘revenue pool’ expenditure</v>
      </c>
      <c r="G218" s="309" t="s">
        <v>844</v>
      </c>
      <c r="I218" s="409"/>
      <c r="AF218" s="559"/>
      <c r="AJ218" s="152">
        <f t="shared" ref="AJ218:AQ218" si="21">(AJ$105*AJ111)+(AJ$114*AJ120)+(AJ$123*AJ129)+(AJ$132*AJ138)+(AJ$141*AJ147)+(AJ$150*AJ156)+(AJ$159*AJ165)+(AJ$168*AJ174)+(AJ$177*AJ183)+(AJ$186*AJ192)+(AJ$195*AJ201)+(AJ$204*AJ210)</f>
        <v>0.44620226105830418</v>
      </c>
      <c r="AK218" s="152">
        <f t="shared" si="21"/>
        <v>0.60934802982926306</v>
      </c>
      <c r="AL218" s="152">
        <f t="shared" si="21"/>
        <v>0.67830812003960794</v>
      </c>
      <c r="AM218" s="152">
        <f t="shared" si="21"/>
        <v>0.62920218544924766</v>
      </c>
      <c r="AN218" s="152">
        <f t="shared" si="21"/>
        <v>0.58290213948117553</v>
      </c>
      <c r="AO218" s="152">
        <f t="shared" si="21"/>
        <v>0.47771846732320949</v>
      </c>
      <c r="AP218" s="152">
        <f t="shared" si="21"/>
        <v>0.26265161690135191</v>
      </c>
      <c r="AQ218" s="152">
        <f t="shared" si="21"/>
        <v>0.24793810376277128</v>
      </c>
    </row>
    <row r="219" spans="4:44" s="309" customFormat="1" ht="15" customHeight="1">
      <c r="E219" s="163" t="str">
        <f>Input!E219</f>
        <v>Variant allowed controllable opex</v>
      </c>
      <c r="G219" s="309" t="s">
        <v>844</v>
      </c>
      <c r="I219" s="409"/>
      <c r="AJ219" s="152">
        <f t="shared" ref="AJ219:AQ219" si="22">(AJ$105*AJ112)+(AJ$114*AJ121)+(AJ$123*AJ130)+(AJ$132*AJ139)+(AJ$141*AJ148)+(AJ$150*AJ157)+(AJ$159*AJ166)+(AJ$168*AJ175)+(AJ$177*AJ184)+(AJ$186*AJ193)+(AJ$195*AJ202)+(AJ$204*AJ211)</f>
        <v>1.0701559512792098</v>
      </c>
      <c r="AK219" s="152">
        <f t="shared" si="22"/>
        <v>1.8153844489968267</v>
      </c>
      <c r="AL219" s="152">
        <f t="shared" si="22"/>
        <v>2.3536368604706035</v>
      </c>
      <c r="AM219" s="152">
        <f t="shared" si="22"/>
        <v>2.6049991431566615</v>
      </c>
      <c r="AN219" s="152">
        <f t="shared" si="22"/>
        <v>2.6094499520126102</v>
      </c>
      <c r="AO219" s="152">
        <f t="shared" si="22"/>
        <v>1.9198263722300151</v>
      </c>
      <c r="AP219" s="152">
        <f t="shared" si="22"/>
        <v>0</v>
      </c>
      <c r="AQ219" s="152">
        <f t="shared" si="22"/>
        <v>0</v>
      </c>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f t="shared" ref="AJ223:AQ225" si="23">AJ12</f>
        <v>0</v>
      </c>
      <c r="AK223" s="221">
        <f t="shared" si="23"/>
        <v>0</v>
      </c>
      <c r="AL223" s="221">
        <f t="shared" si="23"/>
        <v>0</v>
      </c>
      <c r="AM223" s="221">
        <f t="shared" si="23"/>
        <v>0</v>
      </c>
      <c r="AN223" s="221">
        <f t="shared" si="23"/>
        <v>0</v>
      </c>
      <c r="AO223" s="221">
        <f t="shared" si="23"/>
        <v>0</v>
      </c>
      <c r="AP223" s="221">
        <f t="shared" si="23"/>
        <v>0</v>
      </c>
      <c r="AQ223" s="221">
        <f t="shared" si="23"/>
        <v>0</v>
      </c>
      <c r="AR223" s="369"/>
    </row>
    <row r="224" spans="4:44" s="163" customFormat="1" ht="15" customHeight="1">
      <c r="E224" s="56" t="str">
        <f>Input!E224</f>
        <v>Actual non-load related capex - asset replacement</v>
      </c>
      <c r="G224" s="309" t="s">
        <v>844</v>
      </c>
      <c r="AJ224" s="221">
        <f t="shared" si="23"/>
        <v>0</v>
      </c>
      <c r="AK224" s="221">
        <f t="shared" si="23"/>
        <v>0</v>
      </c>
      <c r="AL224" s="221">
        <f t="shared" si="23"/>
        <v>0</v>
      </c>
      <c r="AM224" s="221">
        <f t="shared" si="23"/>
        <v>0</v>
      </c>
      <c r="AN224" s="221">
        <f t="shared" si="23"/>
        <v>0</v>
      </c>
      <c r="AO224" s="221">
        <f t="shared" si="23"/>
        <v>0</v>
      </c>
      <c r="AP224" s="221">
        <f t="shared" si="23"/>
        <v>0</v>
      </c>
      <c r="AQ224" s="221">
        <f t="shared" si="23"/>
        <v>0</v>
      </c>
      <c r="AR224" s="369"/>
    </row>
    <row r="225" spans="2:44" s="163" customFormat="1" ht="15" customHeight="1">
      <c r="E225" s="309" t="str">
        <f>Input!E225</f>
        <v>Actual non-load related capex - other</v>
      </c>
      <c r="G225" s="309" t="s">
        <v>844</v>
      </c>
      <c r="AJ225" s="221">
        <f t="shared" si="23"/>
        <v>0</v>
      </c>
      <c r="AK225" s="221">
        <f t="shared" si="23"/>
        <v>0</v>
      </c>
      <c r="AL225" s="221">
        <f t="shared" si="23"/>
        <v>0</v>
      </c>
      <c r="AM225" s="221">
        <f t="shared" si="23"/>
        <v>0</v>
      </c>
      <c r="AN225" s="221">
        <f t="shared" si="23"/>
        <v>0</v>
      </c>
      <c r="AO225" s="221">
        <f t="shared" si="23"/>
        <v>0</v>
      </c>
      <c r="AP225" s="221">
        <f t="shared" si="23"/>
        <v>0</v>
      </c>
      <c r="AQ225" s="221">
        <f t="shared" si="23"/>
        <v>0</v>
      </c>
      <c r="AR225" s="369"/>
    </row>
    <row r="226" spans="2:44" s="163" customFormat="1" ht="15" customHeight="1">
      <c r="E226" s="309" t="str">
        <f>Input!E226</f>
        <v>Actual faults</v>
      </c>
      <c r="G226" s="309" t="s">
        <v>844</v>
      </c>
      <c r="AJ226" s="221">
        <f>AJ15</f>
        <v>0</v>
      </c>
      <c r="AK226" s="221">
        <f t="shared" ref="AK226:AQ226" si="24">AK15</f>
        <v>0</v>
      </c>
      <c r="AL226" s="221">
        <f t="shared" si="24"/>
        <v>0</v>
      </c>
      <c r="AM226" s="221">
        <f t="shared" si="24"/>
        <v>0</v>
      </c>
      <c r="AN226" s="221">
        <f t="shared" si="24"/>
        <v>0</v>
      </c>
      <c r="AO226" s="221">
        <f t="shared" si="24"/>
        <v>0</v>
      </c>
      <c r="AP226" s="221">
        <f t="shared" si="24"/>
        <v>0</v>
      </c>
      <c r="AQ226" s="221">
        <f t="shared" si="24"/>
        <v>0</v>
      </c>
      <c r="AR226" s="369"/>
    </row>
    <row r="227" spans="2:44" s="163" customFormat="1" ht="15" customHeight="1">
      <c r="E227" s="554" t="s">
        <v>996</v>
      </c>
      <c r="G227" s="309"/>
      <c r="AJ227" s="221">
        <f>AJ16</f>
        <v>0</v>
      </c>
      <c r="AK227" s="221">
        <f t="shared" ref="AK227:AQ227" si="25">AK16</f>
        <v>0</v>
      </c>
      <c r="AL227" s="221">
        <f t="shared" si="25"/>
        <v>0</v>
      </c>
      <c r="AM227" s="221">
        <f t="shared" si="25"/>
        <v>0</v>
      </c>
      <c r="AN227" s="221">
        <f t="shared" si="25"/>
        <v>0</v>
      </c>
      <c r="AO227" s="221">
        <f t="shared" si="25"/>
        <v>0</v>
      </c>
      <c r="AP227" s="221">
        <f t="shared" si="25"/>
        <v>0</v>
      </c>
      <c r="AQ227" s="221">
        <f t="shared" si="25"/>
        <v>0</v>
      </c>
      <c r="AR227" s="369"/>
    </row>
    <row r="228" spans="2:44" s="163" customFormat="1" ht="15" customHeight="1">
      <c r="E228" s="309" t="str">
        <f>Input!E228</f>
        <v>Actual 100% ‘revenue pool’ expenditure</v>
      </c>
      <c r="G228" s="309" t="s">
        <v>844</v>
      </c>
      <c r="AJ228" s="221">
        <f t="shared" ref="AJ228:AQ228" si="26">AJ17</f>
        <v>0</v>
      </c>
      <c r="AK228" s="221">
        <f t="shared" si="26"/>
        <v>0</v>
      </c>
      <c r="AL228" s="221">
        <f t="shared" si="26"/>
        <v>0</v>
      </c>
      <c r="AM228" s="221">
        <f t="shared" si="26"/>
        <v>0</v>
      </c>
      <c r="AN228" s="221">
        <f t="shared" si="26"/>
        <v>0</v>
      </c>
      <c r="AO228" s="221">
        <f t="shared" si="26"/>
        <v>0</v>
      </c>
      <c r="AP228" s="221">
        <f t="shared" si="26"/>
        <v>0</v>
      </c>
      <c r="AQ228" s="221">
        <f t="shared" si="26"/>
        <v>0</v>
      </c>
      <c r="AR228" s="369"/>
    </row>
    <row r="229" spans="2:44" s="163" customFormat="1" ht="15" customHeight="1">
      <c r="E229" s="411" t="str">
        <f>Input!E229</f>
        <v>Actual controllable opex</v>
      </c>
      <c r="G229" s="309" t="s">
        <v>844</v>
      </c>
      <c r="AJ229" s="221">
        <f t="shared" ref="AJ229:AQ229" si="27">AJ18</f>
        <v>0</v>
      </c>
      <c r="AK229" s="221">
        <f t="shared" si="27"/>
        <v>0</v>
      </c>
      <c r="AL229" s="221">
        <f t="shared" si="27"/>
        <v>0</v>
      </c>
      <c r="AM229" s="221">
        <f t="shared" si="27"/>
        <v>0</v>
      </c>
      <c r="AN229" s="221">
        <f t="shared" si="27"/>
        <v>0</v>
      </c>
      <c r="AO229" s="221">
        <f t="shared" si="27"/>
        <v>0</v>
      </c>
      <c r="AP229" s="221">
        <f t="shared" si="27"/>
        <v>0</v>
      </c>
      <c r="AQ229" s="221">
        <f t="shared" si="27"/>
        <v>0</v>
      </c>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v>20.343943550905053</v>
      </c>
      <c r="AK233" s="236">
        <v>19.493943550905051</v>
      </c>
      <c r="AL233" s="236">
        <v>19.827276884238387</v>
      </c>
      <c r="AM233" s="236">
        <v>20.21061021757172</v>
      </c>
      <c r="AN233" s="236">
        <v>19.643943550905053</v>
      </c>
      <c r="AO233" s="236">
        <v>20.310610217571718</v>
      </c>
      <c r="AP233" s="236">
        <v>18.61816410678275</v>
      </c>
      <c r="AQ233" s="236">
        <v>18.61816410678275</v>
      </c>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v>13.26</v>
      </c>
      <c r="AK234" s="236">
        <v>14.64</v>
      </c>
      <c r="AL234" s="236">
        <v>16</v>
      </c>
      <c r="AM234" s="236">
        <v>15.95</v>
      </c>
      <c r="AN234" s="236">
        <v>16.39</v>
      </c>
      <c r="AO234" s="236">
        <v>16.690000000000001</v>
      </c>
      <c r="AP234" s="236">
        <v>16.920000000000002</v>
      </c>
      <c r="AQ234" s="236">
        <v>17.13</v>
      </c>
    </row>
    <row r="235" spans="2:44" ht="15" customHeight="1">
      <c r="E235" s="19" t="s">
        <v>108</v>
      </c>
      <c r="G235" s="19" t="s">
        <v>844</v>
      </c>
      <c r="AJ235" s="167">
        <f>SUM(AJ233:AJ234)</f>
        <v>33.603943550905051</v>
      </c>
      <c r="AK235" s="167">
        <f t="shared" ref="AK235:AQ235" si="28">SUM(AK233:AK234)</f>
        <v>34.133943550905052</v>
      </c>
      <c r="AL235" s="167">
        <f t="shared" si="28"/>
        <v>35.827276884238387</v>
      </c>
      <c r="AM235" s="167">
        <f t="shared" si="28"/>
        <v>36.160610217571715</v>
      </c>
      <c r="AN235" s="167">
        <f t="shared" si="28"/>
        <v>36.03394355090505</v>
      </c>
      <c r="AO235" s="167">
        <f t="shared" si="28"/>
        <v>37.000610217571719</v>
      </c>
      <c r="AP235" s="167">
        <f t="shared" si="28"/>
        <v>35.538164106782752</v>
      </c>
      <c r="AQ235" s="167">
        <f t="shared" si="28"/>
        <v>35.748164106782752</v>
      </c>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f t="shared" ref="AJ239:AQ239" si="29">AJ31</f>
        <v>31.195491306318768</v>
      </c>
      <c r="AK239" s="221">
        <f t="shared" si="29"/>
        <v>31.195491306318768</v>
      </c>
      <c r="AL239" s="221">
        <f t="shared" si="29"/>
        <v>31.195491306318768</v>
      </c>
      <c r="AM239" s="221">
        <f t="shared" si="29"/>
        <v>31.195491306318768</v>
      </c>
      <c r="AN239" s="221">
        <f t="shared" si="29"/>
        <v>31.195491306318768</v>
      </c>
      <c r="AO239" s="221">
        <f t="shared" si="29"/>
        <v>31.195491306318768</v>
      </c>
      <c r="AP239" s="221">
        <f t="shared" si="29"/>
        <v>31.195491306318768</v>
      </c>
      <c r="AQ239" s="221">
        <f t="shared" si="29"/>
        <v>31.195491306318768</v>
      </c>
      <c r="AR239" s="157"/>
    </row>
    <row r="241" spans="5:44"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4" ht="15" customHeight="1">
      <c r="E243" s="149" t="str">
        <f>Input!E243</f>
        <v>Other legacy adjustments' Revenue adjustment from previous controls (Base)</v>
      </c>
      <c r="G243" s="19" t="s">
        <v>844</v>
      </c>
      <c r="AJ243" s="227">
        <v>0.50448923190934636</v>
      </c>
      <c r="AK243" s="227">
        <v>0.52812455242429923</v>
      </c>
      <c r="AL243" s="227">
        <v>0.55286718770537768</v>
      </c>
      <c r="AM243" s="227">
        <v>0.57876901544937465</v>
      </c>
      <c r="AN243" s="227">
        <v>0.6058843438231778</v>
      </c>
      <c r="AO243" s="227">
        <v>0.63427002533129384</v>
      </c>
      <c r="AP243" s="227">
        <v>0.66398557601806485</v>
      </c>
      <c r="AQ243" s="227">
        <v>0.69509330025451121</v>
      </c>
      <c r="AR243" s="149">
        <v>0</v>
      </c>
    </row>
    <row r="244" spans="5:44" ht="15" customHeight="1">
      <c r="E244" s="149" t="str">
        <f>Input!E244</f>
        <v xml:space="preserve">Other legacy adjustments' price control allowed revenue adjustment                                                                                                            </v>
      </c>
      <c r="G244" s="19" t="s">
        <v>844</v>
      </c>
      <c r="AJ244" s="412">
        <f t="shared" ref="AJ244:AQ244" si="30">$AJ$32/8*(1+AJ51)^ROUND((AJ7-$AJ7)/365,1)</f>
        <v>0</v>
      </c>
      <c r="AK244" s="412">
        <f t="shared" si="30"/>
        <v>0</v>
      </c>
      <c r="AL244" s="412">
        <f t="shared" si="30"/>
        <v>0</v>
      </c>
      <c r="AM244" s="412">
        <f t="shared" si="30"/>
        <v>0</v>
      </c>
      <c r="AN244" s="412">
        <f t="shared" si="30"/>
        <v>0</v>
      </c>
      <c r="AO244" s="412">
        <f t="shared" si="30"/>
        <v>0</v>
      </c>
      <c r="AP244" s="412">
        <f t="shared" si="30"/>
        <v>0</v>
      </c>
      <c r="AQ244" s="412">
        <f t="shared" si="30"/>
        <v>0</v>
      </c>
    </row>
    <row r="245" spans="5:44"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f>AJ243+AJ244</f>
        <v>0.50448923190934636</v>
      </c>
      <c r="AK245" s="167">
        <f t="shared" ref="AK245:AQ245" si="31">AK243+AK244</f>
        <v>0.52812455242429923</v>
      </c>
      <c r="AL245" s="167">
        <f t="shared" si="31"/>
        <v>0.55286718770537768</v>
      </c>
      <c r="AM245" s="167">
        <f t="shared" si="31"/>
        <v>0.57876901544937465</v>
      </c>
      <c r="AN245" s="167">
        <f t="shared" si="31"/>
        <v>0.6058843438231778</v>
      </c>
      <c r="AO245" s="167">
        <f t="shared" si="31"/>
        <v>0.63427002533129384</v>
      </c>
      <c r="AP245" s="167">
        <f t="shared" si="31"/>
        <v>0.66398557601806485</v>
      </c>
      <c r="AQ245" s="167">
        <f t="shared" si="31"/>
        <v>0.69509330025451121</v>
      </c>
    </row>
    <row r="247" spans="5:44" ht="15" customHeight="1">
      <c r="E247" s="149" t="str">
        <f>Input!E247</f>
        <v>RAV Rolling Incentive legacy adjustments' price control allowed revenue (Base)</v>
      </c>
      <c r="G247" s="498" t="str">
        <f>Input!G247</f>
        <v>£m 12/13 prices</v>
      </c>
      <c r="AJ247" s="227">
        <v>1.4981411486086742</v>
      </c>
      <c r="AK247" s="227">
        <v>1.5683290614209906</v>
      </c>
      <c r="AL247" s="227">
        <v>1.6418052779485641</v>
      </c>
      <c r="AM247" s="227">
        <v>1.7187238552204542</v>
      </c>
      <c r="AN247" s="227">
        <v>1.7992460678375326</v>
      </c>
      <c r="AO247" s="227">
        <v>1.8835407461157214</v>
      </c>
      <c r="AP247" s="227">
        <v>1.9717846300712427</v>
      </c>
      <c r="AQ247" s="227">
        <v>2.0641627399900804</v>
      </c>
    </row>
    <row r="248" spans="5:44" ht="15" customHeight="1">
      <c r="E248" s="149" t="str">
        <f>Input!E248</f>
        <v>RAV Rolling Incentive legacy adjustments' price control allowed revenue adjustment</v>
      </c>
      <c r="G248" s="498" t="str">
        <f>Input!G248</f>
        <v>£m 12/13 prices</v>
      </c>
      <c r="AJ248" s="412">
        <f t="shared" ref="AJ248:AQ248" si="32">$AJ$34/8*(1+AJ51)^ROUND((AJ7-$AJ7)/365,1)</f>
        <v>0</v>
      </c>
      <c r="AK248" s="412">
        <f t="shared" si="32"/>
        <v>0</v>
      </c>
      <c r="AL248" s="412">
        <f t="shared" si="32"/>
        <v>0</v>
      </c>
      <c r="AM248" s="412">
        <f t="shared" si="32"/>
        <v>0</v>
      </c>
      <c r="AN248" s="412">
        <f t="shared" si="32"/>
        <v>0</v>
      </c>
      <c r="AO248" s="412">
        <f t="shared" si="32"/>
        <v>0</v>
      </c>
      <c r="AP248" s="412">
        <f t="shared" si="32"/>
        <v>0</v>
      </c>
      <c r="AQ248" s="412">
        <f t="shared" si="32"/>
        <v>0</v>
      </c>
    </row>
    <row r="249" spans="5:44" ht="15" customHeight="1">
      <c r="E249" s="149" t="str">
        <f>Input!E249</f>
        <v>RAV Rolling Incentive legacy adjustments' price control allowed revenue</v>
      </c>
      <c r="F249" s="19"/>
      <c r="G249" s="498" t="str">
        <f>Input!G249</f>
        <v>£m 12/13 prices</v>
      </c>
      <c r="AJ249" s="167">
        <f>AJ247+AJ248</f>
        <v>1.4981411486086742</v>
      </c>
      <c r="AK249" s="167">
        <f t="shared" ref="AK249:AQ249" si="33">AK247+AK248</f>
        <v>1.5683290614209906</v>
      </c>
      <c r="AL249" s="167">
        <f t="shared" si="33"/>
        <v>1.6418052779485641</v>
      </c>
      <c r="AM249" s="167">
        <f t="shared" si="33"/>
        <v>1.7187238552204542</v>
      </c>
      <c r="AN249" s="167">
        <f t="shared" si="33"/>
        <v>1.7992460678375326</v>
      </c>
      <c r="AO249" s="167">
        <f t="shared" si="33"/>
        <v>1.8835407461157214</v>
      </c>
      <c r="AP249" s="167">
        <f t="shared" si="33"/>
        <v>1.9717846300712427</v>
      </c>
      <c r="AQ249" s="167">
        <f t="shared" si="33"/>
        <v>2.0641627399900804</v>
      </c>
    </row>
    <row r="250" spans="5:44" s="498" customFormat="1" ht="15" customHeight="1">
      <c r="F250" s="19"/>
      <c r="G250" s="19"/>
      <c r="AJ250" s="157"/>
      <c r="AK250" s="157"/>
      <c r="AL250" s="157"/>
      <c r="AM250" s="157"/>
      <c r="AN250" s="157"/>
      <c r="AO250" s="157"/>
      <c r="AP250" s="157"/>
      <c r="AQ250" s="157"/>
    </row>
    <row r="251" spans="5:44" ht="15" customHeight="1">
      <c r="E251" s="149" t="str">
        <f>Input!E251</f>
        <v>Legacy Losses Incentive</v>
      </c>
      <c r="G251" s="19" t="s">
        <v>844</v>
      </c>
      <c r="AJ251" s="236"/>
      <c r="AK251" s="236"/>
      <c r="AL251" s="236"/>
      <c r="AM251" s="236"/>
      <c r="AN251" s="236"/>
      <c r="AO251" s="236"/>
      <c r="AP251" s="236"/>
      <c r="AQ251" s="236"/>
    </row>
    <row r="253" spans="5:44"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v>0.18806282000000002</v>
      </c>
      <c r="AF253" s="227">
        <v>0.10960936392355741</v>
      </c>
      <c r="AG253" s="227">
        <v>4.003000000000001E-2</v>
      </c>
      <c r="AH253" s="227">
        <v>0.05</v>
      </c>
      <c r="AI253" s="227">
        <v>0.05</v>
      </c>
      <c r="AJ253" s="227">
        <v>0</v>
      </c>
      <c r="AK253" s="227">
        <v>0</v>
      </c>
      <c r="AL253" s="227">
        <v>0</v>
      </c>
      <c r="AM253" s="227">
        <v>0</v>
      </c>
      <c r="AN253" s="227">
        <v>0</v>
      </c>
      <c r="AO253" s="227">
        <v>0</v>
      </c>
      <c r="AP253" s="227">
        <v>0</v>
      </c>
      <c r="AQ253" s="227">
        <v>0</v>
      </c>
    </row>
    <row r="254" spans="5:44"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f t="shared" ref="AE254:AI254" si="34">-AE253</f>
        <v>-0.18806282000000002</v>
      </c>
      <c r="AF254" s="227">
        <f t="shared" si="34"/>
        <v>-0.10960936392355741</v>
      </c>
      <c r="AG254" s="227">
        <f t="shared" si="34"/>
        <v>-4.003000000000001E-2</v>
      </c>
      <c r="AH254" s="227">
        <f t="shared" si="34"/>
        <v>-0.05</v>
      </c>
      <c r="AI254" s="227">
        <f t="shared" si="34"/>
        <v>-0.05</v>
      </c>
      <c r="AJ254" s="227">
        <f>-AJ253</f>
        <v>0</v>
      </c>
      <c r="AK254" s="227">
        <f t="shared" ref="AK254:AQ254" si="35">-AK253</f>
        <v>0</v>
      </c>
      <c r="AL254" s="227">
        <f t="shared" si="35"/>
        <v>0</v>
      </c>
      <c r="AM254" s="227">
        <f t="shared" si="35"/>
        <v>0</v>
      </c>
      <c r="AN254" s="227">
        <f t="shared" si="35"/>
        <v>0</v>
      </c>
      <c r="AO254" s="227">
        <f t="shared" si="35"/>
        <v>0</v>
      </c>
      <c r="AP254" s="227">
        <f t="shared" si="35"/>
        <v>0</v>
      </c>
      <c r="AQ254" s="227">
        <f t="shared" si="35"/>
        <v>0</v>
      </c>
    </row>
    <row r="255" spans="5:44"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f t="shared" ref="AE255:AI255" si="36">SUM(AE253,AE254)</f>
        <v>0</v>
      </c>
      <c r="AF255" s="167">
        <f t="shared" si="36"/>
        <v>0</v>
      </c>
      <c r="AG255" s="167">
        <f t="shared" si="36"/>
        <v>0</v>
      </c>
      <c r="AH255" s="167">
        <f t="shared" si="36"/>
        <v>0</v>
      </c>
      <c r="AI255" s="167">
        <f t="shared" si="36"/>
        <v>0</v>
      </c>
      <c r="AJ255" s="167">
        <f>SUM(AJ253,AJ254)</f>
        <v>0</v>
      </c>
      <c r="AK255" s="167">
        <f t="shared" ref="AK255:AQ255" si="37">SUM(AK253,AK254)</f>
        <v>0</v>
      </c>
      <c r="AL255" s="167">
        <f t="shared" si="37"/>
        <v>0</v>
      </c>
      <c r="AM255" s="167">
        <f t="shared" si="37"/>
        <v>0</v>
      </c>
      <c r="AN255" s="167">
        <f t="shared" si="37"/>
        <v>0</v>
      </c>
      <c r="AO255" s="167">
        <f t="shared" si="37"/>
        <v>0</v>
      </c>
      <c r="AP255" s="167">
        <f t="shared" si="37"/>
        <v>0</v>
      </c>
      <c r="AQ255" s="167">
        <f t="shared" si="37"/>
        <v>0</v>
      </c>
    </row>
    <row r="256" spans="5:44"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f t="shared" ref="AE259:AI259" si="38">-AE260</f>
        <v>-2.8573539107104952E-2</v>
      </c>
      <c r="AF259" s="227">
        <f t="shared" si="38"/>
        <v>-0.81651148818178432</v>
      </c>
      <c r="AG259" s="227">
        <f t="shared" si="38"/>
        <v>-6.3426575609911779</v>
      </c>
      <c r="AH259" s="227">
        <f t="shared" si="38"/>
        <v>-0.3119326299239622</v>
      </c>
      <c r="AI259" s="227">
        <f t="shared" si="38"/>
        <v>8.1805833913105697E-2</v>
      </c>
      <c r="AJ259" s="227">
        <f>-AJ260</f>
        <v>0.94804045317068497</v>
      </c>
      <c r="AK259" s="227">
        <f t="shared" ref="AK259:AQ259" si="39">-AK260</f>
        <v>0.79297902435315537</v>
      </c>
      <c r="AL259" s="227">
        <f t="shared" si="39"/>
        <v>0.58961813156807241</v>
      </c>
      <c r="AM259" s="227">
        <f t="shared" si="39"/>
        <v>0.46990144188521121</v>
      </c>
      <c r="AN259" s="227">
        <f t="shared" si="39"/>
        <v>0.3005560110518346</v>
      </c>
      <c r="AO259" s="227">
        <f t="shared" si="39"/>
        <v>0.24567999521194928</v>
      </c>
      <c r="AP259" s="227">
        <f t="shared" si="39"/>
        <v>0.17261762956418192</v>
      </c>
      <c r="AQ259" s="227">
        <f t="shared" si="39"/>
        <v>5.1948275730870908E-2</v>
      </c>
    </row>
    <row r="260" spans="5:43" ht="15" customHeight="1">
      <c r="E260" s="149" t="str">
        <f>Input!E260</f>
        <v>Element of connection that is Sole Use funded costs</v>
      </c>
      <c r="G260" s="149" t="str">
        <f>Input!G260</f>
        <v>£m 12/13 prices</v>
      </c>
      <c r="AE260" s="227">
        <v>2.8573539107104952E-2</v>
      </c>
      <c r="AF260" s="227">
        <v>0.81651148818178432</v>
      </c>
      <c r="AG260" s="227">
        <v>6.3426575609911779</v>
      </c>
      <c r="AH260" s="227">
        <v>0.3119326299239622</v>
      </c>
      <c r="AI260" s="227">
        <v>-8.1805833913105697E-2</v>
      </c>
      <c r="AJ260" s="227">
        <v>-0.94804045317068497</v>
      </c>
      <c r="AK260" s="227">
        <v>-0.79297902435315537</v>
      </c>
      <c r="AL260" s="227">
        <v>-0.58961813156807241</v>
      </c>
      <c r="AM260" s="227">
        <v>-0.46990144188521121</v>
      </c>
      <c r="AN260" s="227">
        <v>-0.3005560110518346</v>
      </c>
      <c r="AO260" s="227">
        <v>-0.24567999521194928</v>
      </c>
      <c r="AP260" s="227">
        <v>-0.17261762956418192</v>
      </c>
      <c r="AQ260" s="227">
        <v>-5.1948275730870908E-2</v>
      </c>
    </row>
    <row r="261" spans="5:43" ht="15" customHeight="1">
      <c r="E261" s="149" t="str">
        <f>Input!E261</f>
        <v>Element of connection that is Sole Use funded net position</v>
      </c>
      <c r="G261" s="149" t="str">
        <f>Input!G261</f>
        <v>£m 12/13 prices</v>
      </c>
      <c r="AE261" s="167">
        <f t="shared" ref="AE261:AI261" si="40">SUM(AE259,AE260)</f>
        <v>0</v>
      </c>
      <c r="AF261" s="167">
        <f t="shared" si="40"/>
        <v>0</v>
      </c>
      <c r="AG261" s="167">
        <f t="shared" si="40"/>
        <v>0</v>
      </c>
      <c r="AH261" s="167">
        <f t="shared" si="40"/>
        <v>0</v>
      </c>
      <c r="AI261" s="167">
        <f t="shared" si="40"/>
        <v>0</v>
      </c>
      <c r="AJ261" s="167">
        <f>SUM(AJ259,AJ260)</f>
        <v>0</v>
      </c>
      <c r="AK261" s="167">
        <f t="shared" ref="AK261:AQ261" si="41">SUM(AK259,AK260)</f>
        <v>0</v>
      </c>
      <c r="AL261" s="167">
        <f t="shared" si="41"/>
        <v>0</v>
      </c>
      <c r="AM261" s="167">
        <f t="shared" si="41"/>
        <v>0</v>
      </c>
      <c r="AN261" s="167">
        <f t="shared" si="41"/>
        <v>0</v>
      </c>
      <c r="AO261" s="167">
        <f t="shared" si="41"/>
        <v>0</v>
      </c>
      <c r="AP261" s="167">
        <f t="shared" si="41"/>
        <v>0</v>
      </c>
      <c r="AQ261" s="167">
        <f t="shared" si="41"/>
        <v>0</v>
      </c>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f t="shared" ref="AE263:AI263" si="42">-AE264</f>
        <v>-6.7689885085699564E-2</v>
      </c>
      <c r="AF263" s="227">
        <f t="shared" si="42"/>
        <v>-0.24648857591734602</v>
      </c>
      <c r="AG263" s="227">
        <f t="shared" si="42"/>
        <v>-0.32504832351561674</v>
      </c>
      <c r="AH263" s="227">
        <f t="shared" si="42"/>
        <v>-6.0556568981714604E-2</v>
      </c>
      <c r="AI263" s="227">
        <f t="shared" si="42"/>
        <v>6.3813195413096158E-2</v>
      </c>
      <c r="AJ263" s="227">
        <f>-AJ264</f>
        <v>0.20870907552652163</v>
      </c>
      <c r="AK263" s="227">
        <f t="shared" ref="AK263:AQ263" si="43">-AK264</f>
        <v>0.17722031144107242</v>
      </c>
      <c r="AL263" s="227">
        <f t="shared" si="43"/>
        <v>0.14041141515123515</v>
      </c>
      <c r="AM263" s="227">
        <f t="shared" si="43"/>
        <v>0.12334354356302807</v>
      </c>
      <c r="AN263" s="227">
        <f t="shared" si="43"/>
        <v>9.8497222065381862E-2</v>
      </c>
      <c r="AO263" s="227">
        <f t="shared" si="43"/>
        <v>8.9591475334489773E-2</v>
      </c>
      <c r="AP263" s="227">
        <f t="shared" si="43"/>
        <v>7.7977030900908573E-2</v>
      </c>
      <c r="AQ263" s="227">
        <f t="shared" si="43"/>
        <v>5.9583980110653079E-2</v>
      </c>
    </row>
    <row r="264" spans="5:43" ht="15" customHeight="1">
      <c r="E264" s="149" t="str">
        <f>Input!E264</f>
        <v>Connection projects UMC costs</v>
      </c>
      <c r="G264" s="149" t="str">
        <f>Input!G264</f>
        <v>£m 12/13 prices</v>
      </c>
      <c r="AE264" s="227">
        <v>6.7689885085699564E-2</v>
      </c>
      <c r="AF264" s="227">
        <v>0.24648857591734602</v>
      </c>
      <c r="AG264" s="227">
        <v>0.32504832351561674</v>
      </c>
      <c r="AH264" s="227">
        <v>6.0556568981714604E-2</v>
      </c>
      <c r="AI264" s="227">
        <v>-6.3813195413096158E-2</v>
      </c>
      <c r="AJ264" s="227">
        <v>-0.20870907552652163</v>
      </c>
      <c r="AK264" s="227">
        <v>-0.17722031144107242</v>
      </c>
      <c r="AL264" s="227">
        <v>-0.14041141515123515</v>
      </c>
      <c r="AM264" s="227">
        <v>-0.12334354356302807</v>
      </c>
      <c r="AN264" s="227">
        <v>-9.8497222065381862E-2</v>
      </c>
      <c r="AO264" s="227">
        <v>-8.9591475334489773E-2</v>
      </c>
      <c r="AP264" s="227">
        <v>-7.7977030900908573E-2</v>
      </c>
      <c r="AQ264" s="227">
        <v>-5.9583980110653079E-2</v>
      </c>
    </row>
    <row r="265" spans="5:43" ht="15" customHeight="1">
      <c r="E265" s="149" t="str">
        <f>Input!E265</f>
        <v>Connection projects UMC net position</v>
      </c>
      <c r="G265" s="149" t="str">
        <f>Input!G265</f>
        <v>£m 12/13 prices</v>
      </c>
      <c r="AE265" s="167">
        <f t="shared" ref="AE265:AI265" si="44">SUM(AE263,AE264)</f>
        <v>0</v>
      </c>
      <c r="AF265" s="167">
        <f t="shared" si="44"/>
        <v>0</v>
      </c>
      <c r="AG265" s="167">
        <f t="shared" si="44"/>
        <v>0</v>
      </c>
      <c r="AH265" s="167">
        <f t="shared" si="44"/>
        <v>0</v>
      </c>
      <c r="AI265" s="167">
        <f t="shared" si="44"/>
        <v>0</v>
      </c>
      <c r="AJ265" s="167">
        <f>SUM(AJ263,AJ264)</f>
        <v>0</v>
      </c>
      <c r="AK265" s="167">
        <f t="shared" ref="AK265:AQ265" si="45">SUM(AK263,AK264)</f>
        <v>0</v>
      </c>
      <c r="AL265" s="167">
        <f t="shared" si="45"/>
        <v>0</v>
      </c>
      <c r="AM265" s="167">
        <f t="shared" si="45"/>
        <v>0</v>
      </c>
      <c r="AN265" s="167">
        <f t="shared" si="45"/>
        <v>0</v>
      </c>
      <c r="AO265" s="167">
        <f t="shared" si="45"/>
        <v>0</v>
      </c>
      <c r="AP265" s="167">
        <f t="shared" si="45"/>
        <v>0</v>
      </c>
      <c r="AQ265" s="167">
        <f t="shared" si="45"/>
        <v>0</v>
      </c>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v>5.6364836</v>
      </c>
      <c r="AF267" s="227">
        <v>3.7319883249519479</v>
      </c>
      <c r="AG267" s="227">
        <v>2.8808119999999997</v>
      </c>
      <c r="AH267" s="227">
        <v>2.1495902999999998</v>
      </c>
      <c r="AI267" s="227">
        <v>2.1521824499999997</v>
      </c>
      <c r="AJ267" s="227">
        <v>2.1610071999999998</v>
      </c>
      <c r="AK267" s="227">
        <v>2.1894388999999999</v>
      </c>
      <c r="AL267" s="227">
        <v>2.2039407499999997</v>
      </c>
      <c r="AM267" s="227">
        <v>2.2138115999999997</v>
      </c>
      <c r="AN267" s="227">
        <v>2.22119205</v>
      </c>
      <c r="AO267" s="227">
        <v>2.2274631500000002</v>
      </c>
      <c r="AP267" s="227">
        <v>2.2336974000000001</v>
      </c>
      <c r="AQ267" s="227">
        <v>2.2399838999999999</v>
      </c>
    </row>
    <row r="268" spans="5:43" ht="15" customHeight="1">
      <c r="E268" s="149" t="str">
        <f>Input!E268</f>
        <v>Diversionary works under obligation (ES2) costs</v>
      </c>
      <c r="G268" s="149" t="str">
        <f>Input!G268</f>
        <v>£m 12/13 prices</v>
      </c>
      <c r="AE268" s="227">
        <v>-4.8983297414799667</v>
      </c>
      <c r="AF268" s="227">
        <v>-3.228676127090611</v>
      </c>
      <c r="AG268" s="227">
        <v>-2.7803738732518646</v>
      </c>
      <c r="AH268" s="227">
        <v>-2.0614321244410538</v>
      </c>
      <c r="AI268" s="227">
        <v>-2.0498648448315682</v>
      </c>
      <c r="AJ268" s="227">
        <v>-1.9097241960584679</v>
      </c>
      <c r="AK268" s="227">
        <v>-1.8743459529177819</v>
      </c>
      <c r="AL268" s="227">
        <v>-1.9705102740937483</v>
      </c>
      <c r="AM268" s="227">
        <v>-1.9777155069198078</v>
      </c>
      <c r="AN268" s="227">
        <v>-1.9842855336534244</v>
      </c>
      <c r="AO268" s="227">
        <v>-1.9858001698512084</v>
      </c>
      <c r="AP268" s="227">
        <v>-1.9887782433003931</v>
      </c>
      <c r="AQ268" s="227">
        <v>-1.993100072184534</v>
      </c>
    </row>
    <row r="269" spans="5:43" ht="15" customHeight="1">
      <c r="E269" s="149" t="str">
        <f>Input!E269</f>
        <v>Diversionary works under obligation (ES2) net position</v>
      </c>
      <c r="G269" s="149" t="str">
        <f>Input!G269</f>
        <v>£m 12/13 prices</v>
      </c>
      <c r="AE269" s="167">
        <f t="shared" ref="AE269:AI269" si="46">SUM(AE267,AE268)</f>
        <v>0.73815385852003335</v>
      </c>
      <c r="AF269" s="167">
        <f t="shared" si="46"/>
        <v>0.50331219786133685</v>
      </c>
      <c r="AG269" s="167">
        <f t="shared" si="46"/>
        <v>0.10043812674813513</v>
      </c>
      <c r="AH269" s="167">
        <f t="shared" si="46"/>
        <v>8.8158175558946006E-2</v>
      </c>
      <c r="AI269" s="167">
        <f t="shared" si="46"/>
        <v>0.10231760516843158</v>
      </c>
      <c r="AJ269" s="167">
        <f>SUM(AJ267,AJ268)</f>
        <v>0.25128300394153191</v>
      </c>
      <c r="AK269" s="167">
        <f t="shared" ref="AK269:AQ269" si="47">SUM(AK267,AK268)</f>
        <v>0.31509294708221791</v>
      </c>
      <c r="AL269" s="167">
        <f t="shared" si="47"/>
        <v>0.23343047590625132</v>
      </c>
      <c r="AM269" s="167">
        <f t="shared" si="47"/>
        <v>0.23609609308019186</v>
      </c>
      <c r="AN269" s="167">
        <f t="shared" si="47"/>
        <v>0.23690651634657556</v>
      </c>
      <c r="AO269" s="167">
        <f t="shared" si="47"/>
        <v>0.24166298014879173</v>
      </c>
      <c r="AP269" s="167">
        <f t="shared" si="47"/>
        <v>0.24491915669960695</v>
      </c>
      <c r="AQ269" s="167">
        <f t="shared" si="47"/>
        <v>0.24688382781546592</v>
      </c>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v>2.0729038000000002</v>
      </c>
      <c r="AF271" s="227">
        <v>3.1394625713240516</v>
      </c>
      <c r="AG271" s="227">
        <v>2.6157309999999998</v>
      </c>
      <c r="AH271" s="227">
        <v>1.7587557</v>
      </c>
      <c r="AI271" s="227">
        <v>1.7608765500000001</v>
      </c>
      <c r="AJ271" s="227">
        <v>1.7680967999999999</v>
      </c>
      <c r="AK271" s="227">
        <v>1.7913590999999998</v>
      </c>
      <c r="AL271" s="227">
        <v>1.80322425</v>
      </c>
      <c r="AM271" s="227">
        <v>1.8113004000000001</v>
      </c>
      <c r="AN271" s="227">
        <v>1.8173389499999999</v>
      </c>
      <c r="AO271" s="227">
        <v>1.8224698500000001</v>
      </c>
      <c r="AP271" s="227">
        <v>1.8275706</v>
      </c>
      <c r="AQ271" s="227">
        <v>1.8327141</v>
      </c>
    </row>
    <row r="272" spans="5:43" ht="15" customHeight="1">
      <c r="E272" s="149" t="str">
        <f>Input!E272</f>
        <v>Work required by any alteration premises (ES3) costs</v>
      </c>
      <c r="G272" s="149" t="str">
        <f>Input!G272</f>
        <v>£m 12/13 prices</v>
      </c>
      <c r="AE272" s="227">
        <v>-2.4031351465937814</v>
      </c>
      <c r="AF272" s="227">
        <v>-3.2749708489329641</v>
      </c>
      <c r="AG272" s="227">
        <v>-2.5068080614767911</v>
      </c>
      <c r="AH272" s="227">
        <v>-1.686626283633589</v>
      </c>
      <c r="AI272" s="227">
        <v>-1.6771621457712829</v>
      </c>
      <c r="AJ272" s="227">
        <v>-1.5625016149569282</v>
      </c>
      <c r="AK272" s="227">
        <v>-1.5335557796600034</v>
      </c>
      <c r="AL272" s="227">
        <v>-1.6122356788039762</v>
      </c>
      <c r="AM272" s="227">
        <v>-1.6181308692980247</v>
      </c>
      <c r="AN272" s="227">
        <v>-1.623506345716438</v>
      </c>
      <c r="AO272" s="227">
        <v>-1.6247455935146253</v>
      </c>
      <c r="AP272" s="227">
        <v>-1.6271821990639579</v>
      </c>
      <c r="AQ272" s="227">
        <v>-1.6307182408782555</v>
      </c>
    </row>
    <row r="273" spans="5:43" ht="15" customHeight="1">
      <c r="E273" s="149" t="str">
        <f>Input!E273</f>
        <v>Work required by any alteration premises (ES3) net position</v>
      </c>
      <c r="G273" s="149" t="str">
        <f>Input!G273</f>
        <v>£m 12/13 prices</v>
      </c>
      <c r="AE273" s="167">
        <f t="shared" ref="AE273:AI273" si="48">SUM(AE271,AE272)</f>
        <v>-0.33023134659378117</v>
      </c>
      <c r="AF273" s="167">
        <f t="shared" si="48"/>
        <v>-0.13550827760891249</v>
      </c>
      <c r="AG273" s="167">
        <f t="shared" si="48"/>
        <v>0.10892293852320867</v>
      </c>
      <c r="AH273" s="167">
        <f t="shared" si="48"/>
        <v>7.2129416366411014E-2</v>
      </c>
      <c r="AI273" s="167">
        <f t="shared" si="48"/>
        <v>8.3714404228717232E-2</v>
      </c>
      <c r="AJ273" s="167">
        <f>SUM(AJ271,AJ272)</f>
        <v>0.20559518504307173</v>
      </c>
      <c r="AK273" s="167">
        <f t="shared" ref="AK273:AQ273" si="49">SUM(AK271,AK272)</f>
        <v>0.25780332033999631</v>
      </c>
      <c r="AL273" s="167">
        <f t="shared" si="49"/>
        <v>0.19098857119602375</v>
      </c>
      <c r="AM273" s="167">
        <f t="shared" si="49"/>
        <v>0.1931695307019754</v>
      </c>
      <c r="AN273" s="167">
        <f t="shared" si="49"/>
        <v>0.19383260428356186</v>
      </c>
      <c r="AO273" s="167">
        <f t="shared" si="49"/>
        <v>0.19772425648537473</v>
      </c>
      <c r="AP273" s="167">
        <f t="shared" si="49"/>
        <v>0.20038840093604215</v>
      </c>
      <c r="AQ273" s="167">
        <f t="shared" si="49"/>
        <v>0.20199585912174456</v>
      </c>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v>2.1013130600000003</v>
      </c>
      <c r="AF275" s="227">
        <v>1.9212880709399995</v>
      </c>
      <c r="AG275" s="227">
        <v>1.9098933136533998</v>
      </c>
      <c r="AH275" s="227">
        <v>2</v>
      </c>
      <c r="AI275" s="227">
        <v>2.1</v>
      </c>
      <c r="AJ275" s="227">
        <v>2.1</v>
      </c>
      <c r="AK275" s="227">
        <v>2.1</v>
      </c>
      <c r="AL275" s="227">
        <v>2.1</v>
      </c>
      <c r="AM275" s="227">
        <v>2.1</v>
      </c>
      <c r="AN275" s="227">
        <v>2.1</v>
      </c>
      <c r="AO275" s="227">
        <v>2.1</v>
      </c>
      <c r="AP275" s="227">
        <v>2.1</v>
      </c>
      <c r="AQ275" s="227">
        <v>2.1</v>
      </c>
    </row>
    <row r="276" spans="5:43" ht="15" customHeight="1">
      <c r="E276" s="149" t="str">
        <f>Input!E276</f>
        <v>Top up standby and enhanced system security (ES4) costs</v>
      </c>
      <c r="G276" s="149" t="str">
        <f>Input!G276</f>
        <v>£m 12/13 prices</v>
      </c>
      <c r="AE276" s="227">
        <v>0</v>
      </c>
      <c r="AF276" s="227">
        <v>0</v>
      </c>
      <c r="AG276" s="227">
        <v>0</v>
      </c>
      <c r="AH276" s="227">
        <v>0</v>
      </c>
      <c r="AI276" s="227">
        <v>0</v>
      </c>
      <c r="AJ276" s="227">
        <v>0</v>
      </c>
      <c r="AK276" s="227">
        <v>0</v>
      </c>
      <c r="AL276" s="227">
        <v>0</v>
      </c>
      <c r="AM276" s="227">
        <v>0</v>
      </c>
      <c r="AN276" s="227">
        <v>0</v>
      </c>
      <c r="AO276" s="227">
        <v>0</v>
      </c>
      <c r="AP276" s="227">
        <v>0</v>
      </c>
      <c r="AQ276" s="227">
        <v>0</v>
      </c>
    </row>
    <row r="277" spans="5:43" ht="15" customHeight="1">
      <c r="E277" s="149" t="str">
        <f>Input!E277</f>
        <v>Top up standby and enhanced system security (ES4) net position</v>
      </c>
      <c r="G277" s="149" t="str">
        <f>Input!G277</f>
        <v>£m 12/13 prices</v>
      </c>
      <c r="AE277" s="167">
        <f t="shared" ref="AE277:AI277" si="50">SUM(AE275,AE276)</f>
        <v>2.1013130600000003</v>
      </c>
      <c r="AF277" s="167">
        <f t="shared" si="50"/>
        <v>1.9212880709399995</v>
      </c>
      <c r="AG277" s="167">
        <f t="shared" si="50"/>
        <v>1.9098933136533998</v>
      </c>
      <c r="AH277" s="167">
        <f t="shared" si="50"/>
        <v>2</v>
      </c>
      <c r="AI277" s="167">
        <f t="shared" si="50"/>
        <v>2.1</v>
      </c>
      <c r="AJ277" s="167">
        <f>SUM(AJ275,AJ276)</f>
        <v>2.1</v>
      </c>
      <c r="AK277" s="167">
        <f t="shared" ref="AK277:AQ277" si="51">SUM(AK275,AK276)</f>
        <v>2.1</v>
      </c>
      <c r="AL277" s="167">
        <f t="shared" si="51"/>
        <v>2.1</v>
      </c>
      <c r="AM277" s="167">
        <f t="shared" si="51"/>
        <v>2.1</v>
      </c>
      <c r="AN277" s="167">
        <f t="shared" si="51"/>
        <v>2.1</v>
      </c>
      <c r="AO277" s="167">
        <f t="shared" si="51"/>
        <v>2.1</v>
      </c>
      <c r="AP277" s="167">
        <f t="shared" si="51"/>
        <v>2.1</v>
      </c>
      <c r="AQ277" s="167">
        <f t="shared" si="51"/>
        <v>2.1</v>
      </c>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v>0.19908086</v>
      </c>
      <c r="AF279" s="227">
        <v>0.33160320599999998</v>
      </c>
      <c r="AG279" s="227">
        <v>0.46990150482538762</v>
      </c>
      <c r="AH279" s="227">
        <v>0.57600000000000007</v>
      </c>
      <c r="AI279" s="227">
        <v>0.57600000000000007</v>
      </c>
      <c r="AJ279" s="227">
        <v>0.57600000000000007</v>
      </c>
      <c r="AK279" s="227">
        <v>0.57600000000000007</v>
      </c>
      <c r="AL279" s="227">
        <v>0.57600000000000007</v>
      </c>
      <c r="AM279" s="227">
        <v>0.57600000000000007</v>
      </c>
      <c r="AN279" s="227">
        <v>0.57600000000000007</v>
      </c>
      <c r="AO279" s="227">
        <v>0.57600000000000007</v>
      </c>
      <c r="AP279" s="227">
        <v>0.57600000000000007</v>
      </c>
      <c r="AQ279" s="227">
        <v>0.57600000000000007</v>
      </c>
    </row>
    <row r="280" spans="5:43" ht="15" customHeight="1">
      <c r="E280" s="149" t="str">
        <f>Input!E280</f>
        <v>Revenue protection services (ES5) costs</v>
      </c>
      <c r="G280" s="149" t="str">
        <f>Input!G280</f>
        <v>£m 12/13 prices</v>
      </c>
      <c r="AE280" s="227">
        <v>-1.820477823163603</v>
      </c>
      <c r="AF280" s="227">
        <v>-1.1292441721574575</v>
      </c>
      <c r="AG280" s="227">
        <v>-0.72513911255246133</v>
      </c>
      <c r="AH280" s="227">
        <v>-0.90401983971757982</v>
      </c>
      <c r="AI280" s="227">
        <v>-0.903434241040321</v>
      </c>
      <c r="AJ280" s="227">
        <v>-0.84481523366926048</v>
      </c>
      <c r="AK280" s="227">
        <v>-0.82879577086873479</v>
      </c>
      <c r="AL280" s="227">
        <v>-0.86929559458112993</v>
      </c>
      <c r="AM280" s="227">
        <v>-0.86864352222995955</v>
      </c>
      <c r="AN280" s="227">
        <v>-0.86716501747486285</v>
      </c>
      <c r="AO280" s="227">
        <v>-0.86348037898554264</v>
      </c>
      <c r="AP280" s="227">
        <v>-0.8604443088132071</v>
      </c>
      <c r="AQ280" s="227">
        <v>-0.85799581480655585</v>
      </c>
    </row>
    <row r="281" spans="5:43" ht="15" customHeight="1">
      <c r="E281" s="149" t="str">
        <f>Input!E281</f>
        <v>Revenue protection services (ES5) net position</v>
      </c>
      <c r="G281" s="149" t="str">
        <f>Input!G281</f>
        <v>£m 12/13 prices</v>
      </c>
      <c r="AE281" s="167">
        <f t="shared" ref="AE281:AI281" si="52">SUM(AE279,AE280)</f>
        <v>-1.6213969631636029</v>
      </c>
      <c r="AF281" s="167">
        <f t="shared" si="52"/>
        <v>-0.7976409661574575</v>
      </c>
      <c r="AG281" s="167">
        <f t="shared" si="52"/>
        <v>-0.25523760772707371</v>
      </c>
      <c r="AH281" s="167">
        <f t="shared" si="52"/>
        <v>-0.32801983971757975</v>
      </c>
      <c r="AI281" s="167">
        <f t="shared" si="52"/>
        <v>-0.32743424104032093</v>
      </c>
      <c r="AJ281" s="167">
        <f>SUM(AJ279,AJ280)</f>
        <v>-0.26881523366926041</v>
      </c>
      <c r="AK281" s="167">
        <f t="shared" ref="AK281:AQ281" si="53">SUM(AK279,AK280)</f>
        <v>-0.25279577086873473</v>
      </c>
      <c r="AL281" s="167">
        <f t="shared" si="53"/>
        <v>-0.29329559458112986</v>
      </c>
      <c r="AM281" s="167">
        <f t="shared" si="53"/>
        <v>-0.29264352222995949</v>
      </c>
      <c r="AN281" s="167">
        <f t="shared" si="53"/>
        <v>-0.29116501747486279</v>
      </c>
      <c r="AO281" s="167">
        <f t="shared" si="53"/>
        <v>-0.28748037898554257</v>
      </c>
      <c r="AP281" s="167">
        <f t="shared" si="53"/>
        <v>-0.28444430881320704</v>
      </c>
      <c r="AQ281" s="167">
        <f t="shared" si="53"/>
        <v>-0.28199581480655578</v>
      </c>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v>3.6100284000000005</v>
      </c>
      <c r="AF283" s="227">
        <v>2.5944126465046029</v>
      </c>
      <c r="AG283" s="227">
        <v>2.3897977785099984</v>
      </c>
      <c r="AH283" s="227">
        <v>2.0587701727425305</v>
      </c>
      <c r="AI283" s="227">
        <v>1.9062920377072483</v>
      </c>
      <c r="AJ283" s="227">
        <v>1.3892025073963867</v>
      </c>
      <c r="AK283" s="227">
        <v>1.0143002879938769</v>
      </c>
      <c r="AL283" s="227">
        <v>0.70240023070554147</v>
      </c>
      <c r="AM283" s="227">
        <v>0.38119457818848568</v>
      </c>
      <c r="AN283" s="227">
        <v>0.11428556960679928</v>
      </c>
      <c r="AO283" s="227">
        <v>1.4509728537304156E-2</v>
      </c>
      <c r="AP283" s="227">
        <v>0</v>
      </c>
      <c r="AQ283" s="227">
        <v>0</v>
      </c>
    </row>
    <row r="284" spans="5:43" ht="15" customHeight="1">
      <c r="E284" s="149" t="str">
        <f>Input!E284</f>
        <v>Metering services (non legacy) (ES6) costs</v>
      </c>
      <c r="G284" s="149" t="str">
        <f>Input!G284</f>
        <v>£m 12/13 prices</v>
      </c>
      <c r="AE284" s="227">
        <v>-1.2569334339539999</v>
      </c>
      <c r="AF284" s="227">
        <v>-0.70180836703200011</v>
      </c>
      <c r="AG284" s="227">
        <v>-0.20167205999999999</v>
      </c>
      <c r="AH284" s="227">
        <v>0</v>
      </c>
      <c r="AI284" s="227">
        <v>0</v>
      </c>
      <c r="AJ284" s="227">
        <v>0</v>
      </c>
      <c r="AK284" s="227">
        <v>0</v>
      </c>
      <c r="AL284" s="227">
        <v>0</v>
      </c>
      <c r="AM284" s="227">
        <v>0</v>
      </c>
      <c r="AN284" s="227">
        <v>0</v>
      </c>
      <c r="AO284" s="227">
        <v>0</v>
      </c>
      <c r="AP284" s="227">
        <v>0</v>
      </c>
      <c r="AQ284" s="227">
        <v>0</v>
      </c>
    </row>
    <row r="285" spans="5:43" ht="15" customHeight="1">
      <c r="E285" s="149" t="str">
        <f>Input!E285</f>
        <v>Metering services (non legacy) (ES6) net position</v>
      </c>
      <c r="G285" s="149" t="str">
        <f>Input!G285</f>
        <v>£m 12/13 prices</v>
      </c>
      <c r="AE285" s="167">
        <f t="shared" ref="AE285:AI285" si="54">SUM(AE283,AE284)</f>
        <v>2.3530949660460005</v>
      </c>
      <c r="AF285" s="167">
        <f t="shared" si="54"/>
        <v>1.8926042794726028</v>
      </c>
      <c r="AG285" s="167">
        <f t="shared" si="54"/>
        <v>2.1881257185099985</v>
      </c>
      <c r="AH285" s="167">
        <f t="shared" si="54"/>
        <v>2.0587701727425305</v>
      </c>
      <c r="AI285" s="167">
        <f t="shared" si="54"/>
        <v>1.9062920377072483</v>
      </c>
      <c r="AJ285" s="167">
        <f>SUM(AJ283,AJ284)</f>
        <v>1.3892025073963867</v>
      </c>
      <c r="AK285" s="167">
        <f t="shared" ref="AK285:AQ285" si="55">SUM(AK283,AK284)</f>
        <v>1.0143002879938769</v>
      </c>
      <c r="AL285" s="167">
        <f t="shared" si="55"/>
        <v>0.70240023070554147</v>
      </c>
      <c r="AM285" s="167">
        <f t="shared" si="55"/>
        <v>0.38119457818848568</v>
      </c>
      <c r="AN285" s="167">
        <f t="shared" si="55"/>
        <v>0.11428556960679928</v>
      </c>
      <c r="AO285" s="167">
        <f t="shared" si="55"/>
        <v>1.4509728537304156E-2</v>
      </c>
      <c r="AP285" s="167">
        <f t="shared" si="55"/>
        <v>0</v>
      </c>
      <c r="AQ285" s="167">
        <f t="shared" si="55"/>
        <v>0</v>
      </c>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v>4.8704760000000009</v>
      </c>
      <c r="AF287" s="227">
        <v>4.9379824702767721</v>
      </c>
      <c r="AG287" s="227">
        <v>4.6300033391100008</v>
      </c>
      <c r="AH287" s="227">
        <v>3.8168471000951647</v>
      </c>
      <c r="AI287" s="227">
        <v>3.2782470802033208</v>
      </c>
      <c r="AJ287" s="227">
        <v>2.6004415494467881</v>
      </c>
      <c r="AK287" s="227">
        <v>2.0654768719488077</v>
      </c>
      <c r="AL287" s="227">
        <v>1.5852282861925469</v>
      </c>
      <c r="AM287" s="227">
        <v>1.036316018538908</v>
      </c>
      <c r="AN287" s="227">
        <v>0.5629648460118476</v>
      </c>
      <c r="AO287" s="227">
        <v>0.11808236810317667</v>
      </c>
      <c r="AP287" s="227">
        <v>0</v>
      </c>
      <c r="AQ287" s="227">
        <v>0</v>
      </c>
    </row>
    <row r="288" spans="5:43" ht="15" customHeight="1">
      <c r="E288" s="149" t="str">
        <f>Input!E288</f>
        <v>Metering services (legacy)  costs</v>
      </c>
      <c r="G288" s="149" t="str">
        <f>Input!G288</f>
        <v>£m 12/13 prices</v>
      </c>
      <c r="AE288" s="227">
        <v>-1.7689349907020002</v>
      </c>
      <c r="AF288" s="227">
        <v>-7.7657379599999988E-3</v>
      </c>
      <c r="AG288" s="227">
        <v>-3.9980879999999996E-2</v>
      </c>
      <c r="AH288" s="227">
        <v>0</v>
      </c>
      <c r="AI288" s="227">
        <v>0</v>
      </c>
      <c r="AJ288" s="227">
        <v>0</v>
      </c>
      <c r="AK288" s="227">
        <v>0</v>
      </c>
      <c r="AL288" s="227">
        <v>0</v>
      </c>
      <c r="AM288" s="227">
        <v>0</v>
      </c>
      <c r="AN288" s="227">
        <v>0</v>
      </c>
      <c r="AO288" s="227">
        <v>0</v>
      </c>
      <c r="AP288" s="227">
        <v>0</v>
      </c>
      <c r="AQ288" s="227">
        <v>0</v>
      </c>
    </row>
    <row r="289" spans="5:43" ht="15" customHeight="1">
      <c r="E289" s="149" t="str">
        <f>Input!E289</f>
        <v>Metering services (legacy)  net position</v>
      </c>
      <c r="G289" s="149" t="str">
        <f>Input!G289</f>
        <v>£m 12/13 prices</v>
      </c>
      <c r="AE289" s="167">
        <f t="shared" ref="AE289:AI289" si="56">SUM(AE287,AE288)</f>
        <v>3.1015410092980007</v>
      </c>
      <c r="AF289" s="167">
        <f t="shared" si="56"/>
        <v>4.9302167323167723</v>
      </c>
      <c r="AG289" s="167">
        <f t="shared" si="56"/>
        <v>4.590022459110001</v>
      </c>
      <c r="AH289" s="167">
        <f t="shared" si="56"/>
        <v>3.8168471000951647</v>
      </c>
      <c r="AI289" s="167">
        <f t="shared" si="56"/>
        <v>3.2782470802033208</v>
      </c>
      <c r="AJ289" s="167">
        <f>SUM(AJ287,AJ288)</f>
        <v>2.6004415494467881</v>
      </c>
      <c r="AK289" s="167">
        <f t="shared" ref="AK289:AQ289" si="57">SUM(AK287,AK288)</f>
        <v>2.0654768719488077</v>
      </c>
      <c r="AL289" s="167">
        <f t="shared" si="57"/>
        <v>1.5852282861925469</v>
      </c>
      <c r="AM289" s="167">
        <f t="shared" si="57"/>
        <v>1.036316018538908</v>
      </c>
      <c r="AN289" s="167">
        <f t="shared" si="57"/>
        <v>0.5629648460118476</v>
      </c>
      <c r="AO289" s="167">
        <f t="shared" si="57"/>
        <v>0.11808236810317667</v>
      </c>
      <c r="AP289" s="167">
        <f t="shared" si="57"/>
        <v>0</v>
      </c>
      <c r="AQ289" s="167">
        <f t="shared" si="57"/>
        <v>0</v>
      </c>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v>0</v>
      </c>
      <c r="AF291" s="227">
        <v>0</v>
      </c>
      <c r="AG291" s="227">
        <v>0</v>
      </c>
      <c r="AH291" s="227">
        <v>3.6896975954051172E-3</v>
      </c>
      <c r="AI291" s="227">
        <v>2.2469077932534144E-2</v>
      </c>
      <c r="AJ291" s="227">
        <v>5.877760144443768E-2</v>
      </c>
      <c r="AK291" s="227">
        <v>0.10692177032470157</v>
      </c>
      <c r="AL291" s="227">
        <v>0.13835007474546052</v>
      </c>
      <c r="AM291" s="227">
        <v>0.15548516651296035</v>
      </c>
      <c r="AN291" s="227">
        <v>0.15461075180564521</v>
      </c>
      <c r="AO291" s="227">
        <v>0.11162235795884104</v>
      </c>
      <c r="AP291" s="227">
        <v>0</v>
      </c>
      <c r="AQ291" s="227">
        <v>0</v>
      </c>
    </row>
    <row r="292" spans="5:43" ht="15" customHeight="1">
      <c r="E292" s="149" t="str">
        <f>Input!E292</f>
        <v>Metering services associated with the SM roll out costs</v>
      </c>
      <c r="G292" s="149" t="str">
        <f>Input!G292</f>
        <v>£m 12/13 prices</v>
      </c>
      <c r="AE292" s="227">
        <v>0</v>
      </c>
      <c r="AF292" s="227">
        <v>0</v>
      </c>
      <c r="AG292" s="227">
        <v>0</v>
      </c>
      <c r="AH292" s="227">
        <v>-3.6896975954051172E-3</v>
      </c>
      <c r="AI292" s="227">
        <v>-2.2469077932534144E-2</v>
      </c>
      <c r="AJ292" s="227">
        <v>-5.877760144443768E-2</v>
      </c>
      <c r="AK292" s="227">
        <v>-0.10692177032470157</v>
      </c>
      <c r="AL292" s="227">
        <v>-0.13835007474546052</v>
      </c>
      <c r="AM292" s="227">
        <v>-0.15548516651296035</v>
      </c>
      <c r="AN292" s="227">
        <v>-0.15461075180564521</v>
      </c>
      <c r="AO292" s="227">
        <v>-0.11162235795884104</v>
      </c>
      <c r="AP292" s="227">
        <v>0</v>
      </c>
      <c r="AQ292" s="227">
        <v>0</v>
      </c>
    </row>
    <row r="293" spans="5:43" ht="15" customHeight="1">
      <c r="E293" s="149" t="str">
        <f>Input!E293</f>
        <v>Metering services associated with the SM roll out net position</v>
      </c>
      <c r="G293" s="149" t="str">
        <f>Input!G293</f>
        <v>£m 12/13 prices</v>
      </c>
      <c r="AE293" s="167">
        <f t="shared" ref="AE293:AI293" si="58">SUM(AE291,AE292)</f>
        <v>0</v>
      </c>
      <c r="AF293" s="167">
        <f t="shared" si="58"/>
        <v>0</v>
      </c>
      <c r="AG293" s="167">
        <f t="shared" si="58"/>
        <v>0</v>
      </c>
      <c r="AH293" s="167">
        <f t="shared" si="58"/>
        <v>0</v>
      </c>
      <c r="AI293" s="167">
        <f t="shared" si="58"/>
        <v>0</v>
      </c>
      <c r="AJ293" s="167">
        <f>SUM(AJ291,AJ292)</f>
        <v>0</v>
      </c>
      <c r="AK293" s="167">
        <f t="shared" ref="AK293:AQ293" si="59">SUM(AK291,AK292)</f>
        <v>0</v>
      </c>
      <c r="AL293" s="167">
        <f t="shared" si="59"/>
        <v>0</v>
      </c>
      <c r="AM293" s="167">
        <f t="shared" si="59"/>
        <v>0</v>
      </c>
      <c r="AN293" s="167">
        <f t="shared" si="59"/>
        <v>0</v>
      </c>
      <c r="AO293" s="167">
        <f t="shared" si="59"/>
        <v>0</v>
      </c>
      <c r="AP293" s="167">
        <f t="shared" si="59"/>
        <v>0</v>
      </c>
      <c r="AQ293" s="167">
        <f t="shared" si="59"/>
        <v>0</v>
      </c>
    </row>
    <row r="294" spans="5:43" ht="15" customHeight="1">
      <c r="AE294" s="498"/>
      <c r="AF294" s="498"/>
      <c r="AG294" s="498"/>
      <c r="AH294" s="498"/>
      <c r="AI294" s="498"/>
    </row>
    <row r="295" spans="5:43" ht="15" customHeight="1">
      <c r="E295" s="149" t="str">
        <f>Input!E295</f>
        <v>De Minimis Activities revenue</v>
      </c>
      <c r="G295" s="149" t="str">
        <f>Input!G295</f>
        <v>£m 12/13 prices</v>
      </c>
      <c r="AE295" s="227">
        <v>0</v>
      </c>
      <c r="AF295" s="227">
        <v>0</v>
      </c>
      <c r="AG295" s="227">
        <v>3.9288419999999999</v>
      </c>
      <c r="AH295" s="227">
        <v>5.0860310000000002</v>
      </c>
      <c r="AI295" s="227">
        <v>4.1637449999999996</v>
      </c>
      <c r="AJ295" s="227">
        <v>2.2751570000000001</v>
      </c>
      <c r="AK295" s="227">
        <v>0.43249200000000004</v>
      </c>
      <c r="AL295" s="227">
        <v>0</v>
      </c>
      <c r="AM295" s="227">
        <v>0</v>
      </c>
      <c r="AN295" s="227">
        <v>0</v>
      </c>
      <c r="AO295" s="227">
        <v>0</v>
      </c>
      <c r="AP295" s="227">
        <v>0</v>
      </c>
      <c r="AQ295" s="227">
        <v>0</v>
      </c>
    </row>
    <row r="296" spans="5:43" ht="15" customHeight="1">
      <c r="E296" s="149" t="str">
        <f>Input!E296</f>
        <v>De Minimis Activities costs</v>
      </c>
      <c r="G296" s="149" t="str">
        <f>Input!G296</f>
        <v>£m 12/13 prices</v>
      </c>
      <c r="AE296" s="227">
        <v>-3.5523640077860006</v>
      </c>
      <c r="AF296" s="227">
        <v>-3.0866555577599999</v>
      </c>
      <c r="AG296" s="227">
        <v>-7.3453534500000002</v>
      </c>
      <c r="AH296" s="227">
        <v>-5.0860310000000002</v>
      </c>
      <c r="AI296" s="227">
        <v>-4.1637449999999996</v>
      </c>
      <c r="AJ296" s="227">
        <v>-2.2751570000000001</v>
      </c>
      <c r="AK296" s="227">
        <v>-0.43249200000000004</v>
      </c>
      <c r="AL296" s="227">
        <v>0</v>
      </c>
      <c r="AM296" s="227">
        <v>0</v>
      </c>
      <c r="AN296" s="227">
        <v>0</v>
      </c>
      <c r="AO296" s="227">
        <v>0</v>
      </c>
      <c r="AP296" s="227">
        <v>0</v>
      </c>
      <c r="AQ296" s="227">
        <v>0</v>
      </c>
    </row>
    <row r="297" spans="5:43" ht="15" customHeight="1">
      <c r="E297" s="149" t="str">
        <f>Input!E297</f>
        <v>De Minimis Activities net position</v>
      </c>
      <c r="G297" s="149" t="str">
        <f>Input!G297</f>
        <v>£m 12/13 prices</v>
      </c>
      <c r="AE297" s="167">
        <f t="shared" ref="AE297:AI297" si="60">SUM(AE295,AE296)</f>
        <v>-3.5523640077860006</v>
      </c>
      <c r="AF297" s="167">
        <f t="shared" si="60"/>
        <v>-3.0866555577599999</v>
      </c>
      <c r="AG297" s="167">
        <f t="shared" si="60"/>
        <v>-3.4165114500000002</v>
      </c>
      <c r="AH297" s="167">
        <f t="shared" si="60"/>
        <v>0</v>
      </c>
      <c r="AI297" s="167">
        <f t="shared" si="60"/>
        <v>0</v>
      </c>
      <c r="AJ297" s="167">
        <f>SUM(AJ295,AJ296)</f>
        <v>0</v>
      </c>
      <c r="AK297" s="167">
        <f t="shared" ref="AK297:AQ297" si="61">SUM(AK295,AK296)</f>
        <v>0</v>
      </c>
      <c r="AL297" s="167">
        <f t="shared" si="61"/>
        <v>0</v>
      </c>
      <c r="AM297" s="167">
        <f t="shared" si="61"/>
        <v>0</v>
      </c>
      <c r="AN297" s="167">
        <f t="shared" si="61"/>
        <v>0</v>
      </c>
      <c r="AO297" s="167">
        <f t="shared" si="61"/>
        <v>0</v>
      </c>
      <c r="AP297" s="167">
        <f t="shared" si="61"/>
        <v>0</v>
      </c>
      <c r="AQ297" s="167">
        <f t="shared" si="61"/>
        <v>0</v>
      </c>
    </row>
    <row r="298" spans="5:43" ht="15" customHeight="1">
      <c r="AE298" s="498"/>
      <c r="AF298" s="498"/>
      <c r="AG298" s="498"/>
      <c r="AH298" s="498"/>
      <c r="AI298" s="498"/>
    </row>
    <row r="299" spans="5:43" ht="15" customHeight="1">
      <c r="E299" s="149" t="str">
        <f>Input!E299</f>
        <v>Out of Area Networks revenue</v>
      </c>
      <c r="G299" s="149" t="str">
        <f>Input!G299</f>
        <v>£m 12/13 prices</v>
      </c>
      <c r="AE299" s="227">
        <v>0</v>
      </c>
      <c r="AF299" s="227">
        <v>0</v>
      </c>
      <c r="AG299" s="227">
        <v>0</v>
      </c>
      <c r="AH299" s="227">
        <v>0</v>
      </c>
      <c r="AI299" s="227">
        <v>0</v>
      </c>
      <c r="AJ299" s="227">
        <v>0</v>
      </c>
      <c r="AK299" s="227">
        <v>0</v>
      </c>
      <c r="AL299" s="227">
        <v>0</v>
      </c>
      <c r="AM299" s="227">
        <v>0</v>
      </c>
      <c r="AN299" s="227">
        <v>0</v>
      </c>
      <c r="AO299" s="227">
        <v>0</v>
      </c>
      <c r="AP299" s="227">
        <v>0</v>
      </c>
      <c r="AQ299" s="227">
        <v>0</v>
      </c>
    </row>
    <row r="300" spans="5:43" ht="15" customHeight="1">
      <c r="E300" s="149" t="str">
        <f>Input!E300</f>
        <v>Out of Area Networks costs</v>
      </c>
      <c r="G300" s="149" t="str">
        <f>Input!G300</f>
        <v>£m 12/13 prices</v>
      </c>
      <c r="AE300" s="227">
        <v>0</v>
      </c>
      <c r="AF300" s="227">
        <v>0</v>
      </c>
      <c r="AG300" s="227">
        <v>0</v>
      </c>
      <c r="AH300" s="227">
        <v>0</v>
      </c>
      <c r="AI300" s="227">
        <v>0</v>
      </c>
      <c r="AJ300" s="227">
        <v>0</v>
      </c>
      <c r="AK300" s="227">
        <v>0</v>
      </c>
      <c r="AL300" s="227">
        <v>0</v>
      </c>
      <c r="AM300" s="227">
        <v>0</v>
      </c>
      <c r="AN300" s="227">
        <v>0</v>
      </c>
      <c r="AO300" s="227">
        <v>0</v>
      </c>
      <c r="AP300" s="227">
        <v>0</v>
      </c>
      <c r="AQ300" s="227">
        <v>0</v>
      </c>
    </row>
    <row r="301" spans="5:43" ht="15" customHeight="1">
      <c r="E301" s="149" t="str">
        <f>Input!E301</f>
        <v>Out of Area Networks net position</v>
      </c>
      <c r="G301" s="149" t="str">
        <f>Input!G301</f>
        <v>£m 12/13 prices</v>
      </c>
      <c r="AE301" s="167">
        <f t="shared" ref="AE301:AI301" si="62">SUM(AE299,AE300)</f>
        <v>0</v>
      </c>
      <c r="AF301" s="167">
        <f t="shared" si="62"/>
        <v>0</v>
      </c>
      <c r="AG301" s="167">
        <f t="shared" si="62"/>
        <v>0</v>
      </c>
      <c r="AH301" s="167">
        <f t="shared" si="62"/>
        <v>0</v>
      </c>
      <c r="AI301" s="167">
        <f t="shared" si="62"/>
        <v>0</v>
      </c>
      <c r="AJ301" s="167">
        <f>SUM(AJ299,AJ300)</f>
        <v>0</v>
      </c>
      <c r="AK301" s="167">
        <f t="shared" ref="AK301:AQ301" si="63">SUM(AK299,AK300)</f>
        <v>0</v>
      </c>
      <c r="AL301" s="167">
        <f t="shared" si="63"/>
        <v>0</v>
      </c>
      <c r="AM301" s="167">
        <f t="shared" si="63"/>
        <v>0</v>
      </c>
      <c r="AN301" s="167">
        <f t="shared" si="63"/>
        <v>0</v>
      </c>
      <c r="AO301" s="167">
        <f t="shared" si="63"/>
        <v>0</v>
      </c>
      <c r="AP301" s="167">
        <f t="shared" si="63"/>
        <v>0</v>
      </c>
      <c r="AQ301" s="167">
        <f t="shared" si="63"/>
        <v>0</v>
      </c>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v>0</v>
      </c>
      <c r="AF303" s="227">
        <v>0</v>
      </c>
      <c r="AG303" s="227">
        <v>0</v>
      </c>
      <c r="AH303" s="227">
        <v>0</v>
      </c>
      <c r="AI303" s="227">
        <v>0</v>
      </c>
      <c r="AJ303" s="227">
        <v>0</v>
      </c>
      <c r="AK303" s="227">
        <v>0</v>
      </c>
      <c r="AL303" s="227">
        <v>0</v>
      </c>
      <c r="AM303" s="227">
        <v>0</v>
      </c>
      <c r="AN303" s="227">
        <v>0</v>
      </c>
      <c r="AO303" s="227">
        <v>0</v>
      </c>
      <c r="AP303" s="227">
        <v>0</v>
      </c>
      <c r="AQ303" s="227">
        <v>0</v>
      </c>
    </row>
    <row r="304" spans="5:43" ht="15" customHeight="1">
      <c r="E304" s="149" t="str">
        <f>Input!E304</f>
        <v>Other consented activities costs</v>
      </c>
      <c r="G304" s="149" t="str">
        <f>Input!G304</f>
        <v>£m 12/13 prices</v>
      </c>
      <c r="AE304" s="227">
        <v>0</v>
      </c>
      <c r="AF304" s="227">
        <v>0</v>
      </c>
      <c r="AG304" s="227">
        <v>0</v>
      </c>
      <c r="AH304" s="227">
        <v>0</v>
      </c>
      <c r="AI304" s="227">
        <v>0</v>
      </c>
      <c r="AJ304" s="227">
        <v>0</v>
      </c>
      <c r="AK304" s="227">
        <v>0</v>
      </c>
      <c r="AL304" s="227">
        <v>0</v>
      </c>
      <c r="AM304" s="227">
        <v>0</v>
      </c>
      <c r="AN304" s="227">
        <v>0</v>
      </c>
      <c r="AO304" s="227">
        <v>0</v>
      </c>
      <c r="AP304" s="227">
        <v>0</v>
      </c>
      <c r="AQ304" s="227">
        <v>0</v>
      </c>
    </row>
    <row r="305" spans="2:43" ht="15" customHeight="1">
      <c r="E305" s="149" t="str">
        <f>Input!E305</f>
        <v>Other consented activities net position</v>
      </c>
      <c r="G305" s="149" t="str">
        <f>Input!G305</f>
        <v>£m 12/13 prices</v>
      </c>
      <c r="AE305" s="167">
        <f t="shared" ref="AE305:AI305" si="64">SUM(AE303,AE304)</f>
        <v>0</v>
      </c>
      <c r="AF305" s="167">
        <f t="shared" si="64"/>
        <v>0</v>
      </c>
      <c r="AG305" s="167">
        <f t="shared" si="64"/>
        <v>0</v>
      </c>
      <c r="AH305" s="167">
        <f t="shared" si="64"/>
        <v>0</v>
      </c>
      <c r="AI305" s="167">
        <f t="shared" si="64"/>
        <v>0</v>
      </c>
      <c r="AJ305" s="167">
        <f>SUM(AJ303,AJ304)</f>
        <v>0</v>
      </c>
      <c r="AK305" s="167">
        <f t="shared" ref="AK305:AQ305" si="65">SUM(AK303,AK304)</f>
        <v>0</v>
      </c>
      <c r="AL305" s="167">
        <f t="shared" si="65"/>
        <v>0</v>
      </c>
      <c r="AM305" s="167">
        <f t="shared" si="65"/>
        <v>0</v>
      </c>
      <c r="AN305" s="167">
        <f t="shared" si="65"/>
        <v>0</v>
      </c>
      <c r="AO305" s="167">
        <f t="shared" si="65"/>
        <v>0</v>
      </c>
      <c r="AP305" s="167">
        <f t="shared" si="65"/>
        <v>0</v>
      </c>
      <c r="AQ305" s="167">
        <f t="shared" si="65"/>
        <v>0</v>
      </c>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f t="shared" ref="AE309:AI309" si="66">SUM(AE307,AE308)</f>
        <v>0</v>
      </c>
      <c r="AF309" s="167">
        <f t="shared" si="66"/>
        <v>0</v>
      </c>
      <c r="AG309" s="167">
        <f t="shared" si="66"/>
        <v>0</v>
      </c>
      <c r="AH309" s="167">
        <f t="shared" si="66"/>
        <v>0</v>
      </c>
      <c r="AI309" s="167">
        <f t="shared" si="66"/>
        <v>0</v>
      </c>
      <c r="AJ309" s="167">
        <f>SUM(AJ307,AJ308)</f>
        <v>0</v>
      </c>
      <c r="AK309" s="167">
        <f t="shared" ref="AK309:AQ309" si="67">SUM(AK307,AK308)</f>
        <v>0</v>
      </c>
      <c r="AL309" s="167">
        <f t="shared" si="67"/>
        <v>0</v>
      </c>
      <c r="AM309" s="167">
        <f t="shared" si="67"/>
        <v>0</v>
      </c>
      <c r="AN309" s="167">
        <f t="shared" si="67"/>
        <v>0</v>
      </c>
      <c r="AO309" s="167">
        <f t="shared" si="67"/>
        <v>0</v>
      </c>
      <c r="AP309" s="167">
        <f t="shared" si="67"/>
        <v>0</v>
      </c>
      <c r="AQ309" s="167">
        <f t="shared" si="67"/>
        <v>0</v>
      </c>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f t="shared" ref="AE311:AI311" si="68">AE261+AE265+AE269+AE273+AE277+AE281+AE285+AE289+AE293+AE297+AE301+AE305+AE309</f>
        <v>2.7901105763206497</v>
      </c>
      <c r="AF311" s="167">
        <f t="shared" si="68"/>
        <v>5.2276164790643413</v>
      </c>
      <c r="AG311" s="167">
        <f t="shared" si="68"/>
        <v>5.2256534988176693</v>
      </c>
      <c r="AH311" s="167">
        <f t="shared" si="68"/>
        <v>7.7078850250454725</v>
      </c>
      <c r="AI311" s="167">
        <f t="shared" si="68"/>
        <v>7.1431368862673974</v>
      </c>
      <c r="AJ311" s="167">
        <f>AJ261+AJ265+AJ269+AJ273+AJ277+AJ281+AJ285+AJ289+AJ293+AJ297+AJ301+AJ305+AJ309</f>
        <v>6.2777070121585181</v>
      </c>
      <c r="AK311" s="167">
        <f t="shared" ref="AK311:AQ311" si="69">AK261+AK265+AK269+AK273+AK277+AK281+AK285+AK289+AK293+AK297+AK301+AK305+AK309</f>
        <v>5.4998776564961647</v>
      </c>
      <c r="AL311" s="167">
        <f t="shared" si="69"/>
        <v>4.5187519694192337</v>
      </c>
      <c r="AM311" s="167">
        <f t="shared" si="69"/>
        <v>3.6541326982796019</v>
      </c>
      <c r="AN311" s="167">
        <f t="shared" si="69"/>
        <v>2.9168245187739217</v>
      </c>
      <c r="AO311" s="167">
        <f t="shared" si="69"/>
        <v>2.3844989542891049</v>
      </c>
      <c r="AP311" s="167">
        <f t="shared" si="69"/>
        <v>2.2608632488224418</v>
      </c>
      <c r="AQ311" s="167">
        <f t="shared" si="69"/>
        <v>2.2668838721306548</v>
      </c>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13</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v>20.123452965068136</v>
      </c>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v>33.299999999999997</v>
      </c>
      <c r="L325" s="236">
        <v>33.299999999999997</v>
      </c>
      <c r="M325" s="236">
        <v>33.299999999999997</v>
      </c>
      <c r="N325" s="236">
        <v>33.299999999999997</v>
      </c>
      <c r="O325" s="236">
        <v>33.299999999999997</v>
      </c>
      <c r="P325" s="236">
        <v>33.299999999999997</v>
      </c>
      <c r="Q325" s="236">
        <v>33.299999999999997</v>
      </c>
      <c r="R325" s="236">
        <v>33.299999999999997</v>
      </c>
      <c r="S325" s="236">
        <v>33.299999999999997</v>
      </c>
      <c r="T325" s="236">
        <v>33.299999999999997</v>
      </c>
      <c r="U325" s="236">
        <v>33.299999999999997</v>
      </c>
      <c r="V325" s="236">
        <v>33.299999999999997</v>
      </c>
      <c r="W325" s="236">
        <v>33.299999999999997</v>
      </c>
      <c r="X325" s="236">
        <v>33.299999999999997</v>
      </c>
      <c r="Y325" s="236">
        <v>33.299999999999997</v>
      </c>
      <c r="Z325" s="236">
        <v>33.299999999999997</v>
      </c>
      <c r="AA325" s="236">
        <v>33.299999999999997</v>
      </c>
      <c r="AB325" s="236">
        <v>33.299999999999997</v>
      </c>
      <c r="AC325" s="236">
        <v>33.299999999999997</v>
      </c>
      <c r="AD325" s="236">
        <v>33.299999999999997</v>
      </c>
      <c r="AE325" s="236">
        <v>33.299999999999997</v>
      </c>
      <c r="AF325" s="236">
        <v>33.299999999999997</v>
      </c>
      <c r="AG325" s="236">
        <v>33.299999999999997</v>
      </c>
      <c r="AH325" s="236">
        <v>33.299999999999997</v>
      </c>
      <c r="AI325" s="327">
        <v>33.299999999999997</v>
      </c>
      <c r="AJ325" s="236">
        <v>23.125</v>
      </c>
      <c r="AK325" s="236">
        <v>26.25</v>
      </c>
      <c r="AL325" s="236">
        <v>29.375</v>
      </c>
      <c r="AM325" s="236">
        <v>32.5</v>
      </c>
      <c r="AN325" s="236">
        <v>35.625</v>
      </c>
      <c r="AO325" s="236">
        <v>38.75</v>
      </c>
      <c r="AP325" s="236">
        <v>41.875</v>
      </c>
      <c r="AQ325" s="236">
        <v>45</v>
      </c>
    </row>
    <row r="326" spans="2:43" ht="15" customHeight="1">
      <c r="E326" s="147" t="str">
        <f>Input!E326</f>
        <v>Accelerated post-vesting asset life</v>
      </c>
      <c r="G326" s="147" t="s">
        <v>51</v>
      </c>
      <c r="J326" s="153" t="s">
        <v>56</v>
      </c>
      <c r="K326" s="327">
        <v>20</v>
      </c>
      <c r="L326" s="236">
        <v>20</v>
      </c>
      <c r="M326" s="236">
        <v>20</v>
      </c>
      <c r="N326" s="236">
        <v>20</v>
      </c>
      <c r="O326" s="236">
        <v>20</v>
      </c>
      <c r="P326" s="236">
        <v>20</v>
      </c>
      <c r="Q326" s="236">
        <v>20</v>
      </c>
      <c r="R326" s="236">
        <v>20</v>
      </c>
      <c r="S326" s="236">
        <v>20</v>
      </c>
      <c r="T326" s="236">
        <v>20</v>
      </c>
      <c r="U326" s="236">
        <v>20</v>
      </c>
      <c r="V326" s="236">
        <v>20</v>
      </c>
      <c r="W326" s="236">
        <v>20</v>
      </c>
      <c r="X326" s="236">
        <v>20</v>
      </c>
      <c r="Y326" s="236">
        <v>20</v>
      </c>
      <c r="Z326" s="236">
        <v>20</v>
      </c>
      <c r="AA326" s="236">
        <v>20</v>
      </c>
      <c r="AB326" s="236">
        <v>20</v>
      </c>
      <c r="AC326" s="236">
        <v>20</v>
      </c>
      <c r="AD326" s="236">
        <v>20</v>
      </c>
      <c r="AE326" s="236">
        <v>20</v>
      </c>
      <c r="AF326" s="236">
        <v>20</v>
      </c>
      <c r="AG326" s="236">
        <v>20</v>
      </c>
      <c r="AH326" s="236">
        <v>20</v>
      </c>
      <c r="AI326" s="327">
        <v>20</v>
      </c>
      <c r="AJ326" s="236">
        <v>23.125</v>
      </c>
      <c r="AK326" s="236">
        <v>26.25</v>
      </c>
      <c r="AL326" s="236">
        <v>29.375</v>
      </c>
      <c r="AM326" s="236">
        <v>32.5</v>
      </c>
      <c r="AN326" s="236">
        <v>35.625</v>
      </c>
      <c r="AO326" s="236">
        <v>38.75</v>
      </c>
      <c r="AP326" s="236">
        <v>41.875</v>
      </c>
      <c r="AQ326" s="236">
        <v>45</v>
      </c>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v>21.107503804376339</v>
      </c>
      <c r="L329" s="227">
        <v>79.191656609119988</v>
      </c>
      <c r="M329" s="227">
        <v>79.191656609119988</v>
      </c>
      <c r="N329" s="227">
        <v>88.435818859211835</v>
      </c>
      <c r="O329" s="227">
        <v>64.092858267303342</v>
      </c>
      <c r="P329" s="227">
        <v>49.148129296321557</v>
      </c>
      <c r="Q329" s="227">
        <v>62.860303300624423</v>
      </c>
      <c r="R329" s="227">
        <v>44.371978800440779</v>
      </c>
      <c r="S329" s="227">
        <v>63.649615795633814</v>
      </c>
      <c r="T329" s="227">
        <v>59.863375413285262</v>
      </c>
      <c r="U329" s="227">
        <v>75.409125401303626</v>
      </c>
      <c r="V329" s="227">
        <v>103.78739782668701</v>
      </c>
      <c r="W329" s="227">
        <v>96.620140606251795</v>
      </c>
      <c r="X329" s="227">
        <v>99.090190437046175</v>
      </c>
      <c r="Y329" s="227">
        <v>106.75865775226399</v>
      </c>
      <c r="Z329" s="227">
        <v>125.68988489878477</v>
      </c>
      <c r="AA329" s="227">
        <v>99.791717315630706</v>
      </c>
      <c r="AB329" s="227">
        <v>139.35065489182935</v>
      </c>
      <c r="AC329" s="227">
        <v>165.06591526344377</v>
      </c>
      <c r="AD329" s="227">
        <v>196.1644111927435</v>
      </c>
      <c r="AE329" s="227">
        <v>181.68144275863403</v>
      </c>
      <c r="AF329" s="227">
        <v>157.62844612449771</v>
      </c>
      <c r="AG329" s="227">
        <v>154.3742917688794</v>
      </c>
      <c r="AH329" s="227">
        <v>169.1468192161847</v>
      </c>
      <c r="AI329" s="227">
        <v>181.50568328158491</v>
      </c>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f t="shared" ref="AH330:AI330" si="70">AH33</f>
        <v>0</v>
      </c>
      <c r="AI330" s="221">
        <f t="shared" si="70"/>
        <v>0</v>
      </c>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f>AH35</f>
        <v>0</v>
      </c>
      <c r="AI331" s="221">
        <f>AI35</f>
        <v>0</v>
      </c>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v>0</v>
      </c>
      <c r="AK333" s="236">
        <v>0</v>
      </c>
      <c r="AL333" s="236">
        <v>0</v>
      </c>
      <c r="AM333" s="236">
        <v>0</v>
      </c>
      <c r="AN333" s="236">
        <v>0</v>
      </c>
      <c r="AO333" s="236">
        <v>0</v>
      </c>
      <c r="AP333" s="236">
        <v>0</v>
      </c>
      <c r="AQ333" s="236">
        <v>0</v>
      </c>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f t="shared" ref="AJ340:AQ341" si="71">AJ36</f>
        <v>0</v>
      </c>
      <c r="AK340" s="221">
        <f t="shared" si="71"/>
        <v>0</v>
      </c>
      <c r="AL340" s="221">
        <f t="shared" si="71"/>
        <v>0</v>
      </c>
      <c r="AM340" s="221">
        <f t="shared" si="71"/>
        <v>0</v>
      </c>
      <c r="AN340" s="221">
        <f t="shared" si="71"/>
        <v>0</v>
      </c>
      <c r="AO340" s="221">
        <f t="shared" si="71"/>
        <v>0</v>
      </c>
      <c r="AP340" s="221">
        <f t="shared" si="71"/>
        <v>0</v>
      </c>
      <c r="AQ340" s="221">
        <f t="shared" si="71"/>
        <v>0</v>
      </c>
    </row>
    <row r="341" spans="3:44" ht="15" customHeight="1">
      <c r="E341" s="149" t="str">
        <f>E37</f>
        <v xml:space="preserve">Tax liability revenue allowance adjustments in respect of tax trigger events                                                       </v>
      </c>
      <c r="G341" s="149" t="s">
        <v>844</v>
      </c>
      <c r="AJ341" s="221">
        <f t="shared" si="71"/>
        <v>0</v>
      </c>
      <c r="AK341" s="221">
        <f t="shared" si="71"/>
        <v>0</v>
      </c>
      <c r="AL341" s="221">
        <f t="shared" si="71"/>
        <v>0</v>
      </c>
      <c r="AM341" s="221">
        <f t="shared" si="71"/>
        <v>0</v>
      </c>
      <c r="AN341" s="221">
        <f t="shared" si="71"/>
        <v>0</v>
      </c>
      <c r="AO341" s="221">
        <f t="shared" si="71"/>
        <v>0</v>
      </c>
      <c r="AP341" s="221">
        <f t="shared" si="71"/>
        <v>0</v>
      </c>
      <c r="AQ341" s="221">
        <f t="shared" si="71"/>
        <v>0</v>
      </c>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v>0.2</v>
      </c>
      <c r="AK343" s="329">
        <v>0.2</v>
      </c>
      <c r="AL343" s="329">
        <v>0.2</v>
      </c>
      <c r="AM343" s="329">
        <v>0.2</v>
      </c>
      <c r="AN343" s="329">
        <v>0.2</v>
      </c>
      <c r="AO343" s="329">
        <v>0.2</v>
      </c>
      <c r="AP343" s="329">
        <v>0.2</v>
      </c>
      <c r="AQ343" s="329">
        <v>0.2</v>
      </c>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v>0.18000000000000002</v>
      </c>
      <c r="AK345" s="329">
        <v>0.18000000000000002</v>
      </c>
      <c r="AL345" s="329">
        <v>0.18000000000000002</v>
      </c>
      <c r="AM345" s="329">
        <v>0.18000000000000002</v>
      </c>
      <c r="AN345" s="329">
        <v>0.18000000000000002</v>
      </c>
      <c r="AO345" s="329">
        <v>0.18000000000000002</v>
      </c>
      <c r="AP345" s="329">
        <v>0.18000000000000002</v>
      </c>
      <c r="AQ345" s="329">
        <v>0.18000000000000002</v>
      </c>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v>0.08</v>
      </c>
      <c r="AK346" s="329">
        <v>0.08</v>
      </c>
      <c r="AL346" s="329">
        <v>0.08</v>
      </c>
      <c r="AM346" s="329">
        <v>0.08</v>
      </c>
      <c r="AN346" s="329">
        <v>0.08</v>
      </c>
      <c r="AO346" s="329">
        <v>0.08</v>
      </c>
      <c r="AP346" s="329">
        <v>0.08</v>
      </c>
      <c r="AQ346" s="329">
        <v>0.08</v>
      </c>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v>2.2200000000000001E-2</v>
      </c>
      <c r="AK347" s="329">
        <v>2.2200000000000001E-2</v>
      </c>
      <c r="AL347" s="329">
        <v>2.2200000000000001E-2</v>
      </c>
      <c r="AM347" s="329">
        <v>2.2200000000000001E-2</v>
      </c>
      <c r="AN347" s="329">
        <v>2.2200000000000001E-2</v>
      </c>
      <c r="AO347" s="329">
        <v>2.2200000000000001E-2</v>
      </c>
      <c r="AP347" s="329">
        <v>2.2200000000000001E-2</v>
      </c>
      <c r="AQ347" s="329">
        <v>2.2200000000000001E-2</v>
      </c>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v>43.066494785938943</v>
      </c>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v>3.3046550860641268</v>
      </c>
      <c r="AI352" s="236">
        <v>1.4050098663277844</v>
      </c>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f>AH38</f>
        <v>0</v>
      </c>
      <c r="AI353" s="221">
        <f>AI38</f>
        <v>0</v>
      </c>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v>456.74167954164147</v>
      </c>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v>16.219596937394044</v>
      </c>
      <c r="AI356" s="426">
        <v>32.654187571254802</v>
      </c>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f>AH39</f>
        <v>0</v>
      </c>
      <c r="AI357" s="221">
        <f>AI39</f>
        <v>0</v>
      </c>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v>516.36290267399306</v>
      </c>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v>73.563402227870853</v>
      </c>
      <c r="AI360" s="236">
        <v>70.669575621560284</v>
      </c>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f>AH40</f>
        <v>0</v>
      </c>
      <c r="AI361" s="221">
        <f>AI40</f>
        <v>0</v>
      </c>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v>84.144339840984756</v>
      </c>
      <c r="AI364" s="454">
        <v>82.518045068029807</v>
      </c>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f>AH41</f>
        <v>0</v>
      </c>
      <c r="AI365" s="221">
        <f>AI41</f>
        <v>0</v>
      </c>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v>0</v>
      </c>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v>7.8860803135211988E-3</v>
      </c>
      <c r="AK375" s="329">
        <v>7.8860803135211988E-3</v>
      </c>
      <c r="AL375" s="329">
        <v>7.8860803135211988E-3</v>
      </c>
      <c r="AM375" s="329">
        <v>7.8860803135211988E-3</v>
      </c>
      <c r="AN375" s="329">
        <v>7.8860803135211988E-3</v>
      </c>
      <c r="AO375" s="329">
        <v>7.8860803135211988E-3</v>
      </c>
      <c r="AP375" s="329">
        <v>7.8860803135211988E-3</v>
      </c>
      <c r="AQ375" s="329">
        <v>7.8860803135211988E-3</v>
      </c>
    </row>
    <row r="376" spans="3:43" s="157" customFormat="1" ht="12.75">
      <c r="E376" s="93" t="str">
        <f>Input!E376</f>
        <v>Non-load related capex - asset replacement</v>
      </c>
      <c r="G376" s="157" t="s">
        <v>49</v>
      </c>
      <c r="AJ376" s="329">
        <v>1.7401222304203223E-2</v>
      </c>
      <c r="AK376" s="329">
        <v>1.7401222304203223E-2</v>
      </c>
      <c r="AL376" s="329">
        <v>1.7401222304203223E-2</v>
      </c>
      <c r="AM376" s="329">
        <v>1.7401222304203223E-2</v>
      </c>
      <c r="AN376" s="329">
        <v>1.7401222304203223E-2</v>
      </c>
      <c r="AO376" s="329">
        <v>1.7401222304203223E-2</v>
      </c>
      <c r="AP376" s="329">
        <v>1.7401222304203223E-2</v>
      </c>
      <c r="AQ376" s="329">
        <v>1.7401222304203223E-2</v>
      </c>
    </row>
    <row r="377" spans="3:43" s="157" customFormat="1" ht="12.75">
      <c r="E377" s="157" t="str">
        <f>Input!E377</f>
        <v>Non-Load Related - other</v>
      </c>
      <c r="G377" s="157" t="s">
        <v>49</v>
      </c>
      <c r="AJ377" s="329">
        <v>0.51947499118856355</v>
      </c>
      <c r="AK377" s="329">
        <v>0.51947499118856355</v>
      </c>
      <c r="AL377" s="329">
        <v>0.51947499118856355</v>
      </c>
      <c r="AM377" s="329">
        <v>0.51947499118856355</v>
      </c>
      <c r="AN377" s="329">
        <v>0.51947499118856355</v>
      </c>
      <c r="AO377" s="329">
        <v>0.51947499118856355</v>
      </c>
      <c r="AP377" s="329">
        <v>0.51947499118856355</v>
      </c>
      <c r="AQ377" s="329">
        <v>0.51947499118856355</v>
      </c>
    </row>
    <row r="378" spans="3:43" s="157" customFormat="1" ht="12.75">
      <c r="E378" s="157" t="str">
        <f>Input!E378</f>
        <v>Faults</v>
      </c>
      <c r="G378" s="157" t="s">
        <v>49</v>
      </c>
      <c r="AJ378" s="329">
        <v>0</v>
      </c>
      <c r="AK378" s="329">
        <v>0</v>
      </c>
      <c r="AL378" s="329">
        <v>0</v>
      </c>
      <c r="AM378" s="329">
        <v>0</v>
      </c>
      <c r="AN378" s="329">
        <v>0</v>
      </c>
      <c r="AO378" s="329">
        <v>0</v>
      </c>
      <c r="AP378" s="329">
        <v>0</v>
      </c>
      <c r="AQ378" s="329">
        <v>0</v>
      </c>
    </row>
    <row r="379" spans="3:43" s="157" customFormat="1" ht="12.75">
      <c r="E379" s="221" t="s">
        <v>992</v>
      </c>
      <c r="G379" s="157" t="s">
        <v>49</v>
      </c>
      <c r="AJ379" s="329">
        <v>0</v>
      </c>
      <c r="AK379" s="329">
        <v>0</v>
      </c>
      <c r="AL379" s="329">
        <v>0</v>
      </c>
      <c r="AM379" s="329">
        <v>0</v>
      </c>
      <c r="AN379" s="329">
        <v>0</v>
      </c>
      <c r="AO379" s="329">
        <v>0</v>
      </c>
      <c r="AP379" s="329">
        <v>0</v>
      </c>
      <c r="AQ379" s="329">
        <v>0</v>
      </c>
    </row>
    <row r="380" spans="3:43" s="157" customFormat="1" ht="12.75">
      <c r="E380" s="157" t="str">
        <f>Input!E380</f>
        <v>100% ‘revenue pool’ expenditure</v>
      </c>
      <c r="G380" s="157" t="s">
        <v>49</v>
      </c>
      <c r="AJ380" s="329">
        <v>0</v>
      </c>
      <c r="AK380" s="329">
        <v>0</v>
      </c>
      <c r="AL380" s="329">
        <v>0</v>
      </c>
      <c r="AM380" s="329">
        <v>0</v>
      </c>
      <c r="AN380" s="329">
        <v>0</v>
      </c>
      <c r="AO380" s="329">
        <v>0</v>
      </c>
      <c r="AP380" s="329">
        <v>0</v>
      </c>
      <c r="AQ380" s="329">
        <v>0</v>
      </c>
    </row>
    <row r="381" spans="3:43" s="157" customFormat="1" ht="12.75">
      <c r="E381" s="157" t="str">
        <f>Input!E381</f>
        <v>Controllable Opex</v>
      </c>
      <c r="G381" s="157" t="s">
        <v>49</v>
      </c>
      <c r="AJ381" s="329">
        <v>0</v>
      </c>
      <c r="AK381" s="329">
        <v>0</v>
      </c>
      <c r="AL381" s="329">
        <v>0</v>
      </c>
      <c r="AM381" s="329">
        <v>0</v>
      </c>
      <c r="AN381" s="329">
        <v>0</v>
      </c>
      <c r="AO381" s="329">
        <v>0</v>
      </c>
      <c r="AP381" s="329">
        <v>0</v>
      </c>
      <c r="AQ381" s="329">
        <v>0</v>
      </c>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v>0.94906250651583379</v>
      </c>
      <c r="AK385" s="329">
        <v>0.94906250651583379</v>
      </c>
      <c r="AL385" s="329">
        <v>0.94906250651583379</v>
      </c>
      <c r="AM385" s="329">
        <v>0.94906250651583379</v>
      </c>
      <c r="AN385" s="329">
        <v>0.94906250651583379</v>
      </c>
      <c r="AO385" s="329">
        <v>0.94906250651583379</v>
      </c>
      <c r="AP385" s="329">
        <v>0.94906250651583379</v>
      </c>
      <c r="AQ385" s="329">
        <v>0.94906250651583379</v>
      </c>
    </row>
    <row r="386" spans="4:43" s="157" customFormat="1" ht="12.75">
      <c r="E386" s="93" t="str">
        <f>Input!E386</f>
        <v>Non-load related capex - asset replacement</v>
      </c>
      <c r="G386" s="157" t="s">
        <v>49</v>
      </c>
      <c r="AJ386" s="329">
        <v>0.40014037742766301</v>
      </c>
      <c r="AK386" s="329">
        <v>0.40014037742766301</v>
      </c>
      <c r="AL386" s="329">
        <v>0.40014037742766301</v>
      </c>
      <c r="AM386" s="329">
        <v>0.40014037742766301</v>
      </c>
      <c r="AN386" s="329">
        <v>0.40014037742766301</v>
      </c>
      <c r="AO386" s="329">
        <v>0.40014037742766301</v>
      </c>
      <c r="AP386" s="329">
        <v>0.40014037742766301</v>
      </c>
      <c r="AQ386" s="329">
        <v>0.40014037742766301</v>
      </c>
    </row>
    <row r="387" spans="4:43" s="157" customFormat="1" ht="12.75">
      <c r="E387" s="157" t="str">
        <f>Input!E387</f>
        <v>Non-Load Related - other</v>
      </c>
      <c r="G387" s="157" t="s">
        <v>49</v>
      </c>
      <c r="AJ387" s="329">
        <v>0.18941004438415734</v>
      </c>
      <c r="AK387" s="329">
        <v>0.18941004438415734</v>
      </c>
      <c r="AL387" s="329">
        <v>0.18941004438415734</v>
      </c>
      <c r="AM387" s="329">
        <v>0.18941004438415734</v>
      </c>
      <c r="AN387" s="329">
        <v>0.18941004438415734</v>
      </c>
      <c r="AO387" s="329">
        <v>0.18941004438415734</v>
      </c>
      <c r="AP387" s="329">
        <v>0.18941004438415734</v>
      </c>
      <c r="AQ387" s="329">
        <v>0.18941004438415734</v>
      </c>
    </row>
    <row r="388" spans="4:43" s="157" customFormat="1" ht="12.75">
      <c r="E388" s="157" t="str">
        <f>Input!E388</f>
        <v>Faults</v>
      </c>
      <c r="G388" s="157" t="s">
        <v>49</v>
      </c>
      <c r="AJ388" s="329">
        <v>0</v>
      </c>
      <c r="AK388" s="329">
        <v>0</v>
      </c>
      <c r="AL388" s="329">
        <v>0</v>
      </c>
      <c r="AM388" s="329">
        <v>0</v>
      </c>
      <c r="AN388" s="329">
        <v>0</v>
      </c>
      <c r="AO388" s="329">
        <v>0</v>
      </c>
      <c r="AP388" s="329">
        <v>0</v>
      </c>
      <c r="AQ388" s="329">
        <v>0</v>
      </c>
    </row>
    <row r="389" spans="4:43" s="157" customFormat="1" ht="12.75">
      <c r="E389" s="221" t="s">
        <v>992</v>
      </c>
      <c r="G389" s="157" t="s">
        <v>49</v>
      </c>
      <c r="AJ389" s="329">
        <v>0</v>
      </c>
      <c r="AK389" s="329">
        <v>0</v>
      </c>
      <c r="AL389" s="329">
        <v>0</v>
      </c>
      <c r="AM389" s="329">
        <v>0</v>
      </c>
      <c r="AN389" s="329">
        <v>0</v>
      </c>
      <c r="AO389" s="329">
        <v>0</v>
      </c>
      <c r="AP389" s="329">
        <v>0</v>
      </c>
      <c r="AQ389" s="329">
        <v>0</v>
      </c>
    </row>
    <row r="390" spans="4:43" s="157" customFormat="1" ht="12.75">
      <c r="E390" s="157" t="str">
        <f>Input!E390</f>
        <v>100% ‘revenue pool’ expenditure</v>
      </c>
      <c r="G390" s="157" t="s">
        <v>49</v>
      </c>
      <c r="AJ390" s="329">
        <v>0</v>
      </c>
      <c r="AK390" s="329">
        <v>0</v>
      </c>
      <c r="AL390" s="329">
        <v>0</v>
      </c>
      <c r="AM390" s="329">
        <v>0</v>
      </c>
      <c r="AN390" s="329">
        <v>0</v>
      </c>
      <c r="AO390" s="329">
        <v>0</v>
      </c>
      <c r="AP390" s="329">
        <v>0</v>
      </c>
      <c r="AQ390" s="329">
        <v>0</v>
      </c>
    </row>
    <row r="391" spans="4:43" s="157" customFormat="1" ht="12.75">
      <c r="E391" s="157" t="str">
        <f>Input!E391</f>
        <v>Controllable Opex</v>
      </c>
      <c r="G391" s="157" t="s">
        <v>49</v>
      </c>
      <c r="AJ391" s="329">
        <v>0.27329192749934827</v>
      </c>
      <c r="AK391" s="329">
        <v>0.27329192749934827</v>
      </c>
      <c r="AL391" s="329">
        <v>0.27329192749934827</v>
      </c>
      <c r="AM391" s="329">
        <v>0.27329192749934827</v>
      </c>
      <c r="AN391" s="329">
        <v>0.27329192749934827</v>
      </c>
      <c r="AO391" s="329">
        <v>0.27329192749934827</v>
      </c>
      <c r="AP391" s="329">
        <v>0.27329192749934827</v>
      </c>
      <c r="AQ391" s="329">
        <v>0.27329192749934827</v>
      </c>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v>2.8897491975180743E-2</v>
      </c>
      <c r="AK395" s="329">
        <v>2.8897491975180743E-2</v>
      </c>
      <c r="AL395" s="329">
        <v>2.8897491975180743E-2</v>
      </c>
      <c r="AM395" s="329">
        <v>2.8897491975180743E-2</v>
      </c>
      <c r="AN395" s="329">
        <v>2.8897491975180743E-2</v>
      </c>
      <c r="AO395" s="329">
        <v>2.8897491975180743E-2</v>
      </c>
      <c r="AP395" s="329">
        <v>2.8897491975180743E-2</v>
      </c>
      <c r="AQ395" s="329">
        <v>2.8897491975180743E-2</v>
      </c>
    </row>
    <row r="396" spans="4:43" s="157" customFormat="1" ht="12.75">
      <c r="E396" s="93" t="str">
        <f>Input!E396</f>
        <v>Non-load related capex - asset replacement</v>
      </c>
      <c r="G396" s="157" t="s">
        <v>49</v>
      </c>
      <c r="AJ396" s="329">
        <v>0.53627590547130843</v>
      </c>
      <c r="AK396" s="329">
        <v>0.53627590547130843</v>
      </c>
      <c r="AL396" s="329">
        <v>0.53627590547130843</v>
      </c>
      <c r="AM396" s="329">
        <v>0.53627590547130843</v>
      </c>
      <c r="AN396" s="329">
        <v>0.53627590547130843</v>
      </c>
      <c r="AO396" s="329">
        <v>0.53627590547130843</v>
      </c>
      <c r="AP396" s="329">
        <v>0.53627590547130843</v>
      </c>
      <c r="AQ396" s="329">
        <v>0.53627590547130843</v>
      </c>
    </row>
    <row r="397" spans="4:43" s="157" customFormat="1" ht="12.75">
      <c r="E397" s="157" t="str">
        <f>Input!E397</f>
        <v>Non-Load Related - other</v>
      </c>
      <c r="G397" s="157" t="s">
        <v>49</v>
      </c>
      <c r="AJ397" s="329">
        <v>0.18448601841349963</v>
      </c>
      <c r="AK397" s="329">
        <v>0.18448601841349963</v>
      </c>
      <c r="AL397" s="329">
        <v>0.18448601841349963</v>
      </c>
      <c r="AM397" s="329">
        <v>0.18448601841349963</v>
      </c>
      <c r="AN397" s="329">
        <v>0.18448601841349963</v>
      </c>
      <c r="AO397" s="329">
        <v>0.18448601841349963</v>
      </c>
      <c r="AP397" s="329">
        <v>0.18448601841349963</v>
      </c>
      <c r="AQ397" s="329">
        <v>0.18448601841349963</v>
      </c>
    </row>
    <row r="398" spans="4:43" s="157" customFormat="1" ht="12.75">
      <c r="E398" s="157" t="str">
        <f>Input!E398</f>
        <v>Faults</v>
      </c>
      <c r="G398" s="157" t="s">
        <v>49</v>
      </c>
      <c r="AJ398" s="329">
        <v>0.62040596588144259</v>
      </c>
      <c r="AK398" s="329">
        <v>0.62040596588144259</v>
      </c>
      <c r="AL398" s="329">
        <v>0.62040596588144259</v>
      </c>
      <c r="AM398" s="329">
        <v>0.62040596588144259</v>
      </c>
      <c r="AN398" s="329">
        <v>0.62040596588144259</v>
      </c>
      <c r="AO398" s="329">
        <v>0.62040596588144259</v>
      </c>
      <c r="AP398" s="329">
        <v>0.62040596588144259</v>
      </c>
      <c r="AQ398" s="329">
        <v>0.62040596588144259</v>
      </c>
    </row>
    <row r="399" spans="4:43" s="157" customFormat="1" ht="12.75">
      <c r="E399" s="221" t="s">
        <v>992</v>
      </c>
      <c r="G399" s="157" t="s">
        <v>49</v>
      </c>
      <c r="AJ399" s="329">
        <v>0</v>
      </c>
      <c r="AK399" s="329">
        <v>0</v>
      </c>
      <c r="AL399" s="329">
        <v>0</v>
      </c>
      <c r="AM399" s="329">
        <v>0</v>
      </c>
      <c r="AN399" s="329">
        <v>0</v>
      </c>
      <c r="AO399" s="329">
        <v>0</v>
      </c>
      <c r="AP399" s="329">
        <v>0</v>
      </c>
      <c r="AQ399" s="329">
        <v>0</v>
      </c>
    </row>
    <row r="400" spans="4:43" s="157" customFormat="1" ht="12.75">
      <c r="E400" s="157" t="str">
        <f>Input!E400</f>
        <v>100% ‘revenue pool’ expenditure</v>
      </c>
      <c r="G400" s="157" t="s">
        <v>49</v>
      </c>
      <c r="AJ400" s="329">
        <v>0</v>
      </c>
      <c r="AK400" s="329">
        <v>0</v>
      </c>
      <c r="AL400" s="329">
        <v>0</v>
      </c>
      <c r="AM400" s="329">
        <v>0</v>
      </c>
      <c r="AN400" s="329">
        <v>0</v>
      </c>
      <c r="AO400" s="329">
        <v>0</v>
      </c>
      <c r="AP400" s="329">
        <v>0</v>
      </c>
      <c r="AQ400" s="329">
        <v>0</v>
      </c>
    </row>
    <row r="401" spans="4:43" s="157" customFormat="1" ht="12.75">
      <c r="E401" s="157" t="str">
        <f>Input!E401</f>
        <v>Controllable Opex</v>
      </c>
      <c r="G401" s="157" t="s">
        <v>49</v>
      </c>
      <c r="AJ401" s="329">
        <v>0.25820830749718165</v>
      </c>
      <c r="AK401" s="329">
        <v>0.25820830749718165</v>
      </c>
      <c r="AL401" s="329">
        <v>0.25820830749718165</v>
      </c>
      <c r="AM401" s="329">
        <v>0.25820830749718165</v>
      </c>
      <c r="AN401" s="329">
        <v>0.25820830749718165</v>
      </c>
      <c r="AO401" s="329">
        <v>0.25820830749718165</v>
      </c>
      <c r="AP401" s="329">
        <v>0.25820830749718165</v>
      </c>
      <c r="AQ401" s="329">
        <v>0.25820830749718165</v>
      </c>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v>0</v>
      </c>
      <c r="AK405" s="329">
        <v>0</v>
      </c>
      <c r="AL405" s="329">
        <v>0</v>
      </c>
      <c r="AM405" s="329">
        <v>0</v>
      </c>
      <c r="AN405" s="329">
        <v>0</v>
      </c>
      <c r="AO405" s="329">
        <v>0</v>
      </c>
      <c r="AP405" s="329">
        <v>0</v>
      </c>
      <c r="AQ405" s="329">
        <v>0</v>
      </c>
    </row>
    <row r="406" spans="4:43" s="157" customFormat="1" ht="12.75">
      <c r="E406" s="93" t="str">
        <f>Input!E406</f>
        <v>Non-load related capex - asset replacement</v>
      </c>
      <c r="G406" s="157" t="s">
        <v>49</v>
      </c>
      <c r="AJ406" s="329">
        <v>0</v>
      </c>
      <c r="AK406" s="329">
        <v>0</v>
      </c>
      <c r="AL406" s="329">
        <v>0</v>
      </c>
      <c r="AM406" s="329">
        <v>0</v>
      </c>
      <c r="AN406" s="329">
        <v>0</v>
      </c>
      <c r="AO406" s="329">
        <v>0</v>
      </c>
      <c r="AP406" s="329">
        <v>0</v>
      </c>
      <c r="AQ406" s="329">
        <v>0</v>
      </c>
    </row>
    <row r="407" spans="4:43" s="157" customFormat="1" ht="12.75">
      <c r="E407" s="157" t="str">
        <f>Input!E407</f>
        <v>Non-Load Related - other</v>
      </c>
      <c r="G407" s="157" t="s">
        <v>49</v>
      </c>
      <c r="AJ407" s="329">
        <v>0</v>
      </c>
      <c r="AK407" s="329">
        <v>0</v>
      </c>
      <c r="AL407" s="329">
        <v>0</v>
      </c>
      <c r="AM407" s="329">
        <v>0</v>
      </c>
      <c r="AN407" s="329">
        <v>0</v>
      </c>
      <c r="AO407" s="329">
        <v>0</v>
      </c>
      <c r="AP407" s="329">
        <v>0</v>
      </c>
      <c r="AQ407" s="329">
        <v>0</v>
      </c>
    </row>
    <row r="408" spans="4:43" s="157" customFormat="1" ht="12.75">
      <c r="E408" s="157" t="str">
        <f>Input!E408</f>
        <v>Faults</v>
      </c>
      <c r="G408" s="157" t="s">
        <v>49</v>
      </c>
      <c r="AJ408" s="329">
        <v>0.37928767695567217</v>
      </c>
      <c r="AK408" s="329">
        <v>0.37928767695567217</v>
      </c>
      <c r="AL408" s="329">
        <v>0.37928767695567217</v>
      </c>
      <c r="AM408" s="329">
        <v>0.37928767695567217</v>
      </c>
      <c r="AN408" s="329">
        <v>0.37928767695567217</v>
      </c>
      <c r="AO408" s="329">
        <v>0.37928767695567217</v>
      </c>
      <c r="AP408" s="329">
        <v>0.37928767695567217</v>
      </c>
      <c r="AQ408" s="329">
        <v>0.37928767695567217</v>
      </c>
    </row>
    <row r="409" spans="4:43" s="157" customFormat="1" ht="12.75">
      <c r="E409" s="221" t="s">
        <v>992</v>
      </c>
      <c r="G409" s="157" t="s">
        <v>49</v>
      </c>
      <c r="AJ409" s="329">
        <v>1</v>
      </c>
      <c r="AK409" s="329">
        <v>1</v>
      </c>
      <c r="AL409" s="329">
        <v>1</v>
      </c>
      <c r="AM409" s="329">
        <v>1</v>
      </c>
      <c r="AN409" s="329">
        <v>1</v>
      </c>
      <c r="AO409" s="329">
        <v>1</v>
      </c>
      <c r="AP409" s="329">
        <v>1</v>
      </c>
      <c r="AQ409" s="329">
        <v>1</v>
      </c>
    </row>
    <row r="410" spans="4:43" s="157" customFormat="1" ht="12.75">
      <c r="E410" s="157" t="str">
        <f>Input!E410</f>
        <v>100% ‘revenue pool’ expenditure</v>
      </c>
      <c r="G410" s="157" t="s">
        <v>49</v>
      </c>
      <c r="AJ410" s="329">
        <v>1</v>
      </c>
      <c r="AK410" s="329">
        <v>1</v>
      </c>
      <c r="AL410" s="329">
        <v>1</v>
      </c>
      <c r="AM410" s="329">
        <v>1</v>
      </c>
      <c r="AN410" s="329">
        <v>1</v>
      </c>
      <c r="AO410" s="329">
        <v>1</v>
      </c>
      <c r="AP410" s="329">
        <v>1</v>
      </c>
      <c r="AQ410" s="329">
        <v>1</v>
      </c>
    </row>
    <row r="411" spans="4:43" s="157" customFormat="1" ht="12.75">
      <c r="E411" s="157" t="str">
        <f>Input!E411</f>
        <v>Controllable Opex</v>
      </c>
      <c r="G411" s="157" t="s">
        <v>49</v>
      </c>
      <c r="AJ411" s="329">
        <v>0.46849976500347001</v>
      </c>
      <c r="AK411" s="329">
        <v>0.46849976500347001</v>
      </c>
      <c r="AL411" s="329">
        <v>0.46849976500347001</v>
      </c>
      <c r="AM411" s="329">
        <v>0.46849976500347001</v>
      </c>
      <c r="AN411" s="329">
        <v>0.46849976500347001</v>
      </c>
      <c r="AO411" s="329">
        <v>0.46849976500347001</v>
      </c>
      <c r="AP411" s="329">
        <v>0.46849976500347001</v>
      </c>
      <c r="AQ411" s="329">
        <v>0.46849976500347001</v>
      </c>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v>1.4153921195464277E-2</v>
      </c>
      <c r="AK415" s="329">
        <v>1.4153921195464277E-2</v>
      </c>
      <c r="AL415" s="329">
        <v>1.4153921195464277E-2</v>
      </c>
      <c r="AM415" s="329">
        <v>1.4153921195464277E-2</v>
      </c>
      <c r="AN415" s="329">
        <v>1.4153921195464277E-2</v>
      </c>
      <c r="AO415" s="329">
        <v>1.4153921195464277E-2</v>
      </c>
      <c r="AP415" s="329">
        <v>1.4153921195464277E-2</v>
      </c>
      <c r="AQ415" s="329">
        <v>1.4153921195464277E-2</v>
      </c>
    </row>
    <row r="416" spans="4:43" s="157" customFormat="1" ht="12.75">
      <c r="E416" s="93" t="str">
        <f>Input!E416</f>
        <v>Non-load related capex - asset replacement</v>
      </c>
      <c r="G416" s="157" t="s">
        <v>49</v>
      </c>
      <c r="AJ416" s="329">
        <v>4.6182494796825242E-2</v>
      </c>
      <c r="AK416" s="329">
        <v>4.6182494796825242E-2</v>
      </c>
      <c r="AL416" s="329">
        <v>4.6182494796825242E-2</v>
      </c>
      <c r="AM416" s="329">
        <v>4.6182494796825242E-2</v>
      </c>
      <c r="AN416" s="329">
        <v>4.6182494796825242E-2</v>
      </c>
      <c r="AO416" s="329">
        <v>4.6182494796825242E-2</v>
      </c>
      <c r="AP416" s="329">
        <v>4.6182494796825242E-2</v>
      </c>
      <c r="AQ416" s="329">
        <v>4.6182494796825242E-2</v>
      </c>
    </row>
    <row r="417" spans="4:43" s="157" customFormat="1" ht="12.75">
      <c r="E417" s="157" t="str">
        <f>Input!E417</f>
        <v>Non-Load Related - other</v>
      </c>
      <c r="G417" s="157" t="s">
        <v>49</v>
      </c>
      <c r="AG417" s="24"/>
      <c r="AJ417" s="329">
        <v>0.10662894601377962</v>
      </c>
      <c r="AK417" s="329">
        <v>0.10662894601377962</v>
      </c>
      <c r="AL417" s="329">
        <v>0.10662894601377962</v>
      </c>
      <c r="AM417" s="329">
        <v>0.10662894601377962</v>
      </c>
      <c r="AN417" s="329">
        <v>0.10662894601377962</v>
      </c>
      <c r="AO417" s="329">
        <v>0.10662894601377962</v>
      </c>
      <c r="AP417" s="329">
        <v>0.10662894601377962</v>
      </c>
      <c r="AQ417" s="329">
        <v>0.10662894601377962</v>
      </c>
    </row>
    <row r="418" spans="4:43" s="157" customFormat="1" ht="12.75">
      <c r="E418" s="157" t="str">
        <f>Input!E418</f>
        <v>Faults</v>
      </c>
      <c r="G418" s="157" t="s">
        <v>49</v>
      </c>
      <c r="AG418" s="24"/>
      <c r="AJ418" s="329">
        <v>3.0635716288533125E-4</v>
      </c>
      <c r="AK418" s="329">
        <v>3.0635716288533125E-4</v>
      </c>
      <c r="AL418" s="329">
        <v>3.0635716288533125E-4</v>
      </c>
      <c r="AM418" s="329">
        <v>3.0635716288533125E-4</v>
      </c>
      <c r="AN418" s="329">
        <v>3.0635716288533125E-4</v>
      </c>
      <c r="AO418" s="329">
        <v>3.0635716288533125E-4</v>
      </c>
      <c r="AP418" s="329">
        <v>3.0635716288533125E-4</v>
      </c>
      <c r="AQ418" s="329">
        <v>3.0635716288533125E-4</v>
      </c>
    </row>
    <row r="419" spans="4:43" s="157" customFormat="1" ht="12.75">
      <c r="E419" s="221" t="s">
        <v>992</v>
      </c>
      <c r="G419" s="157" t="s">
        <v>49</v>
      </c>
      <c r="AG419" s="24"/>
      <c r="AJ419" s="329">
        <v>0</v>
      </c>
      <c r="AK419" s="329">
        <v>0</v>
      </c>
      <c r="AL419" s="329">
        <v>0</v>
      </c>
      <c r="AM419" s="329">
        <v>0</v>
      </c>
      <c r="AN419" s="329">
        <v>0</v>
      </c>
      <c r="AO419" s="329">
        <v>0</v>
      </c>
      <c r="AP419" s="329">
        <v>0</v>
      </c>
      <c r="AQ419" s="329">
        <v>0</v>
      </c>
    </row>
    <row r="420" spans="4:43" s="157" customFormat="1" ht="12.75">
      <c r="E420" s="157" t="str">
        <f>Input!E420</f>
        <v>100% ‘revenue pool’ expenditure</v>
      </c>
      <c r="G420" s="157" t="s">
        <v>49</v>
      </c>
      <c r="AG420" s="24"/>
      <c r="AJ420" s="329">
        <v>0</v>
      </c>
      <c r="AK420" s="329">
        <v>0</v>
      </c>
      <c r="AL420" s="329">
        <v>0</v>
      </c>
      <c r="AM420" s="329">
        <v>0</v>
      </c>
      <c r="AN420" s="329">
        <v>0</v>
      </c>
      <c r="AO420" s="329">
        <v>0</v>
      </c>
      <c r="AP420" s="329">
        <v>0</v>
      </c>
      <c r="AQ420" s="329">
        <v>0</v>
      </c>
    </row>
    <row r="421" spans="4:43" s="157" customFormat="1" ht="12.75">
      <c r="E421" s="157" t="str">
        <f>Input!E421</f>
        <v>Controllable Opex</v>
      </c>
      <c r="G421" s="157" t="s">
        <v>49</v>
      </c>
      <c r="AG421" s="24"/>
      <c r="AJ421" s="329">
        <v>0</v>
      </c>
      <c r="AK421" s="329">
        <v>0</v>
      </c>
      <c r="AL421" s="329">
        <v>0</v>
      </c>
      <c r="AM421" s="329">
        <v>0</v>
      </c>
      <c r="AN421" s="329">
        <v>0</v>
      </c>
      <c r="AO421" s="329">
        <v>0</v>
      </c>
      <c r="AP421" s="329">
        <v>0</v>
      </c>
      <c r="AQ421" s="329">
        <v>0</v>
      </c>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f t="shared" ref="AJ426:AQ432" si="72">AJ375+AJ385+AJ395+AJ405+AJ415</f>
        <v>1</v>
      </c>
      <c r="AK426" s="217">
        <f t="shared" si="72"/>
        <v>1</v>
      </c>
      <c r="AL426" s="217">
        <f t="shared" si="72"/>
        <v>1</v>
      </c>
      <c r="AM426" s="217">
        <f t="shared" si="72"/>
        <v>1</v>
      </c>
      <c r="AN426" s="217">
        <f t="shared" si="72"/>
        <v>1</v>
      </c>
      <c r="AO426" s="217">
        <f t="shared" si="72"/>
        <v>1</v>
      </c>
      <c r="AP426" s="217">
        <f t="shared" si="72"/>
        <v>1</v>
      </c>
      <c r="AQ426" s="217">
        <f t="shared" si="72"/>
        <v>1</v>
      </c>
    </row>
    <row r="427" spans="4:43" s="157" customFormat="1" ht="12.75">
      <c r="E427" s="93" t="str">
        <f>Input!E427</f>
        <v>Non-load related capex - asset replacement</v>
      </c>
      <c r="G427" s="157" t="s">
        <v>49</v>
      </c>
      <c r="AJ427" s="217">
        <f t="shared" si="72"/>
        <v>0.99999999999999989</v>
      </c>
      <c r="AK427" s="217">
        <f t="shared" si="72"/>
        <v>0.99999999999999989</v>
      </c>
      <c r="AL427" s="217">
        <f t="shared" si="72"/>
        <v>0.99999999999999989</v>
      </c>
      <c r="AM427" s="217">
        <f t="shared" si="72"/>
        <v>0.99999999999999989</v>
      </c>
      <c r="AN427" s="217">
        <f t="shared" si="72"/>
        <v>0.99999999999999989</v>
      </c>
      <c r="AO427" s="217">
        <f t="shared" si="72"/>
        <v>0.99999999999999989</v>
      </c>
      <c r="AP427" s="217">
        <f t="shared" si="72"/>
        <v>0.99999999999999989</v>
      </c>
      <c r="AQ427" s="217">
        <f t="shared" si="72"/>
        <v>0.99999999999999989</v>
      </c>
    </row>
    <row r="428" spans="4:43" s="157" customFormat="1" ht="12.75">
      <c r="E428" s="157" t="str">
        <f>Input!E428</f>
        <v>Non-Load Related - other</v>
      </c>
      <c r="G428" s="157" t="s">
        <v>49</v>
      </c>
      <c r="AJ428" s="217">
        <f t="shared" si="72"/>
        <v>1.0000000000000002</v>
      </c>
      <c r="AK428" s="217">
        <f t="shared" si="72"/>
        <v>1.0000000000000002</v>
      </c>
      <c r="AL428" s="217">
        <f t="shared" si="72"/>
        <v>1.0000000000000002</v>
      </c>
      <c r="AM428" s="217">
        <f t="shared" si="72"/>
        <v>1.0000000000000002</v>
      </c>
      <c r="AN428" s="217">
        <f t="shared" si="72"/>
        <v>1.0000000000000002</v>
      </c>
      <c r="AO428" s="217">
        <f t="shared" si="72"/>
        <v>1.0000000000000002</v>
      </c>
      <c r="AP428" s="217">
        <f t="shared" si="72"/>
        <v>1.0000000000000002</v>
      </c>
      <c r="AQ428" s="217">
        <f t="shared" si="72"/>
        <v>1.0000000000000002</v>
      </c>
    </row>
    <row r="429" spans="4:43" s="157" customFormat="1" ht="12.75">
      <c r="E429" s="157" t="str">
        <f>Input!E429</f>
        <v>Faults</v>
      </c>
      <c r="G429" s="157" t="s">
        <v>49</v>
      </c>
      <c r="AJ429" s="217">
        <f t="shared" si="72"/>
        <v>1.0000000000000002</v>
      </c>
      <c r="AK429" s="217">
        <f t="shared" si="72"/>
        <v>1.0000000000000002</v>
      </c>
      <c r="AL429" s="217">
        <f t="shared" si="72"/>
        <v>1.0000000000000002</v>
      </c>
      <c r="AM429" s="217">
        <f t="shared" si="72"/>
        <v>1.0000000000000002</v>
      </c>
      <c r="AN429" s="217">
        <f t="shared" si="72"/>
        <v>1.0000000000000002</v>
      </c>
      <c r="AO429" s="217">
        <f t="shared" si="72"/>
        <v>1.0000000000000002</v>
      </c>
      <c r="AP429" s="217">
        <f t="shared" si="72"/>
        <v>1.0000000000000002</v>
      </c>
      <c r="AQ429" s="217">
        <f t="shared" si="72"/>
        <v>1.0000000000000002</v>
      </c>
    </row>
    <row r="430" spans="4:43" s="157" customFormat="1" ht="12.75">
      <c r="E430" s="221" t="s">
        <v>992</v>
      </c>
      <c r="G430" s="157" t="s">
        <v>49</v>
      </c>
      <c r="AJ430" s="217">
        <f t="shared" si="72"/>
        <v>1</v>
      </c>
      <c r="AK430" s="217">
        <f t="shared" si="72"/>
        <v>1</v>
      </c>
      <c r="AL430" s="217">
        <f t="shared" si="72"/>
        <v>1</v>
      </c>
      <c r="AM430" s="217">
        <f t="shared" si="72"/>
        <v>1</v>
      </c>
      <c r="AN430" s="217">
        <f t="shared" si="72"/>
        <v>1</v>
      </c>
      <c r="AO430" s="217">
        <f t="shared" si="72"/>
        <v>1</v>
      </c>
      <c r="AP430" s="217">
        <f t="shared" si="72"/>
        <v>1</v>
      </c>
      <c r="AQ430" s="217">
        <f t="shared" si="72"/>
        <v>1</v>
      </c>
    </row>
    <row r="431" spans="4:43" s="157" customFormat="1" ht="12.75">
      <c r="E431" s="157" t="str">
        <f>Input!E431</f>
        <v>100% ‘revenue pool’ expenditure</v>
      </c>
      <c r="G431" s="157" t="s">
        <v>49</v>
      </c>
      <c r="AJ431" s="217">
        <f t="shared" si="72"/>
        <v>1</v>
      </c>
      <c r="AK431" s="217">
        <f t="shared" si="72"/>
        <v>1</v>
      </c>
      <c r="AL431" s="217">
        <f t="shared" si="72"/>
        <v>1</v>
      </c>
      <c r="AM431" s="217">
        <f t="shared" si="72"/>
        <v>1</v>
      </c>
      <c r="AN431" s="217">
        <f t="shared" si="72"/>
        <v>1</v>
      </c>
      <c r="AO431" s="217">
        <f t="shared" si="72"/>
        <v>1</v>
      </c>
      <c r="AP431" s="217">
        <f t="shared" si="72"/>
        <v>1</v>
      </c>
      <c r="AQ431" s="217">
        <f t="shared" si="72"/>
        <v>1</v>
      </c>
    </row>
    <row r="432" spans="4:43" s="157" customFormat="1" ht="12.75">
      <c r="E432" s="157" t="str">
        <f>Input!E432</f>
        <v>Controllable Opex</v>
      </c>
      <c r="G432" s="157" t="s">
        <v>49</v>
      </c>
      <c r="AJ432" s="217">
        <f t="shared" si="72"/>
        <v>0.99999999999999989</v>
      </c>
      <c r="AK432" s="217">
        <f t="shared" si="72"/>
        <v>0.99999999999999989</v>
      </c>
      <c r="AL432" s="217">
        <f t="shared" si="72"/>
        <v>0.99999999999999989</v>
      </c>
      <c r="AM432" s="217">
        <f t="shared" si="72"/>
        <v>0.99999999999999989</v>
      </c>
      <c r="AN432" s="217">
        <f t="shared" si="72"/>
        <v>0.99999999999999989</v>
      </c>
      <c r="AO432" s="217">
        <f t="shared" si="72"/>
        <v>0.99999999999999989</v>
      </c>
      <c r="AP432" s="217">
        <f t="shared" si="72"/>
        <v>0.99999999999999989</v>
      </c>
      <c r="AQ432" s="217">
        <f t="shared" si="72"/>
        <v>0.99999999999999989</v>
      </c>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v>51.525097325252361</v>
      </c>
      <c r="AK436" s="227">
        <v>53.71630329604389</v>
      </c>
      <c r="AL436" s="227">
        <v>54.054089778568397</v>
      </c>
      <c r="AM436" s="227">
        <v>55.816523745052031</v>
      </c>
      <c r="AN436" s="227">
        <v>56.763495401372573</v>
      </c>
      <c r="AO436" s="227">
        <v>56.164580011411857</v>
      </c>
      <c r="AP436" s="227">
        <v>57.897067060683291</v>
      </c>
      <c r="AQ436" s="227">
        <v>59.071319745029186</v>
      </c>
    </row>
    <row r="437" spans="1:43" ht="15" customHeight="1">
      <c r="A437" s="400"/>
      <c r="E437" s="149" t="s">
        <v>579</v>
      </c>
      <c r="G437" s="149" t="s">
        <v>844</v>
      </c>
      <c r="H437" s="362"/>
      <c r="AJ437" s="227">
        <v>161.3896305511791</v>
      </c>
      <c r="AK437" s="227">
        <v>186.72248949616377</v>
      </c>
      <c r="AL437" s="227">
        <v>181.5468059918777</v>
      </c>
      <c r="AM437" s="227">
        <v>167.81434814587976</v>
      </c>
      <c r="AN437" s="227">
        <v>159.68895173148468</v>
      </c>
      <c r="AO437" s="227">
        <v>154.12286241883777</v>
      </c>
      <c r="AP437" s="227">
        <v>155.86376431454948</v>
      </c>
      <c r="AQ437" s="227">
        <v>148.56343437744619</v>
      </c>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f>'Revenue Profiling'!AJ248*'Revenue Profiling'!$G$248</f>
        <v>-14.172919552740399</v>
      </c>
      <c r="AK446" s="236">
        <f>'Revenue Profiling'!AK248*'Revenue Profiling'!$G$248</f>
        <v>-19.866422081235399</v>
      </c>
      <c r="AL446" s="236">
        <f>'Revenue Profiling'!AL248*'Revenue Profiling'!$G$248</f>
        <v>-16.878180515210499</v>
      </c>
      <c r="AM446" s="236">
        <f>'Revenue Profiling'!AM248*'Revenue Profiling'!$G$248</f>
        <v>-11.843635642291668</v>
      </c>
      <c r="AN446" s="236">
        <f>'Revenue Profiling'!AN248*'Revenue Profiling'!$G$248</f>
        <v>3.0408866672822299</v>
      </c>
      <c r="AO446" s="236">
        <f>'Revenue Profiling'!AO248*'Revenue Profiling'!$G$248</f>
        <v>10.327768072408599</v>
      </c>
      <c r="AP446" s="236">
        <f>'Revenue Profiling'!AP248*'Revenue Profiling'!$G$248</f>
        <v>18.978692725747198</v>
      </c>
      <c r="AQ446" s="236">
        <f>'Revenue Profiling'!AQ248*'Revenue Profiling'!$G$248</f>
        <v>30.647284058307616</v>
      </c>
    </row>
    <row r="447" spans="1:43" ht="15" customHeight="1">
      <c r="E447" s="149" t="s">
        <v>816</v>
      </c>
      <c r="G447" s="149" t="s">
        <v>844</v>
      </c>
      <c r="AJ447" s="236">
        <f>'Revenue Profiling'!AJ265*'Revenue Profiling'!$G$248</f>
        <v>0.34294617009704814</v>
      </c>
      <c r="AK447" s="236">
        <f>'Revenue Profiling'!AK265*'Revenue Profiling'!$G$248</f>
        <v>1.1671313577041902</v>
      </c>
      <c r="AL447" s="236">
        <f>'Revenue Profiling'!AL265*'Revenue Profiling'!$G$248</f>
        <v>2.0579457308493807</v>
      </c>
      <c r="AM447" s="236">
        <f>'Revenue Profiling'!AM265*'Revenue Profiling'!$G$248</f>
        <v>2.7556747450008379</v>
      </c>
      <c r="AN447" s="236">
        <f>'Revenue Profiling'!AN265*'Revenue Profiling'!$G$248</f>
        <v>2.9719155427727109</v>
      </c>
      <c r="AO447" s="236">
        <f>'Revenue Profiling'!AO265*'Revenue Profiling'!$G$248</f>
        <v>2.651229030358099</v>
      </c>
      <c r="AP447" s="236">
        <f>'Revenue Profiling'!AP265*'Revenue Profiling'!$G$248</f>
        <v>1.9435571234994955</v>
      </c>
      <c r="AQ447" s="236">
        <f>'Revenue Profiling'!AQ265*'Revenue Profiling'!$G$248</f>
        <v>0.74235651819556048</v>
      </c>
    </row>
    <row r="448" spans="1:43" ht="15" customHeight="1">
      <c r="E448" s="149" t="s">
        <v>817</v>
      </c>
      <c r="G448" s="149" t="s">
        <v>844</v>
      </c>
      <c r="AJ448" s="149">
        <f>AJ460</f>
        <v>0</v>
      </c>
      <c r="AK448" s="149">
        <f t="shared" ref="AK448:AQ448" si="73">AK460</f>
        <v>0</v>
      </c>
      <c r="AL448" s="149">
        <f t="shared" si="73"/>
        <v>0</v>
      </c>
      <c r="AM448" s="149">
        <f t="shared" si="73"/>
        <v>0</v>
      </c>
      <c r="AN448" s="149">
        <f t="shared" si="73"/>
        <v>0</v>
      </c>
      <c r="AO448" s="149">
        <f t="shared" si="73"/>
        <v>0</v>
      </c>
      <c r="AP448" s="149">
        <f t="shared" si="73"/>
        <v>0</v>
      </c>
      <c r="AQ448" s="149">
        <f t="shared" si="73"/>
        <v>0</v>
      </c>
    </row>
    <row r="450" spans="2:43" ht="15" customHeight="1">
      <c r="E450" s="149" t="s">
        <v>812</v>
      </c>
    </row>
    <row r="452" spans="2:43" ht="15" customHeight="1">
      <c r="E452" s="149" t="s">
        <v>815</v>
      </c>
      <c r="AJ452" s="406">
        <f>AJ453</f>
        <v>3.8679999999999999E-2</v>
      </c>
      <c r="AK452" s="406">
        <f t="shared" ref="AK452:AQ452" si="74">AK453</f>
        <v>3.8679999999999999E-2</v>
      </c>
      <c r="AL452" s="406">
        <f t="shared" si="74"/>
        <v>3.8679999999999999E-2</v>
      </c>
      <c r="AM452" s="406">
        <f t="shared" si="74"/>
        <v>3.8679999999999999E-2</v>
      </c>
      <c r="AN452" s="406">
        <f t="shared" si="74"/>
        <v>3.8679999999999999E-2</v>
      </c>
      <c r="AO452" s="406">
        <f t="shared" si="74"/>
        <v>3.8679999999999999E-2</v>
      </c>
      <c r="AP452" s="406">
        <f t="shared" si="74"/>
        <v>3.8679999999999999E-2</v>
      </c>
      <c r="AQ452" s="406">
        <f t="shared" si="74"/>
        <v>3.8679999999999999E-2</v>
      </c>
    </row>
    <row r="453" spans="2:43" ht="15" customHeight="1">
      <c r="E453" s="149" t="s">
        <v>813</v>
      </c>
      <c r="AJ453" s="165">
        <f>AJ51</f>
        <v>3.8679999999999999E-2</v>
      </c>
      <c r="AK453" s="165">
        <f t="shared" ref="AK453:AQ453" si="75">AK51</f>
        <v>3.8679999999999999E-2</v>
      </c>
      <c r="AL453" s="165">
        <f t="shared" si="75"/>
        <v>3.8679999999999999E-2</v>
      </c>
      <c r="AM453" s="165">
        <f t="shared" si="75"/>
        <v>3.8679999999999999E-2</v>
      </c>
      <c r="AN453" s="165">
        <f t="shared" si="75"/>
        <v>3.8679999999999999E-2</v>
      </c>
      <c r="AO453" s="165">
        <f t="shared" si="75"/>
        <v>3.8679999999999999E-2</v>
      </c>
      <c r="AP453" s="165">
        <f t="shared" si="75"/>
        <v>3.8679999999999999E-2</v>
      </c>
      <c r="AQ453" s="165">
        <f t="shared" si="75"/>
        <v>3.8679999999999999E-2</v>
      </c>
    </row>
    <row r="455" spans="2:43" ht="15" customHeight="1">
      <c r="E455" s="149" t="s">
        <v>814</v>
      </c>
    </row>
    <row r="456" spans="2:43" ht="15" customHeight="1">
      <c r="E456" s="157" t="s">
        <v>803</v>
      </c>
      <c r="AJ456" s="236">
        <v>0</v>
      </c>
      <c r="AK456" s="236">
        <v>-17.732480356620897</v>
      </c>
      <c r="AL456" s="236">
        <v>-42.615573299231926</v>
      </c>
      <c r="AM456" s="236">
        <v>-63.793202856374307</v>
      </c>
      <c r="AN456" s="236">
        <v>-78.692564036291685</v>
      </c>
      <c r="AO456" s="236">
        <v>-74.974212660367868</v>
      </c>
      <c r="AP456" s="236">
        <v>-62.11103962292384</v>
      </c>
      <c r="AQ456" s="236">
        <v>-38.383095609682073</v>
      </c>
    </row>
    <row r="457" spans="2:43" ht="15" customHeight="1">
      <c r="E457" s="157" t="s">
        <v>805</v>
      </c>
      <c r="AJ457" s="236">
        <v>-17.732480356620897</v>
      </c>
      <c r="AK457" s="236">
        <v>-24.883092942611029</v>
      </c>
      <c r="AL457" s="236">
        <v>-21.177629557142382</v>
      </c>
      <c r="AM457" s="236">
        <v>-14.899361179917378</v>
      </c>
      <c r="AN457" s="236">
        <v>3.7183513759238167</v>
      </c>
      <c r="AO457" s="236">
        <v>12.863173037444028</v>
      </c>
      <c r="AP457" s="236">
        <v>23.727944013241768</v>
      </c>
      <c r="AQ457" s="236">
        <v>38.381727346815751</v>
      </c>
    </row>
    <row r="458" spans="2:43" ht="15" customHeight="1">
      <c r="E458" s="195" t="s">
        <v>806</v>
      </c>
      <c r="AJ458" s="236">
        <v>-17.732480356620897</v>
      </c>
      <c r="AK458" s="236">
        <v>-42.615573299231926</v>
      </c>
      <c r="AL458" s="236">
        <v>-63.793202856374307</v>
      </c>
      <c r="AM458" s="236">
        <v>-78.692564036291685</v>
      </c>
      <c r="AN458" s="236">
        <v>-74.974212660367868</v>
      </c>
      <c r="AO458" s="236">
        <v>-62.11103962292384</v>
      </c>
      <c r="AP458" s="236">
        <v>-38.383095609682073</v>
      </c>
      <c r="AQ458" s="236">
        <v>-1.3682628663218566E-3</v>
      </c>
    </row>
    <row r="460" spans="2:43" ht="15" customHeight="1">
      <c r="E460" s="149" t="s">
        <v>811</v>
      </c>
      <c r="AJ460" s="149">
        <f t="shared" ref="AJ460:AQ460" si="76">AVERAGE(AJ456,AJ458)*(AJ453-AJ452)</f>
        <v>0</v>
      </c>
      <c r="AK460" s="149">
        <f t="shared" si="76"/>
        <v>0</v>
      </c>
      <c r="AL460" s="149">
        <f t="shared" si="76"/>
        <v>0</v>
      </c>
      <c r="AM460" s="149">
        <f t="shared" si="76"/>
        <v>0</v>
      </c>
      <c r="AN460" s="149">
        <f t="shared" si="76"/>
        <v>0</v>
      </c>
      <c r="AO460" s="149">
        <f t="shared" si="76"/>
        <v>0</v>
      </c>
      <c r="AP460" s="149">
        <f t="shared" si="76"/>
        <v>0</v>
      </c>
      <c r="AQ460" s="149">
        <f t="shared" si="76"/>
        <v>0</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v>231.2216077937116</v>
      </c>
      <c r="AK464" s="236">
        <v>252.77504164187272</v>
      </c>
      <c r="AL464" s="236">
        <v>246.51489310790546</v>
      </c>
      <c r="AM464" s="236">
        <v>238.4490595737642</v>
      </c>
      <c r="AN464" s="236">
        <v>231.2002291834705</v>
      </c>
      <c r="AO464" s="236">
        <v>224.06138369795403</v>
      </c>
      <c r="AP464" s="236">
        <v>224.70436881726491</v>
      </c>
      <c r="AQ464" s="236">
        <v>218.92582025466305</v>
      </c>
    </row>
  </sheetData>
  <conditionalFormatting sqref="AJ426:AQ432">
    <cfRule type="cellIs" dxfId="11" priority="1" operator="lessThan">
      <formula>1</formula>
    </cfRule>
    <cfRule type="cellIs" dxfId="10"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2">
    <tabColor rgb="FF7030A0"/>
    <pageSetUpPr fitToPage="1"/>
  </sheetPr>
  <dimension ref="A1:AR490"/>
  <sheetViews>
    <sheetView zoomScale="70" zoomScaleNormal="70" workbookViewId="0">
      <pane xSplit="10" ySplit="7" topLeftCell="AB8" activePane="bottomRight" state="frozen"/>
      <selection activeCell="AI456" sqref="AI456"/>
      <selection pane="topRight" activeCell="AI456" sqref="AI456"/>
      <selection pane="bottomLeft" activeCell="AI456" sqref="AI456"/>
      <selection pane="bottomRight" activeCell="AJ462" sqref="AJ462"/>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634</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684</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692</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692</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v>2.7199999999999998E-2</v>
      </c>
      <c r="AK11" s="230">
        <v>2.7199999999999998E-2</v>
      </c>
      <c r="AL11" s="230">
        <v>2.7199999999999998E-2</v>
      </c>
      <c r="AM11" s="230">
        <v>2.7199999999999998E-2</v>
      </c>
      <c r="AN11" s="230">
        <v>2.7199999999999998E-2</v>
      </c>
      <c r="AO11" s="230">
        <v>2.7199999999999998E-2</v>
      </c>
      <c r="AP11" s="230">
        <v>2.7199999999999998E-2</v>
      </c>
      <c r="AQ11" s="230">
        <v>2.7199999999999998E-2</v>
      </c>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v>10.061045878100002</v>
      </c>
      <c r="AK19" s="421">
        <v>4.0616877861887604</v>
      </c>
      <c r="AL19" s="421">
        <v>0.51242995653064372</v>
      </c>
      <c r="AM19" s="421">
        <v>0</v>
      </c>
      <c r="AN19" s="421">
        <v>0</v>
      </c>
      <c r="AO19" s="421">
        <v>0</v>
      </c>
      <c r="AP19" s="421">
        <v>0</v>
      </c>
      <c r="AQ19" s="421">
        <v>0</v>
      </c>
    </row>
    <row r="20" spans="5:43" ht="15" customHeight="1">
      <c r="E20" s="157" t="str">
        <f>Input!E20</f>
        <v>Allowed Expenditure - High Value Projects</v>
      </c>
      <c r="F20" s="157" t="str">
        <f>Input!F20</f>
        <v>CRC3F</v>
      </c>
      <c r="G20" s="157" t="str">
        <f>Input!G20</f>
        <v>£m 12/13 prices</v>
      </c>
      <c r="H20" s="157" t="str">
        <f>Input!H20</f>
        <v>UCHVP</v>
      </c>
      <c r="AJ20" s="421">
        <v>12.170692258631048</v>
      </c>
      <c r="AK20" s="421">
        <v>9.4291807792446498</v>
      </c>
      <c r="AL20" s="421">
        <v>0.58354088645831426</v>
      </c>
      <c r="AM20" s="421">
        <v>0</v>
      </c>
      <c r="AN20" s="421">
        <v>0</v>
      </c>
      <c r="AO20" s="421">
        <v>0</v>
      </c>
      <c r="AP20" s="421">
        <v>0</v>
      </c>
      <c r="AQ20" s="421">
        <v>0</v>
      </c>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v>0</v>
      </c>
      <c r="AK21" s="421">
        <v>0</v>
      </c>
      <c r="AL21" s="421">
        <v>0</v>
      </c>
      <c r="AM21" s="421">
        <v>0</v>
      </c>
      <c r="AN21" s="421">
        <v>0</v>
      </c>
      <c r="AO21" s="421">
        <v>0</v>
      </c>
      <c r="AP21" s="421">
        <v>0</v>
      </c>
      <c r="AQ21" s="421">
        <v>0</v>
      </c>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v>0</v>
      </c>
      <c r="AK22" s="421">
        <v>0</v>
      </c>
      <c r="AL22" s="421">
        <v>0</v>
      </c>
      <c r="AM22" s="421">
        <v>0</v>
      </c>
      <c r="AN22" s="421">
        <v>0</v>
      </c>
      <c r="AO22" s="421">
        <v>0</v>
      </c>
      <c r="AP22" s="421">
        <v>0</v>
      </c>
      <c r="AQ22" s="421">
        <v>0</v>
      </c>
    </row>
    <row r="23" spans="5:43" ht="15" customHeight="1">
      <c r="E23" s="157" t="str">
        <f>Input!E23</f>
        <v xml:space="preserve">Allowed Expenditure - Smart Meter Allowed Expenditure                                                                                                                                          </v>
      </c>
      <c r="F23" s="157" t="str">
        <f>Input!F23</f>
        <v>CRC3E</v>
      </c>
      <c r="G23" s="157" t="str">
        <f>Input!G23</f>
        <v>£m 12/13 prices</v>
      </c>
      <c r="H23" s="157" t="str">
        <f>Input!H23</f>
        <v>SAME</v>
      </c>
      <c r="AJ23" s="421">
        <v>1.9792613477073226</v>
      </c>
      <c r="AK23" s="421">
        <v>3.5960455100936333</v>
      </c>
      <c r="AL23" s="421">
        <v>4.5933040006622869</v>
      </c>
      <c r="AM23" s="421">
        <v>5.0146969369760699</v>
      </c>
      <c r="AN23" s="421">
        <v>4.9126808653366698</v>
      </c>
      <c r="AO23" s="421">
        <v>3.4523423503379242</v>
      </c>
      <c r="AP23" s="421">
        <v>0</v>
      </c>
      <c r="AQ23" s="421">
        <v>0</v>
      </c>
    </row>
    <row r="24" spans="5:43" ht="15" customHeight="1">
      <c r="E24" s="157" t="str">
        <f>Input!E24</f>
        <v>Allowed Expenditure - Specified Street Works</v>
      </c>
      <c r="F24" s="157" t="str">
        <f>Input!F24</f>
        <v>CRC3F</v>
      </c>
      <c r="G24" s="157" t="str">
        <f>Input!G24</f>
        <v>£m 12/13 prices</v>
      </c>
      <c r="H24" s="157" t="str">
        <f>Input!H24</f>
        <v>UCSSW</v>
      </c>
      <c r="AJ24" s="421">
        <v>0</v>
      </c>
      <c r="AK24" s="421">
        <v>0</v>
      </c>
      <c r="AL24" s="421">
        <v>0</v>
      </c>
      <c r="AM24" s="421">
        <v>0</v>
      </c>
      <c r="AN24" s="421">
        <v>0</v>
      </c>
      <c r="AO24" s="421">
        <v>0</v>
      </c>
      <c r="AP24" s="421">
        <v>0</v>
      </c>
      <c r="AQ24" s="421">
        <v>0</v>
      </c>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v>40.490190883581199</v>
      </c>
      <c r="AK25" s="421">
        <v>44.49888004863508</v>
      </c>
      <c r="AL25" s="421">
        <v>44.803354579232071</v>
      </c>
      <c r="AM25" s="421">
        <v>39.80372532123863</v>
      </c>
      <c r="AN25" s="421">
        <v>43.096141014438651</v>
      </c>
      <c r="AO25" s="421">
        <v>48.224808064262426</v>
      </c>
      <c r="AP25" s="421">
        <v>51.355987731563673</v>
      </c>
      <c r="AQ25" s="421">
        <v>46.729233176197212</v>
      </c>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v>0</v>
      </c>
      <c r="AK26" s="421">
        <v>0</v>
      </c>
      <c r="AL26" s="421">
        <v>0</v>
      </c>
      <c r="AM26" s="421">
        <v>0</v>
      </c>
      <c r="AN26" s="421">
        <v>0</v>
      </c>
      <c r="AO26" s="421">
        <v>0</v>
      </c>
      <c r="AP26" s="421">
        <v>0</v>
      </c>
      <c r="AQ26" s="421">
        <v>0</v>
      </c>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v>13.951102787235566</v>
      </c>
      <c r="AK31" s="224">
        <v>13.951102787235566</v>
      </c>
      <c r="AL31" s="224">
        <v>13.951102787235566</v>
      </c>
      <c r="AM31" s="224">
        <v>13.951102787235566</v>
      </c>
      <c r="AN31" s="224">
        <v>13.951102787235566</v>
      </c>
      <c r="AO31" s="224">
        <v>13.951102787235566</v>
      </c>
      <c r="AP31" s="224">
        <v>13.951102787235566</v>
      </c>
      <c r="AQ31" s="224">
        <v>13.951102787235566</v>
      </c>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f t="shared" ref="AJ47:AQ47" si="0">AJ11</f>
        <v>2.7199999999999998E-2</v>
      </c>
      <c r="AK47" s="405">
        <f t="shared" si="0"/>
        <v>2.7199999999999998E-2</v>
      </c>
      <c r="AL47" s="405">
        <f t="shared" si="0"/>
        <v>2.7199999999999998E-2</v>
      </c>
      <c r="AM47" s="405">
        <f t="shared" si="0"/>
        <v>2.7199999999999998E-2</v>
      </c>
      <c r="AN47" s="405">
        <f t="shared" si="0"/>
        <v>2.7199999999999998E-2</v>
      </c>
      <c r="AO47" s="405">
        <f t="shared" si="0"/>
        <v>2.7199999999999998E-2</v>
      </c>
      <c r="AP47" s="405">
        <f t="shared" si="0"/>
        <v>2.7199999999999998E-2</v>
      </c>
      <c r="AQ47" s="405">
        <f t="shared" si="0"/>
        <v>2.7199999999999998E-2</v>
      </c>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v>0.06</v>
      </c>
      <c r="AK48" s="238">
        <v>0.06</v>
      </c>
      <c r="AL48" s="238">
        <v>0.06</v>
      </c>
      <c r="AM48" s="238">
        <v>0.06</v>
      </c>
      <c r="AN48" s="238">
        <v>0.06</v>
      </c>
      <c r="AO48" s="238">
        <v>0.06</v>
      </c>
      <c r="AP48" s="238">
        <v>0.06</v>
      </c>
      <c r="AQ48" s="238">
        <v>0.06</v>
      </c>
    </row>
    <row r="49" spans="3:44"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v>0.65</v>
      </c>
      <c r="AJ49" s="238">
        <v>0.65</v>
      </c>
      <c r="AK49" s="238">
        <v>0.65</v>
      </c>
      <c r="AL49" s="238">
        <v>0.65</v>
      </c>
      <c r="AM49" s="238">
        <v>0.65</v>
      </c>
      <c r="AN49" s="238">
        <v>0.65</v>
      </c>
      <c r="AO49" s="238">
        <v>0.65</v>
      </c>
      <c r="AP49" s="238">
        <v>0.65</v>
      </c>
      <c r="AQ49" s="238">
        <v>0.65</v>
      </c>
      <c r="AR49" s="238">
        <v>0.65</v>
      </c>
    </row>
    <row r="50" spans="3:44"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4"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589">
        <f t="shared" ref="AJ51:AQ51" si="1">(AJ47 * AJ49) + (AJ48 * (1 - AJ49))</f>
        <v>3.8679999999999999E-2</v>
      </c>
      <c r="AK51" s="407">
        <f t="shared" si="1"/>
        <v>3.8679999999999999E-2</v>
      </c>
      <c r="AL51" s="407">
        <f t="shared" si="1"/>
        <v>3.8679999999999999E-2</v>
      </c>
      <c r="AM51" s="407">
        <f t="shared" si="1"/>
        <v>3.8679999999999999E-2</v>
      </c>
      <c r="AN51" s="407">
        <f t="shared" si="1"/>
        <v>3.8679999999999999E-2</v>
      </c>
      <c r="AO51" s="407">
        <f t="shared" si="1"/>
        <v>3.8679999999999999E-2</v>
      </c>
      <c r="AP51" s="407">
        <f t="shared" si="1"/>
        <v>3.8679999999999999E-2</v>
      </c>
      <c r="AQ51" s="407">
        <f t="shared" si="1"/>
        <v>3.8679999999999999E-2</v>
      </c>
    </row>
    <row r="52" spans="3:44"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4"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4"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4"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4"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4"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f>ROUND(AVERAGE(242.5,242.4,241.8,242.1,243,244.2,245.6,245.6,246.8,245.8,247.6,248.7),3)</f>
        <v>244.67500000000001</v>
      </c>
      <c r="AH57" s="236">
        <f t="shared" ref="AH57:AQ57" si="2">ROUND(AG57*(1+3.1%),3)</f>
        <v>252.26</v>
      </c>
      <c r="AI57" s="236">
        <f t="shared" si="2"/>
        <v>260.08</v>
      </c>
      <c r="AJ57" s="236">
        <f t="shared" si="2"/>
        <v>268.142</v>
      </c>
      <c r="AK57" s="236">
        <f t="shared" si="2"/>
        <v>276.45400000000001</v>
      </c>
      <c r="AL57" s="236">
        <f t="shared" si="2"/>
        <v>285.024</v>
      </c>
      <c r="AM57" s="236">
        <f t="shared" si="2"/>
        <v>293.86</v>
      </c>
      <c r="AN57" s="236">
        <f t="shared" si="2"/>
        <v>302.97000000000003</v>
      </c>
      <c r="AO57" s="236">
        <f t="shared" si="2"/>
        <v>312.36200000000002</v>
      </c>
      <c r="AP57" s="236">
        <f t="shared" si="2"/>
        <v>322.04500000000002</v>
      </c>
      <c r="AQ57" s="236">
        <f t="shared" si="2"/>
        <v>332.02800000000002</v>
      </c>
    </row>
    <row r="58" spans="3:44"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f>ROUND(AVERAGE(242.5,242.4,241.8,242.1,243,244.2,245.6,245.6,246.8,245.8,247.6,248.7),3)</f>
        <v>244.67500000000001</v>
      </c>
      <c r="AH58" s="236">
        <f t="shared" ref="AH58:AQ58" si="3">ROUND(AG58*(1+3.1%),3)</f>
        <v>252.26</v>
      </c>
      <c r="AI58" s="236">
        <f t="shared" si="3"/>
        <v>260.08</v>
      </c>
      <c r="AJ58" s="236">
        <f t="shared" si="3"/>
        <v>268.142</v>
      </c>
      <c r="AK58" s="236">
        <f t="shared" si="3"/>
        <v>276.45400000000001</v>
      </c>
      <c r="AL58" s="236">
        <f t="shared" si="3"/>
        <v>285.024</v>
      </c>
      <c r="AM58" s="236">
        <f t="shared" si="3"/>
        <v>293.86</v>
      </c>
      <c r="AN58" s="236">
        <f t="shared" si="3"/>
        <v>302.97000000000003</v>
      </c>
      <c r="AO58" s="236">
        <f t="shared" si="3"/>
        <v>312.36200000000002</v>
      </c>
      <c r="AP58" s="236">
        <f t="shared" si="3"/>
        <v>322.04500000000002</v>
      </c>
      <c r="AQ58" s="236">
        <f t="shared" si="3"/>
        <v>332.02800000000002</v>
      </c>
    </row>
    <row r="59" spans="3:44"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4"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4" ht="15" customHeight="1">
      <c r="E62" s="149" t="s">
        <v>197</v>
      </c>
      <c r="G62" s="149" t="s">
        <v>51</v>
      </c>
      <c r="I62" s="326">
        <v>2</v>
      </c>
    </row>
    <row r="63" spans="3:44" ht="15" customHeight="1">
      <c r="AI63" s="147"/>
    </row>
    <row r="64" spans="3:44" ht="15" customHeight="1">
      <c r="E64" s="149" t="str">
        <f>Input!E64</f>
        <v>Capitalised share of totex</v>
      </c>
      <c r="G64" s="149" t="s">
        <v>49</v>
      </c>
      <c r="AI64" s="147"/>
      <c r="AJ64" s="406">
        <v>0.68</v>
      </c>
      <c r="AK64" s="406">
        <v>0.68</v>
      </c>
      <c r="AL64" s="406">
        <v>0.68</v>
      </c>
      <c r="AM64" s="406">
        <v>0.68</v>
      </c>
      <c r="AN64" s="406">
        <v>0.68</v>
      </c>
      <c r="AO64" s="406">
        <v>0.68</v>
      </c>
      <c r="AP64" s="406">
        <v>0.68</v>
      </c>
      <c r="AQ64" s="406">
        <v>0.68</v>
      </c>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f>I74</f>
        <v>2779.4571185575469</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v>2779.4571185575469</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f>I73 + LPN!I73+SPN!I73</f>
        <v>6608.1484301111032</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f>I74 + LPN!I74+SPN!I74</f>
        <v>6608.1484301111032</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v>0.05</v>
      </c>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v>0.05</v>
      </c>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v>0.05</v>
      </c>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f t="shared" ref="AJ85:AQ85" si="4">AJ49</f>
        <v>0.65</v>
      </c>
      <c r="AK85" s="238">
        <f t="shared" si="4"/>
        <v>0.65</v>
      </c>
      <c r="AL85" s="238">
        <f t="shared" si="4"/>
        <v>0.65</v>
      </c>
      <c r="AM85" s="238">
        <f t="shared" si="4"/>
        <v>0.65</v>
      </c>
      <c r="AN85" s="238">
        <f t="shared" si="4"/>
        <v>0.65</v>
      </c>
      <c r="AO85" s="238">
        <f t="shared" si="4"/>
        <v>0.65</v>
      </c>
      <c r="AP85" s="238">
        <f t="shared" si="4"/>
        <v>0.65</v>
      </c>
      <c r="AQ85" s="238">
        <f t="shared" si="4"/>
        <v>0.65</v>
      </c>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v>0.25</v>
      </c>
      <c r="AK87" s="238">
        <v>0.25</v>
      </c>
      <c r="AL87" s="238">
        <v>0.25</v>
      </c>
      <c r="AM87" s="238">
        <v>0.25</v>
      </c>
      <c r="AN87" s="238">
        <v>0.25</v>
      </c>
      <c r="AO87" s="238">
        <v>0.25</v>
      </c>
      <c r="AP87" s="238">
        <v>0.25</v>
      </c>
      <c r="AQ87" s="238">
        <v>0.25</v>
      </c>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v>0</v>
      </c>
      <c r="AK95" s="236">
        <v>0</v>
      </c>
      <c r="AL95" s="236">
        <v>0</v>
      </c>
      <c r="AM95" s="236">
        <v>0</v>
      </c>
      <c r="AN95" s="236">
        <v>0</v>
      </c>
      <c r="AO95" s="236">
        <v>0</v>
      </c>
      <c r="AP95" s="236">
        <v>0</v>
      </c>
      <c r="AQ95" s="236">
        <v>0</v>
      </c>
    </row>
    <row r="96" spans="2:43" s="309" customFormat="1" ht="15" customHeight="1">
      <c r="E96" s="163" t="str">
        <f>Input!E96</f>
        <v>Non-variant allowed non-load related capex - asset replacement</v>
      </c>
      <c r="G96" s="309" t="s">
        <v>844</v>
      </c>
      <c r="I96" s="409"/>
      <c r="AE96" s="149"/>
      <c r="AJ96" s="236">
        <v>92.539509591217723</v>
      </c>
      <c r="AK96" s="236">
        <v>96.414825281976988</v>
      </c>
      <c r="AL96" s="236">
        <v>103.97016604225969</v>
      </c>
      <c r="AM96" s="236">
        <v>109.78537332942494</v>
      </c>
      <c r="AN96" s="236">
        <v>108.1702370194896</v>
      </c>
      <c r="AO96" s="236">
        <v>98.982252407495849</v>
      </c>
      <c r="AP96" s="236">
        <v>96.96652241711881</v>
      </c>
      <c r="AQ96" s="236">
        <v>90.584887306285694</v>
      </c>
    </row>
    <row r="97" spans="4:43" s="309" customFormat="1" ht="15" customHeight="1">
      <c r="E97" s="163" t="str">
        <f>Input!E97</f>
        <v>Non-variant allowed non-load related capex - other</v>
      </c>
      <c r="G97" s="309" t="s">
        <v>844</v>
      </c>
      <c r="I97" s="409"/>
      <c r="AJ97" s="236">
        <v>21.993987836238571</v>
      </c>
      <c r="AK97" s="236">
        <v>31.408094928224315</v>
      </c>
      <c r="AL97" s="236">
        <v>22.448702748645943</v>
      </c>
      <c r="AM97" s="236">
        <v>22.133899049525382</v>
      </c>
      <c r="AN97" s="236">
        <v>22.867592873169421</v>
      </c>
      <c r="AO97" s="236">
        <v>17.358975762910141</v>
      </c>
      <c r="AP97" s="236">
        <v>17.952075137468967</v>
      </c>
      <c r="AQ97" s="236">
        <v>17.176543661452648</v>
      </c>
    </row>
    <row r="98" spans="4:43" s="309" customFormat="1" ht="15" customHeight="1">
      <c r="E98" s="163" t="str">
        <f>Input!E98</f>
        <v>Non-variant allowed faults</v>
      </c>
      <c r="G98" s="309" t="s">
        <v>844</v>
      </c>
      <c r="I98" s="409"/>
      <c r="AJ98" s="236">
        <v>35.033435327322238</v>
      </c>
      <c r="AK98" s="236">
        <v>35.263779945845812</v>
      </c>
      <c r="AL98" s="236">
        <v>35.278002851476757</v>
      </c>
      <c r="AM98" s="236">
        <v>35.675796077680374</v>
      </c>
      <c r="AN98" s="236">
        <v>35.270205858552778</v>
      </c>
      <c r="AO98" s="236">
        <v>36.164466588703526</v>
      </c>
      <c r="AP98" s="236">
        <v>37.059689108995087</v>
      </c>
      <c r="AQ98" s="236">
        <v>37.910119900182757</v>
      </c>
    </row>
    <row r="99" spans="4:43" s="309" customFormat="1" ht="15" customHeight="1">
      <c r="E99" s="551" t="s">
        <v>999</v>
      </c>
      <c r="G99" s="309" t="s">
        <v>844</v>
      </c>
      <c r="I99" s="409"/>
      <c r="AJ99" s="236">
        <v>15.8424832197523</v>
      </c>
      <c r="AK99" s="236">
        <v>16.115404370473399</v>
      </c>
      <c r="AL99" s="236">
        <v>16.462575755906165</v>
      </c>
      <c r="AM99" s="236">
        <v>16.622649951394664</v>
      </c>
      <c r="AN99" s="236">
        <v>16.807881988518751</v>
      </c>
      <c r="AO99" s="236">
        <v>16.786108160670416</v>
      </c>
      <c r="AP99" s="236">
        <v>16.786397650998726</v>
      </c>
      <c r="AQ99" s="236">
        <v>16.763285351904095</v>
      </c>
    </row>
    <row r="100" spans="4:43" s="309" customFormat="1" ht="15" customHeight="1">
      <c r="E100" s="163" t="str">
        <f>Input!E100</f>
        <v>Non-variant allowed 100% ‘revenue pool’ expenditure</v>
      </c>
      <c r="G100" s="309" t="s">
        <v>844</v>
      </c>
      <c r="I100" s="409"/>
      <c r="AJ100" s="236">
        <v>16.858782374019015</v>
      </c>
      <c r="AK100" s="236">
        <v>16.447930944608963</v>
      </c>
      <c r="AL100" s="236">
        <v>16.096488327967823</v>
      </c>
      <c r="AM100" s="236">
        <v>15.596921755465681</v>
      </c>
      <c r="AN100" s="236">
        <v>14.986413650333928</v>
      </c>
      <c r="AO100" s="236">
        <v>14.376310431497858</v>
      </c>
      <c r="AP100" s="236">
        <v>13.669540122213631</v>
      </c>
      <c r="AQ100" s="236">
        <v>12.733018522822013</v>
      </c>
    </row>
    <row r="101" spans="4:43" s="309" customFormat="1" ht="15" customHeight="1">
      <c r="E101" s="163" t="str">
        <f>Input!E101</f>
        <v>Non-variant allowed controllable opex</v>
      </c>
      <c r="G101" s="309" t="s">
        <v>844</v>
      </c>
      <c r="I101" s="409"/>
      <c r="AJ101" s="236">
        <v>109.02012844227757</v>
      </c>
      <c r="AK101" s="236">
        <v>106.97236502866242</v>
      </c>
      <c r="AL101" s="236">
        <v>105.79746554087761</v>
      </c>
      <c r="AM101" s="236">
        <v>106.11639064997716</v>
      </c>
      <c r="AN101" s="236">
        <v>105.85709499012397</v>
      </c>
      <c r="AO101" s="236">
        <v>104.62067813085184</v>
      </c>
      <c r="AP101" s="236">
        <v>105.33229656352735</v>
      </c>
      <c r="AQ101" s="236">
        <v>105.01013620562144</v>
      </c>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f t="shared" ref="AJ105:AQ105" si="5">AJ19</f>
        <v>10.061045878100002</v>
      </c>
      <c r="AK105" s="221">
        <f t="shared" si="5"/>
        <v>4.0616877861887604</v>
      </c>
      <c r="AL105" s="221">
        <f t="shared" si="5"/>
        <v>0.51242995653064372</v>
      </c>
      <c r="AM105" s="221">
        <f t="shared" si="5"/>
        <v>0</v>
      </c>
      <c r="AN105" s="221">
        <f t="shared" si="5"/>
        <v>0</v>
      </c>
      <c r="AO105" s="221">
        <f t="shared" si="5"/>
        <v>0</v>
      </c>
      <c r="AP105" s="221">
        <f t="shared" si="5"/>
        <v>0</v>
      </c>
      <c r="AQ105" s="221">
        <f t="shared" si="5"/>
        <v>0</v>
      </c>
    </row>
    <row r="106" spans="4:43" s="309" customFormat="1" ht="15" customHeight="1">
      <c r="E106" s="410" t="str">
        <f>Input!E106</f>
        <v>Allocation to load related capex</v>
      </c>
      <c r="G106" s="309" t="s">
        <v>49</v>
      </c>
      <c r="I106" s="149"/>
      <c r="AJ106" s="238">
        <v>0</v>
      </c>
      <c r="AK106" s="238">
        <v>0</v>
      </c>
      <c r="AL106" s="238">
        <v>0</v>
      </c>
      <c r="AM106" s="238">
        <v>0</v>
      </c>
      <c r="AN106" s="238">
        <v>0</v>
      </c>
      <c r="AO106" s="238">
        <v>0</v>
      </c>
      <c r="AP106" s="238">
        <v>0</v>
      </c>
      <c r="AQ106" s="238">
        <v>0</v>
      </c>
    </row>
    <row r="107" spans="4:43" s="309" customFormat="1" ht="15" customHeight="1">
      <c r="E107" s="410" t="str">
        <f>Input!E107</f>
        <v>Allocation to non-load related capex - asset replacement</v>
      </c>
      <c r="G107" s="309" t="s">
        <v>49</v>
      </c>
      <c r="I107" s="149"/>
      <c r="AJ107" s="238">
        <v>1</v>
      </c>
      <c r="AK107" s="238">
        <v>1</v>
      </c>
      <c r="AL107" s="238">
        <v>1</v>
      </c>
      <c r="AM107" s="238">
        <v>0.9151937911868262</v>
      </c>
      <c r="AN107" s="238">
        <v>0.9167434353646432</v>
      </c>
      <c r="AO107" s="238">
        <v>0.91769242576148713</v>
      </c>
      <c r="AP107" s="238">
        <v>0.92017123298114822</v>
      </c>
      <c r="AQ107" s="238">
        <v>0.92421479804169193</v>
      </c>
    </row>
    <row r="108" spans="4:43" s="309" customFormat="1" ht="15" customHeight="1">
      <c r="E108" s="410" t="str">
        <f>Input!E108</f>
        <v>Allocation to non-load related capex - other</v>
      </c>
      <c r="G108" s="309" t="s">
        <v>49</v>
      </c>
      <c r="I108" s="149"/>
      <c r="AJ108" s="238">
        <v>0</v>
      </c>
      <c r="AK108" s="238">
        <v>0</v>
      </c>
      <c r="AL108" s="238">
        <v>0</v>
      </c>
      <c r="AM108" s="238">
        <v>0</v>
      </c>
      <c r="AN108" s="238">
        <v>0</v>
      </c>
      <c r="AO108" s="238">
        <v>0</v>
      </c>
      <c r="AP108" s="238">
        <v>0</v>
      </c>
      <c r="AQ108" s="238">
        <v>0</v>
      </c>
    </row>
    <row r="109" spans="4:43" s="309" customFormat="1" ht="15" customHeight="1">
      <c r="E109" s="410" t="str">
        <f>Input!E109</f>
        <v>Allocation to faults</v>
      </c>
      <c r="G109" s="309" t="s">
        <v>49</v>
      </c>
      <c r="I109" s="149"/>
      <c r="AJ109" s="238">
        <v>0</v>
      </c>
      <c r="AK109" s="238">
        <v>0</v>
      </c>
      <c r="AL109" s="238">
        <v>0</v>
      </c>
      <c r="AM109" s="238">
        <v>0</v>
      </c>
      <c r="AN109" s="238">
        <v>0</v>
      </c>
      <c r="AO109" s="238">
        <v>0</v>
      </c>
      <c r="AP109" s="238">
        <v>0</v>
      </c>
      <c r="AQ109" s="238">
        <v>0</v>
      </c>
    </row>
    <row r="110" spans="4:43" s="309" customFormat="1" ht="15" customHeight="1">
      <c r="E110" s="553" t="s">
        <v>994</v>
      </c>
      <c r="G110" s="309" t="s">
        <v>49</v>
      </c>
      <c r="I110" s="498"/>
      <c r="AJ110" s="238">
        <v>0</v>
      </c>
      <c r="AK110" s="238">
        <v>0</v>
      </c>
      <c r="AL110" s="238">
        <v>0</v>
      </c>
      <c r="AM110" s="238">
        <v>0</v>
      </c>
      <c r="AN110" s="238">
        <v>0</v>
      </c>
      <c r="AO110" s="238">
        <v>0</v>
      </c>
      <c r="AP110" s="238">
        <v>0</v>
      </c>
      <c r="AQ110" s="238">
        <v>0</v>
      </c>
    </row>
    <row r="111" spans="4:43" s="309" customFormat="1" ht="15" customHeight="1">
      <c r="E111" s="410" t="str">
        <f>Input!E111</f>
        <v>Allocation to 100% ‘revenue pool’ expenditure</v>
      </c>
      <c r="G111" s="309" t="s">
        <v>49</v>
      </c>
      <c r="I111" s="149"/>
      <c r="AJ111" s="238">
        <v>0</v>
      </c>
      <c r="AK111" s="238">
        <v>0</v>
      </c>
      <c r="AL111" s="238">
        <v>0</v>
      </c>
      <c r="AM111" s="238">
        <v>8.48062088131738E-2</v>
      </c>
      <c r="AN111" s="238">
        <v>8.32565646353568E-2</v>
      </c>
      <c r="AO111" s="238">
        <v>8.2307574238512871E-2</v>
      </c>
      <c r="AP111" s="238">
        <v>7.9828767018851776E-2</v>
      </c>
      <c r="AQ111" s="238">
        <v>7.5785201958308068E-2</v>
      </c>
    </row>
    <row r="112" spans="4:43" s="309" customFormat="1" ht="15" customHeight="1">
      <c r="E112" s="410" t="str">
        <f>Input!E112</f>
        <v>Allocation to controllable opex</v>
      </c>
      <c r="G112" s="309" t="s">
        <v>49</v>
      </c>
      <c r="I112" s="149"/>
      <c r="AJ112" s="238">
        <v>0</v>
      </c>
      <c r="AK112" s="238">
        <v>0</v>
      </c>
      <c r="AL112" s="238">
        <v>0</v>
      </c>
      <c r="AM112" s="238">
        <v>0</v>
      </c>
      <c r="AN112" s="238">
        <v>0</v>
      </c>
      <c r="AO112" s="238">
        <v>0</v>
      </c>
      <c r="AP112" s="238">
        <v>0</v>
      </c>
      <c r="AQ112" s="238">
        <v>0</v>
      </c>
    </row>
    <row r="114" spans="5:43" s="309" customFormat="1" ht="15" customHeight="1">
      <c r="E114" s="149" t="str">
        <f>Input!E114</f>
        <v>Allowed Expenditure - High Value Projects</v>
      </c>
      <c r="G114" s="309" t="s">
        <v>844</v>
      </c>
      <c r="I114" s="409"/>
      <c r="AJ114" s="221">
        <f t="shared" ref="AJ114:AQ114" si="6">AJ20</f>
        <v>12.170692258631048</v>
      </c>
      <c r="AK114" s="221">
        <f t="shared" si="6"/>
        <v>9.4291807792446498</v>
      </c>
      <c r="AL114" s="221">
        <f t="shared" si="6"/>
        <v>0.58354088645831426</v>
      </c>
      <c r="AM114" s="221">
        <f t="shared" si="6"/>
        <v>0</v>
      </c>
      <c r="AN114" s="221">
        <f t="shared" si="6"/>
        <v>0</v>
      </c>
      <c r="AO114" s="221">
        <f t="shared" si="6"/>
        <v>0</v>
      </c>
      <c r="AP114" s="221">
        <f t="shared" si="6"/>
        <v>0</v>
      </c>
      <c r="AQ114" s="221">
        <f t="shared" si="6"/>
        <v>0</v>
      </c>
    </row>
    <row r="115" spans="5:43" s="309" customFormat="1" ht="15" customHeight="1">
      <c r="E115" s="410" t="str">
        <f>Input!E115</f>
        <v>Allocation to load related capex</v>
      </c>
      <c r="G115" s="309" t="s">
        <v>49</v>
      </c>
      <c r="I115" s="149"/>
      <c r="AJ115" s="238">
        <v>0.61161585871480484</v>
      </c>
      <c r="AK115" s="238">
        <v>0.57458798149824553</v>
      </c>
      <c r="AL115" s="238">
        <v>0.99879998223840238</v>
      </c>
      <c r="AM115" s="238">
        <v>0</v>
      </c>
      <c r="AN115" s="238">
        <v>0</v>
      </c>
      <c r="AO115" s="238">
        <v>0</v>
      </c>
      <c r="AP115" s="238">
        <v>0</v>
      </c>
      <c r="AQ115" s="238">
        <v>0</v>
      </c>
    </row>
    <row r="116" spans="5:43" s="309" customFormat="1" ht="15" customHeight="1">
      <c r="E116" s="410" t="str">
        <f>Input!E116</f>
        <v>Allocation to non-load related capex - asset replacement</v>
      </c>
      <c r="G116" s="309" t="s">
        <v>49</v>
      </c>
      <c r="I116" s="149"/>
      <c r="AJ116" s="238">
        <v>0.38718412352359749</v>
      </c>
      <c r="AK116" s="238">
        <v>0.4242120007401568</v>
      </c>
      <c r="AL116" s="238">
        <v>0</v>
      </c>
      <c r="AM116" s="238">
        <v>0</v>
      </c>
      <c r="AN116" s="238">
        <v>0</v>
      </c>
      <c r="AO116" s="238">
        <v>0</v>
      </c>
      <c r="AP116" s="238">
        <v>0</v>
      </c>
      <c r="AQ116" s="238">
        <v>0</v>
      </c>
    </row>
    <row r="117" spans="5:43" s="309" customFormat="1" ht="15" customHeight="1">
      <c r="E117" s="410" t="str">
        <f>Input!E117</f>
        <v>Allocation to non-load related capex - other</v>
      </c>
      <c r="G117" s="309" t="s">
        <v>49</v>
      </c>
      <c r="I117" s="149"/>
      <c r="AJ117" s="238">
        <v>0</v>
      </c>
      <c r="AK117" s="238">
        <v>0</v>
      </c>
      <c r="AL117" s="238">
        <v>0</v>
      </c>
      <c r="AM117" s="238">
        <v>0</v>
      </c>
      <c r="AN117" s="238">
        <v>0</v>
      </c>
      <c r="AO117" s="238">
        <v>0</v>
      </c>
      <c r="AP117" s="238">
        <v>0</v>
      </c>
      <c r="AQ117" s="238">
        <v>0</v>
      </c>
    </row>
    <row r="118" spans="5:43" s="309" customFormat="1" ht="15" customHeight="1">
      <c r="E118" s="410" t="str">
        <f>Input!E118</f>
        <v>Allocation to faults</v>
      </c>
      <c r="G118" s="309" t="s">
        <v>49</v>
      </c>
      <c r="I118" s="149"/>
      <c r="AJ118" s="238">
        <v>0</v>
      </c>
      <c r="AK118" s="238">
        <v>0</v>
      </c>
      <c r="AL118" s="238">
        <v>0</v>
      </c>
      <c r="AM118" s="238">
        <v>0</v>
      </c>
      <c r="AN118" s="238">
        <v>0</v>
      </c>
      <c r="AO118" s="238">
        <v>0</v>
      </c>
      <c r="AP118" s="238">
        <v>0</v>
      </c>
      <c r="AQ118" s="238">
        <v>0</v>
      </c>
    </row>
    <row r="119" spans="5:43" s="309" customFormat="1" ht="15" customHeight="1">
      <c r="E119" s="553" t="s">
        <v>994</v>
      </c>
      <c r="G119" s="309" t="s">
        <v>49</v>
      </c>
      <c r="I119" s="498"/>
      <c r="AJ119" s="238">
        <v>0</v>
      </c>
      <c r="AK119" s="238">
        <v>0</v>
      </c>
      <c r="AL119" s="238">
        <v>0</v>
      </c>
      <c r="AM119" s="238">
        <v>0</v>
      </c>
      <c r="AN119" s="238">
        <v>0</v>
      </c>
      <c r="AO119" s="238">
        <v>0</v>
      </c>
      <c r="AP119" s="238">
        <v>0</v>
      </c>
      <c r="AQ119" s="238">
        <v>0</v>
      </c>
    </row>
    <row r="120" spans="5:43" s="309" customFormat="1" ht="15" customHeight="1">
      <c r="E120" s="410" t="str">
        <f>Input!E120</f>
        <v>Allocation to 100% ‘revenue pool’ expenditure</v>
      </c>
      <c r="G120" s="309" t="s">
        <v>49</v>
      </c>
      <c r="I120" s="149"/>
      <c r="AJ120" s="238">
        <v>1.2000177615977096E-3</v>
      </c>
      <c r="AK120" s="238">
        <v>1.2000177615977103E-3</v>
      </c>
      <c r="AL120" s="238">
        <v>1.2000177615977099E-3</v>
      </c>
      <c r="AM120" s="238">
        <v>0</v>
      </c>
      <c r="AN120" s="238">
        <v>0</v>
      </c>
      <c r="AO120" s="238">
        <v>0</v>
      </c>
      <c r="AP120" s="238">
        <v>0</v>
      </c>
      <c r="AQ120" s="238">
        <v>0</v>
      </c>
    </row>
    <row r="121" spans="5:43" s="309" customFormat="1" ht="15" customHeight="1">
      <c r="E121" s="410" t="str">
        <f>Input!E121</f>
        <v>Allocation to controllable opex</v>
      </c>
      <c r="G121" s="309" t="s">
        <v>49</v>
      </c>
      <c r="I121" s="149"/>
      <c r="AJ121" s="238">
        <v>0</v>
      </c>
      <c r="AK121" s="238">
        <v>0</v>
      </c>
      <c r="AL121" s="238">
        <v>0</v>
      </c>
      <c r="AM121" s="238">
        <v>0</v>
      </c>
      <c r="AN121" s="238">
        <v>0</v>
      </c>
      <c r="AO121" s="238">
        <v>0</v>
      </c>
      <c r="AP121" s="238">
        <v>0</v>
      </c>
      <c r="AQ121" s="238">
        <v>0</v>
      </c>
    </row>
    <row r="123" spans="5:43" s="309" customFormat="1" ht="15" customHeight="1">
      <c r="E123" s="149" t="str">
        <f>Input!E123</f>
        <v xml:space="preserve">Allowed Expenditure - Visual Amenity Allowed (TIM neutral)                                                                                                      </v>
      </c>
      <c r="G123" s="309" t="s">
        <v>844</v>
      </c>
      <c r="I123" s="409"/>
      <c r="AJ123" s="221">
        <f t="shared" ref="AJ123:AQ123" si="7">AJ21</f>
        <v>0</v>
      </c>
      <c r="AK123" s="221">
        <f t="shared" si="7"/>
        <v>0</v>
      </c>
      <c r="AL123" s="221">
        <f t="shared" si="7"/>
        <v>0</v>
      </c>
      <c r="AM123" s="221">
        <f t="shared" si="7"/>
        <v>0</v>
      </c>
      <c r="AN123" s="221">
        <f t="shared" si="7"/>
        <v>0</v>
      </c>
      <c r="AO123" s="221">
        <f t="shared" si="7"/>
        <v>0</v>
      </c>
      <c r="AP123" s="221">
        <f t="shared" si="7"/>
        <v>0</v>
      </c>
      <c r="AQ123" s="221">
        <f t="shared" si="7"/>
        <v>0</v>
      </c>
    </row>
    <row r="124" spans="5:43" s="309" customFormat="1" ht="15" customHeight="1">
      <c r="E124" s="410" t="str">
        <f>Input!E124</f>
        <v>Allocation to load related capex</v>
      </c>
      <c r="G124" s="309" t="s">
        <v>49</v>
      </c>
      <c r="I124" s="149"/>
      <c r="AJ124" s="238">
        <v>0</v>
      </c>
      <c r="AK124" s="238">
        <v>0</v>
      </c>
      <c r="AL124" s="238">
        <v>0</v>
      </c>
      <c r="AM124" s="238">
        <v>0</v>
      </c>
      <c r="AN124" s="238">
        <v>0</v>
      </c>
      <c r="AO124" s="238">
        <v>0</v>
      </c>
      <c r="AP124" s="238">
        <v>0</v>
      </c>
      <c r="AQ124" s="238">
        <v>0</v>
      </c>
    </row>
    <row r="125" spans="5:43" s="309" customFormat="1" ht="15" customHeight="1">
      <c r="E125" s="410" t="str">
        <f>Input!E125</f>
        <v>Allocation to non-load related capex - asset replacement</v>
      </c>
      <c r="G125" s="309" t="s">
        <v>49</v>
      </c>
      <c r="I125" s="149"/>
      <c r="AJ125" s="238">
        <v>0</v>
      </c>
      <c r="AK125" s="238">
        <v>0</v>
      </c>
      <c r="AL125" s="238">
        <v>0</v>
      </c>
      <c r="AM125" s="238">
        <v>0</v>
      </c>
      <c r="AN125" s="238">
        <v>0</v>
      </c>
      <c r="AO125" s="238">
        <v>0</v>
      </c>
      <c r="AP125" s="238">
        <v>0</v>
      </c>
      <c r="AQ125" s="238">
        <v>0</v>
      </c>
    </row>
    <row r="126" spans="5:43" s="309" customFormat="1" ht="15" customHeight="1">
      <c r="E126" s="410" t="str">
        <f>Input!E126</f>
        <v>Allocation to non-load related capex - other</v>
      </c>
      <c r="G126" s="309" t="s">
        <v>49</v>
      </c>
      <c r="I126" s="149"/>
      <c r="AJ126" s="238">
        <v>0.99973233278382723</v>
      </c>
      <c r="AK126" s="238">
        <v>0.99973233278382723</v>
      </c>
      <c r="AL126" s="238">
        <v>0.99973233278382723</v>
      </c>
      <c r="AM126" s="238">
        <v>0.99973233278382723</v>
      </c>
      <c r="AN126" s="238">
        <v>0.99973233278382734</v>
      </c>
      <c r="AO126" s="238">
        <v>0.99973233278382734</v>
      </c>
      <c r="AP126" s="238">
        <v>0.99973233278382723</v>
      </c>
      <c r="AQ126" s="238">
        <v>0.99973233278382723</v>
      </c>
    </row>
    <row r="127" spans="5:43" s="309" customFormat="1" ht="15" customHeight="1">
      <c r="E127" s="410" t="str">
        <f>Input!E127</f>
        <v>Allocation to faults</v>
      </c>
      <c r="G127" s="309" t="s">
        <v>49</v>
      </c>
      <c r="I127" s="149"/>
      <c r="AJ127" s="238">
        <v>0</v>
      </c>
      <c r="AK127" s="238">
        <v>0</v>
      </c>
      <c r="AL127" s="238">
        <v>0</v>
      </c>
      <c r="AM127" s="238">
        <v>0</v>
      </c>
      <c r="AN127" s="238">
        <v>0</v>
      </c>
      <c r="AO127" s="238">
        <v>0</v>
      </c>
      <c r="AP127" s="238">
        <v>0</v>
      </c>
      <c r="AQ127" s="238">
        <v>0</v>
      </c>
    </row>
    <row r="128" spans="5:43" s="309" customFormat="1" ht="15" customHeight="1">
      <c r="E128" s="553" t="s">
        <v>994</v>
      </c>
      <c r="G128" s="309" t="s">
        <v>49</v>
      </c>
      <c r="I128" s="498"/>
      <c r="AJ128" s="238">
        <v>0</v>
      </c>
      <c r="AK128" s="238">
        <v>0</v>
      </c>
      <c r="AL128" s="238">
        <v>0</v>
      </c>
      <c r="AM128" s="238">
        <v>0</v>
      </c>
      <c r="AN128" s="238">
        <v>0</v>
      </c>
      <c r="AO128" s="238">
        <v>0</v>
      </c>
      <c r="AP128" s="238">
        <v>0</v>
      </c>
      <c r="AQ128" s="238">
        <v>0</v>
      </c>
    </row>
    <row r="129" spans="5:43" s="309" customFormat="1" ht="15" customHeight="1">
      <c r="E129" s="410" t="str">
        <f>Input!E129</f>
        <v>Allocation to 100% ‘revenue pool’ expenditure</v>
      </c>
      <c r="G129" s="309" t="s">
        <v>49</v>
      </c>
      <c r="I129" s="149"/>
      <c r="AJ129" s="238">
        <v>2.6766721617273458E-4</v>
      </c>
      <c r="AK129" s="238">
        <v>2.6766721617273452E-4</v>
      </c>
      <c r="AL129" s="238">
        <v>2.6766721617273463E-4</v>
      </c>
      <c r="AM129" s="238">
        <v>2.6766721617273458E-4</v>
      </c>
      <c r="AN129" s="238">
        <v>2.6766721617273458E-4</v>
      </c>
      <c r="AO129" s="238">
        <v>2.6766721617273458E-4</v>
      </c>
      <c r="AP129" s="238">
        <v>2.6766721617273458E-4</v>
      </c>
      <c r="AQ129" s="238">
        <v>2.6766721617273452E-4</v>
      </c>
    </row>
    <row r="130" spans="5:43" s="309" customFormat="1" ht="15" customHeight="1">
      <c r="E130" s="410" t="str">
        <f>Input!E130</f>
        <v>Allocation to controllable opex</v>
      </c>
      <c r="G130" s="309" t="s">
        <v>49</v>
      </c>
      <c r="I130" s="149"/>
      <c r="AJ130" s="238">
        <v>0</v>
      </c>
      <c r="AK130" s="238">
        <v>0</v>
      </c>
      <c r="AL130" s="238">
        <v>0</v>
      </c>
      <c r="AM130" s="238">
        <v>0</v>
      </c>
      <c r="AN130" s="238">
        <v>0</v>
      </c>
      <c r="AO130" s="238">
        <v>0</v>
      </c>
      <c r="AP130" s="238">
        <v>0</v>
      </c>
      <c r="AQ130" s="238">
        <v>0</v>
      </c>
    </row>
    <row r="132" spans="5:43" s="309" customFormat="1" ht="15" customHeight="1">
      <c r="E132" s="149" t="str">
        <f>Input!E132</f>
        <v>Allowed Expenditure - Worst Served Customers Allowed (TIM neutral)</v>
      </c>
      <c r="G132" s="309" t="s">
        <v>844</v>
      </c>
      <c r="I132" s="409"/>
      <c r="AJ132" s="221">
        <f t="shared" ref="AJ132:AQ132" si="8">AJ22</f>
        <v>0</v>
      </c>
      <c r="AK132" s="221">
        <f t="shared" si="8"/>
        <v>0</v>
      </c>
      <c r="AL132" s="221">
        <f t="shared" si="8"/>
        <v>0</v>
      </c>
      <c r="AM132" s="221">
        <f t="shared" si="8"/>
        <v>0</v>
      </c>
      <c r="AN132" s="221">
        <f t="shared" si="8"/>
        <v>0</v>
      </c>
      <c r="AO132" s="221">
        <f t="shared" si="8"/>
        <v>0</v>
      </c>
      <c r="AP132" s="221">
        <f t="shared" si="8"/>
        <v>0</v>
      </c>
      <c r="AQ132" s="221">
        <f t="shared" si="8"/>
        <v>0</v>
      </c>
    </row>
    <row r="133" spans="5:43" s="309" customFormat="1" ht="15" customHeight="1">
      <c r="E133" s="410" t="str">
        <f>Input!E133</f>
        <v>Allocation to load related capex</v>
      </c>
      <c r="G133" s="309" t="s">
        <v>49</v>
      </c>
      <c r="I133" s="149"/>
      <c r="AJ133" s="238">
        <v>0</v>
      </c>
      <c r="AK133" s="238">
        <v>0</v>
      </c>
      <c r="AL133" s="238">
        <v>0</v>
      </c>
      <c r="AM133" s="238">
        <v>0</v>
      </c>
      <c r="AN133" s="238">
        <v>0</v>
      </c>
      <c r="AO133" s="238">
        <v>0</v>
      </c>
      <c r="AP133" s="238">
        <v>0</v>
      </c>
      <c r="AQ133" s="238">
        <v>0</v>
      </c>
    </row>
    <row r="134" spans="5:43" s="309" customFormat="1" ht="15" customHeight="1">
      <c r="E134" s="410" t="str">
        <f>Input!E134</f>
        <v>Allocation to non-load related capex - asset replacement</v>
      </c>
      <c r="G134" s="309" t="s">
        <v>49</v>
      </c>
      <c r="I134" s="149"/>
      <c r="AJ134" s="238">
        <v>0</v>
      </c>
      <c r="AK134" s="238">
        <v>0</v>
      </c>
      <c r="AL134" s="238">
        <v>0</v>
      </c>
      <c r="AM134" s="238">
        <v>0</v>
      </c>
      <c r="AN134" s="238">
        <v>0</v>
      </c>
      <c r="AO134" s="238">
        <v>0</v>
      </c>
      <c r="AP134" s="238">
        <v>0</v>
      </c>
      <c r="AQ134" s="238">
        <v>0</v>
      </c>
    </row>
    <row r="135" spans="5:43" s="309" customFormat="1" ht="15" customHeight="1">
      <c r="E135" s="410" t="str">
        <f>Input!E135</f>
        <v>Allocation to non-load related capex - other</v>
      </c>
      <c r="G135" s="309" t="s">
        <v>49</v>
      </c>
      <c r="I135" s="149"/>
      <c r="AJ135" s="238">
        <v>0.98346780953510915</v>
      </c>
      <c r="AK135" s="238">
        <v>0.98346780953510926</v>
      </c>
      <c r="AL135" s="238">
        <v>0.98346780953510915</v>
      </c>
      <c r="AM135" s="238">
        <v>0.98346780953510915</v>
      </c>
      <c r="AN135" s="238">
        <v>0.98346780953510926</v>
      </c>
      <c r="AO135" s="238">
        <v>0.98346780953510915</v>
      </c>
      <c r="AP135" s="238">
        <v>0.98346780953510926</v>
      </c>
      <c r="AQ135" s="238">
        <v>0.98346780953510926</v>
      </c>
    </row>
    <row r="136" spans="5:43" s="309" customFormat="1" ht="15" customHeight="1">
      <c r="E136" s="410" t="str">
        <f>Input!E136</f>
        <v>Allocation to faults</v>
      </c>
      <c r="G136" s="309" t="s">
        <v>49</v>
      </c>
      <c r="I136" s="149"/>
      <c r="AJ136" s="238">
        <v>0</v>
      </c>
      <c r="AK136" s="238">
        <v>0</v>
      </c>
      <c r="AL136" s="238">
        <v>0</v>
      </c>
      <c r="AM136" s="238">
        <v>0</v>
      </c>
      <c r="AN136" s="238">
        <v>0</v>
      </c>
      <c r="AO136" s="238">
        <v>0</v>
      </c>
      <c r="AP136" s="238">
        <v>0</v>
      </c>
      <c r="AQ136" s="238">
        <v>0</v>
      </c>
    </row>
    <row r="137" spans="5:43" s="309" customFormat="1" ht="15" customHeight="1">
      <c r="E137" s="553" t="s">
        <v>994</v>
      </c>
      <c r="G137" s="309" t="s">
        <v>49</v>
      </c>
      <c r="I137" s="498"/>
      <c r="AJ137" s="238">
        <v>0</v>
      </c>
      <c r="AK137" s="238">
        <v>0</v>
      </c>
      <c r="AL137" s="238">
        <v>0</v>
      </c>
      <c r="AM137" s="238">
        <v>0</v>
      </c>
      <c r="AN137" s="238">
        <v>0</v>
      </c>
      <c r="AO137" s="238">
        <v>0</v>
      </c>
      <c r="AP137" s="238">
        <v>0</v>
      </c>
      <c r="AQ137" s="238">
        <v>0</v>
      </c>
    </row>
    <row r="138" spans="5:43" s="309" customFormat="1" ht="15" customHeight="1">
      <c r="E138" s="410" t="str">
        <f>Input!E138</f>
        <v>Allocation to 100% ‘revenue pool’ expenditure</v>
      </c>
      <c r="G138" s="309" t="s">
        <v>49</v>
      </c>
      <c r="I138" s="149"/>
      <c r="AJ138" s="238">
        <v>1.6532190464890816E-2</v>
      </c>
      <c r="AK138" s="238">
        <v>1.6532190464890819E-2</v>
      </c>
      <c r="AL138" s="238">
        <v>1.6532190464890816E-2</v>
      </c>
      <c r="AM138" s="238">
        <v>1.6532190464890816E-2</v>
      </c>
      <c r="AN138" s="238">
        <v>1.6532190464890819E-2</v>
      </c>
      <c r="AO138" s="238">
        <v>1.6532190464890819E-2</v>
      </c>
      <c r="AP138" s="238">
        <v>1.6532190464890819E-2</v>
      </c>
      <c r="AQ138" s="238">
        <v>1.6532190464890819E-2</v>
      </c>
    </row>
    <row r="139" spans="5:43" s="309" customFormat="1" ht="15" customHeight="1">
      <c r="E139" s="410" t="str">
        <f>Input!E139</f>
        <v>Allocation to controllable opex</v>
      </c>
      <c r="G139" s="309" t="s">
        <v>49</v>
      </c>
      <c r="I139" s="149"/>
      <c r="AJ139" s="238">
        <v>0</v>
      </c>
      <c r="AK139" s="238">
        <v>0</v>
      </c>
      <c r="AL139" s="238">
        <v>0</v>
      </c>
      <c r="AM139" s="238">
        <v>0</v>
      </c>
      <c r="AN139" s="238">
        <v>0</v>
      </c>
      <c r="AO139" s="238">
        <v>0</v>
      </c>
      <c r="AP139" s="238">
        <v>0</v>
      </c>
      <c r="AQ139" s="238">
        <v>0</v>
      </c>
    </row>
    <row r="141" spans="5:43" s="309" customFormat="1" ht="15" customHeight="1">
      <c r="E141" s="149" t="str">
        <f>Input!E141</f>
        <v xml:space="preserve">Allowed Expenditure - Smart Meter Allowed Expenditure                                                                                                                                          </v>
      </c>
      <c r="G141" s="309" t="s">
        <v>844</v>
      </c>
      <c r="I141" s="409"/>
      <c r="AJ141" s="221">
        <f t="shared" ref="AJ141:AQ141" si="9">AJ23</f>
        <v>1.9792613477073226</v>
      </c>
      <c r="AK141" s="221">
        <f t="shared" si="9"/>
        <v>3.5960455100936333</v>
      </c>
      <c r="AL141" s="221">
        <f t="shared" si="9"/>
        <v>4.5933040006622869</v>
      </c>
      <c r="AM141" s="221">
        <f t="shared" si="9"/>
        <v>5.0146969369760699</v>
      </c>
      <c r="AN141" s="221">
        <f t="shared" si="9"/>
        <v>4.9126808653366698</v>
      </c>
      <c r="AO141" s="221">
        <f t="shared" si="9"/>
        <v>3.4523423503379242</v>
      </c>
      <c r="AP141" s="221">
        <f t="shared" si="9"/>
        <v>0</v>
      </c>
      <c r="AQ141" s="221">
        <f t="shared" si="9"/>
        <v>0</v>
      </c>
    </row>
    <row r="142" spans="5:43" s="309" customFormat="1" ht="15" customHeight="1">
      <c r="E142" s="410" t="str">
        <f>Input!E142</f>
        <v>Allocation to load related capex</v>
      </c>
      <c r="G142" s="309" t="s">
        <v>49</v>
      </c>
      <c r="I142" s="149"/>
      <c r="AJ142" s="238">
        <v>0</v>
      </c>
      <c r="AK142" s="238">
        <v>0</v>
      </c>
      <c r="AL142" s="238">
        <v>0</v>
      </c>
      <c r="AM142" s="238">
        <v>0</v>
      </c>
      <c r="AN142" s="238">
        <v>0</v>
      </c>
      <c r="AO142" s="238">
        <v>0</v>
      </c>
      <c r="AP142" s="238">
        <v>0</v>
      </c>
      <c r="AQ142" s="238">
        <v>0</v>
      </c>
    </row>
    <row r="143" spans="5:43" s="309" customFormat="1" ht="15" customHeight="1">
      <c r="E143" s="410" t="str">
        <f>Input!E143</f>
        <v>Allocation to non-load related capex - asset replacement</v>
      </c>
      <c r="G143" s="309" t="s">
        <v>49</v>
      </c>
      <c r="I143" s="149"/>
      <c r="AJ143" s="238">
        <v>0</v>
      </c>
      <c r="AK143" s="238">
        <v>0</v>
      </c>
      <c r="AL143" s="238">
        <v>0</v>
      </c>
      <c r="AM143" s="238">
        <v>0</v>
      </c>
      <c r="AN143" s="238">
        <v>0</v>
      </c>
      <c r="AO143" s="238">
        <v>0</v>
      </c>
      <c r="AP143" s="238">
        <v>0</v>
      </c>
      <c r="AQ143" s="238">
        <v>0</v>
      </c>
    </row>
    <row r="144" spans="5:43" s="309" customFormat="1" ht="15" customHeight="1">
      <c r="E144" s="410" t="str">
        <f>Input!E144</f>
        <v>Allocation to non-load related capex - other</v>
      </c>
      <c r="G144" s="309" t="s">
        <v>49</v>
      </c>
      <c r="I144" s="149"/>
      <c r="AJ144" s="238">
        <v>0</v>
      </c>
      <c r="AK144" s="238">
        <v>0</v>
      </c>
      <c r="AL144" s="238">
        <v>0</v>
      </c>
      <c r="AM144" s="238">
        <v>0</v>
      </c>
      <c r="AN144" s="238">
        <v>0</v>
      </c>
      <c r="AO144" s="238">
        <v>0</v>
      </c>
      <c r="AP144" s="238">
        <v>0</v>
      </c>
      <c r="AQ144" s="238">
        <v>0</v>
      </c>
    </row>
    <row r="145" spans="5:43" s="309" customFormat="1" ht="15" customHeight="1">
      <c r="E145" s="410" t="str">
        <f>Input!E145</f>
        <v>Allocation to faults</v>
      </c>
      <c r="G145" s="309" t="s">
        <v>49</v>
      </c>
      <c r="I145" s="149"/>
      <c r="AJ145" s="238">
        <v>0</v>
      </c>
      <c r="AK145" s="238">
        <v>0</v>
      </c>
      <c r="AL145" s="238">
        <v>0</v>
      </c>
      <c r="AM145" s="238">
        <v>0</v>
      </c>
      <c r="AN145" s="238">
        <v>0</v>
      </c>
      <c r="AO145" s="238">
        <v>0</v>
      </c>
      <c r="AP145" s="238">
        <v>0</v>
      </c>
      <c r="AQ145" s="238">
        <v>0</v>
      </c>
    </row>
    <row r="146" spans="5:43" s="309" customFormat="1" ht="15" customHeight="1">
      <c r="E146" s="553" t="s">
        <v>994</v>
      </c>
      <c r="G146" s="309" t="s">
        <v>49</v>
      </c>
      <c r="I146" s="498"/>
      <c r="AJ146" s="238">
        <v>0</v>
      </c>
      <c r="AK146" s="238">
        <v>0</v>
      </c>
      <c r="AL146" s="238">
        <v>0</v>
      </c>
      <c r="AM146" s="238">
        <v>0</v>
      </c>
      <c r="AN146" s="238">
        <v>0</v>
      </c>
      <c r="AO146" s="238">
        <v>0</v>
      </c>
      <c r="AP146" s="238">
        <v>0</v>
      </c>
      <c r="AQ146" s="238">
        <v>0</v>
      </c>
    </row>
    <row r="147" spans="5:43" s="309" customFormat="1" ht="15" customHeight="1">
      <c r="E147" s="410" t="str">
        <f>Input!E147</f>
        <v>Allocation to 100% ‘revenue pool’ expenditure</v>
      </c>
      <c r="G147" s="309" t="s">
        <v>49</v>
      </c>
      <c r="I147" s="149"/>
      <c r="AJ147" s="238">
        <v>6.6003939228664696E-2</v>
      </c>
      <c r="AK147" s="238">
        <v>6.3040849462167689E-2</v>
      </c>
      <c r="AL147" s="238">
        <v>6.2062422851324205E-2</v>
      </c>
      <c r="AM147" s="238">
        <v>6.1374806861925119E-2</v>
      </c>
      <c r="AN147" s="238">
        <v>6.1091051541733665E-2</v>
      </c>
      <c r="AO147" s="238">
        <v>6.0549692413233901E-2</v>
      </c>
      <c r="AP147" s="238">
        <v>0</v>
      </c>
      <c r="AQ147" s="238">
        <v>0</v>
      </c>
    </row>
    <row r="148" spans="5:43" s="309" customFormat="1" ht="15" customHeight="1">
      <c r="E148" s="410" t="str">
        <f>Input!E148</f>
        <v>Allocation to controllable opex</v>
      </c>
      <c r="G148" s="309" t="s">
        <v>49</v>
      </c>
      <c r="I148" s="149"/>
      <c r="AJ148" s="238">
        <v>0.93399606077133535</v>
      </c>
      <c r="AK148" s="238">
        <v>0.9369591505378323</v>
      </c>
      <c r="AL148" s="238">
        <v>0.93793757714867576</v>
      </c>
      <c r="AM148" s="238">
        <v>0.9386251931380748</v>
      </c>
      <c r="AN148" s="238">
        <v>0.93890894845826645</v>
      </c>
      <c r="AO148" s="238">
        <v>0.93945030758676606</v>
      </c>
      <c r="AP148" s="238">
        <v>0</v>
      </c>
      <c r="AQ148" s="238">
        <v>0</v>
      </c>
    </row>
    <row r="150" spans="5:43" s="309" customFormat="1" ht="15" customHeight="1">
      <c r="E150" s="149" t="str">
        <f>Input!E150</f>
        <v>Allowed Expenditure - Specified Street Works</v>
      </c>
      <c r="G150" s="309" t="s">
        <v>844</v>
      </c>
      <c r="I150" s="409"/>
      <c r="AJ150" s="221">
        <f t="shared" ref="AJ150:AQ150" si="10">AJ24</f>
        <v>0</v>
      </c>
      <c r="AK150" s="221">
        <f t="shared" si="10"/>
        <v>0</v>
      </c>
      <c r="AL150" s="221">
        <f t="shared" si="10"/>
        <v>0</v>
      </c>
      <c r="AM150" s="221">
        <f t="shared" si="10"/>
        <v>0</v>
      </c>
      <c r="AN150" s="221">
        <f t="shared" si="10"/>
        <v>0</v>
      </c>
      <c r="AO150" s="221">
        <f t="shared" si="10"/>
        <v>0</v>
      </c>
      <c r="AP150" s="221">
        <f t="shared" si="10"/>
        <v>0</v>
      </c>
      <c r="AQ150" s="221">
        <f t="shared" si="10"/>
        <v>0</v>
      </c>
    </row>
    <row r="151" spans="5:43" s="309" customFormat="1" ht="15" customHeight="1">
      <c r="E151" s="410" t="str">
        <f>Input!E151</f>
        <v>Allocation to load related capex</v>
      </c>
      <c r="G151" s="309" t="s">
        <v>49</v>
      </c>
      <c r="I151" s="149"/>
      <c r="AJ151" s="238">
        <v>-8.6958229934377199E-2</v>
      </c>
      <c r="AK151" s="238">
        <v>-4.8452404675137659E-2</v>
      </c>
      <c r="AL151" s="238">
        <v>-4.6207872468547129E-2</v>
      </c>
      <c r="AM151" s="238">
        <v>-4.2931414424330711E-2</v>
      </c>
      <c r="AN151" s="238">
        <v>-3.8421759553248232E-2</v>
      </c>
      <c r="AO151" s="238">
        <v>-3.9545052638852697E-2</v>
      </c>
      <c r="AP151" s="238">
        <v>-3.6221778205240078E-2</v>
      </c>
      <c r="AQ151" s="238">
        <v>-3.7921806609752598E-2</v>
      </c>
    </row>
    <row r="152" spans="5:43" s="309" customFormat="1" ht="15" customHeight="1">
      <c r="E152" s="410" t="str">
        <f>Input!E152</f>
        <v>Allocation to non-load related capex - asset replacement</v>
      </c>
      <c r="G152" s="309" t="s">
        <v>49</v>
      </c>
      <c r="I152" s="149"/>
      <c r="AJ152" s="238">
        <v>0.42379138703573238</v>
      </c>
      <c r="AK152" s="238">
        <v>0.27544679729055305</v>
      </c>
      <c r="AL152" s="238">
        <v>0.2986754584855878</v>
      </c>
      <c r="AM152" s="238">
        <v>0.29088770134135333</v>
      </c>
      <c r="AN152" s="238">
        <v>0.37046447109217118</v>
      </c>
      <c r="AO152" s="238">
        <v>0.35195733899625847</v>
      </c>
      <c r="AP152" s="238">
        <v>0.40978109311988681</v>
      </c>
      <c r="AQ152" s="238">
        <v>0.38301373367410879</v>
      </c>
    </row>
    <row r="153" spans="5:43" s="309" customFormat="1" ht="15" customHeight="1">
      <c r="E153" s="410" t="str">
        <f>Input!E153</f>
        <v>Allocation to non-load related capex - other</v>
      </c>
      <c r="G153" s="309" t="s">
        <v>49</v>
      </c>
      <c r="I153" s="149"/>
      <c r="AJ153" s="238">
        <v>0</v>
      </c>
      <c r="AK153" s="238">
        <v>0</v>
      </c>
      <c r="AL153" s="238">
        <v>0</v>
      </c>
      <c r="AM153" s="238">
        <v>0</v>
      </c>
      <c r="AN153" s="238">
        <v>0</v>
      </c>
      <c r="AO153" s="238">
        <v>0</v>
      </c>
      <c r="AP153" s="238">
        <v>0</v>
      </c>
      <c r="AQ153" s="238">
        <v>0</v>
      </c>
    </row>
    <row r="154" spans="5:43" s="309" customFormat="1" ht="15" customHeight="1">
      <c r="E154" s="410" t="str">
        <f>Input!E154</f>
        <v>Allocation to faults</v>
      </c>
      <c r="G154" s="309" t="s">
        <v>49</v>
      </c>
      <c r="I154" s="149"/>
      <c r="AJ154" s="238">
        <v>-6.9793464738928362E-2</v>
      </c>
      <c r="AK154" s="238">
        <v>-5.978657348292906E-2</v>
      </c>
      <c r="AL154" s="238">
        <v>-8.9868724023241128E-2</v>
      </c>
      <c r="AM154" s="238">
        <v>-8.3986587063712814E-2</v>
      </c>
      <c r="AN154" s="238">
        <v>-0.15256966361674282</v>
      </c>
      <c r="AO154" s="238">
        <v>-0.13427403756225384</v>
      </c>
      <c r="AP154" s="238">
        <v>-0.18405019409110193</v>
      </c>
      <c r="AQ154" s="238">
        <v>-0.15710720178653331</v>
      </c>
    </row>
    <row r="155" spans="5:43" s="309" customFormat="1" ht="15" customHeight="1">
      <c r="E155" s="553" t="s">
        <v>994</v>
      </c>
      <c r="G155" s="309" t="s">
        <v>49</v>
      </c>
      <c r="I155" s="498"/>
      <c r="AJ155" s="238">
        <v>0</v>
      </c>
      <c r="AK155" s="238">
        <v>0</v>
      </c>
      <c r="AL155" s="238">
        <v>0</v>
      </c>
      <c r="AM155" s="238">
        <v>0</v>
      </c>
      <c r="AN155" s="238">
        <v>0</v>
      </c>
      <c r="AO155" s="238">
        <v>0</v>
      </c>
      <c r="AP155" s="238">
        <v>0</v>
      </c>
      <c r="AQ155" s="238">
        <v>0</v>
      </c>
    </row>
    <row r="156" spans="5:43" s="309" customFormat="1" ht="15" customHeight="1">
      <c r="E156" s="410" t="str">
        <f>Input!E156</f>
        <v>Allocation to 100% ‘revenue pool’ expenditure</v>
      </c>
      <c r="G156" s="309" t="s">
        <v>49</v>
      </c>
      <c r="I156" s="149"/>
      <c r="AJ156" s="238">
        <v>0.66290181216621391</v>
      </c>
      <c r="AK156" s="238">
        <v>0.77669021204488942</v>
      </c>
      <c r="AL156" s="238">
        <v>0.78338652780144957</v>
      </c>
      <c r="AM156" s="238">
        <v>0.78221139779113846</v>
      </c>
      <c r="AN156" s="238">
        <v>0.77285660651603871</v>
      </c>
      <c r="AO156" s="238">
        <v>0.77291078737297858</v>
      </c>
      <c r="AP156" s="238">
        <v>0.76601631996687092</v>
      </c>
      <c r="AQ156" s="238">
        <v>0.76552757011470762</v>
      </c>
    </row>
    <row r="157" spans="5:43" s="309" customFormat="1" ht="15" customHeight="1">
      <c r="E157" s="410" t="str">
        <f>Input!E157</f>
        <v>Allocation to controllable opex</v>
      </c>
      <c r="G157" s="309" t="s">
        <v>49</v>
      </c>
      <c r="I157" s="149"/>
      <c r="AJ157" s="238">
        <v>7.0058495471359186E-2</v>
      </c>
      <c r="AK157" s="238">
        <v>5.6101968822624367E-2</v>
      </c>
      <c r="AL157" s="238">
        <v>5.4014610204750957E-2</v>
      </c>
      <c r="AM157" s="238">
        <v>5.3818902355551694E-2</v>
      </c>
      <c r="AN157" s="238">
        <v>4.7670345561781187E-2</v>
      </c>
      <c r="AO157" s="238">
        <v>4.8950963831869414E-2</v>
      </c>
      <c r="AP157" s="238">
        <v>4.4474559209584277E-2</v>
      </c>
      <c r="AQ157" s="238">
        <v>4.6487704607469392E-2</v>
      </c>
    </row>
    <row r="159" spans="5:43" s="309" customFormat="1" ht="15" customHeight="1">
      <c r="E159" s="149" t="str">
        <f>Input!E159</f>
        <v>Allowed Expenditure - Load Related</v>
      </c>
      <c r="G159" s="309" t="s">
        <v>844</v>
      </c>
      <c r="I159" s="409"/>
      <c r="AJ159" s="221">
        <f t="shared" ref="AJ159:AQ159" si="11">AJ25</f>
        <v>40.490190883581199</v>
      </c>
      <c r="AK159" s="221">
        <f t="shared" si="11"/>
        <v>44.49888004863508</v>
      </c>
      <c r="AL159" s="221">
        <f t="shared" si="11"/>
        <v>44.803354579232071</v>
      </c>
      <c r="AM159" s="221">
        <f t="shared" si="11"/>
        <v>39.80372532123863</v>
      </c>
      <c r="AN159" s="221">
        <f t="shared" si="11"/>
        <v>43.096141014438651</v>
      </c>
      <c r="AO159" s="221">
        <f t="shared" si="11"/>
        <v>48.224808064262426</v>
      </c>
      <c r="AP159" s="221">
        <f t="shared" si="11"/>
        <v>51.355987731563673</v>
      </c>
      <c r="AQ159" s="221">
        <f t="shared" si="11"/>
        <v>46.729233176197212</v>
      </c>
    </row>
    <row r="160" spans="5:43" s="309" customFormat="1" ht="15" customHeight="1">
      <c r="E160" s="410" t="str">
        <f>Input!E160</f>
        <v>Allocation to load related capex</v>
      </c>
      <c r="G160" s="309" t="s">
        <v>49</v>
      </c>
      <c r="I160" s="149"/>
      <c r="AJ160" s="238">
        <v>0.99241454885843272</v>
      </c>
      <c r="AK160" s="238">
        <v>0.99277247448098305</v>
      </c>
      <c r="AL160" s="238">
        <v>0.99286370261521051</v>
      </c>
      <c r="AM160" s="238">
        <v>0.99205393021129606</v>
      </c>
      <c r="AN160" s="238">
        <v>0.99232360403065356</v>
      </c>
      <c r="AO160" s="238">
        <v>0.99285620569356969</v>
      </c>
      <c r="AP160" s="238">
        <v>0.99305777006310925</v>
      </c>
      <c r="AQ160" s="238">
        <v>0.99271187381650838</v>
      </c>
    </row>
    <row r="161" spans="5:43" s="309" customFormat="1" ht="15" customHeight="1">
      <c r="E161" s="410" t="str">
        <f>Input!E161</f>
        <v>Allocation to non-load related capex - asset replacement</v>
      </c>
      <c r="G161" s="309" t="s">
        <v>49</v>
      </c>
      <c r="I161" s="149"/>
      <c r="AJ161" s="238">
        <v>0</v>
      </c>
      <c r="AK161" s="238">
        <v>0</v>
      </c>
      <c r="AL161" s="238">
        <v>0</v>
      </c>
      <c r="AM161" s="238">
        <v>0</v>
      </c>
      <c r="AN161" s="238">
        <v>0</v>
      </c>
      <c r="AO161" s="238">
        <v>0</v>
      </c>
      <c r="AP161" s="238">
        <v>0</v>
      </c>
      <c r="AQ161" s="238">
        <v>0</v>
      </c>
    </row>
    <row r="162" spans="5:43" s="309" customFormat="1" ht="15" customHeight="1">
      <c r="E162" s="410" t="str">
        <f>Input!E162</f>
        <v>Allocation to non-load related capex - other</v>
      </c>
      <c r="G162" s="309" t="s">
        <v>49</v>
      </c>
      <c r="I162" s="149"/>
      <c r="AJ162" s="238">
        <v>0</v>
      </c>
      <c r="AK162" s="238">
        <v>0</v>
      </c>
      <c r="AL162" s="238">
        <v>0</v>
      </c>
      <c r="AM162" s="238">
        <v>0</v>
      </c>
      <c r="AN162" s="238">
        <v>0</v>
      </c>
      <c r="AO162" s="238">
        <v>0</v>
      </c>
      <c r="AP162" s="238">
        <v>0</v>
      </c>
      <c r="AQ162" s="238">
        <v>0</v>
      </c>
    </row>
    <row r="163" spans="5:43" s="309" customFormat="1" ht="15" customHeight="1">
      <c r="E163" s="410" t="str">
        <f>Input!E163</f>
        <v>Allocation to faults</v>
      </c>
      <c r="G163" s="309" t="s">
        <v>49</v>
      </c>
      <c r="I163" s="149"/>
      <c r="AJ163" s="238">
        <v>0</v>
      </c>
      <c r="AK163" s="238">
        <v>0</v>
      </c>
      <c r="AL163" s="238">
        <v>0</v>
      </c>
      <c r="AM163" s="238">
        <v>0</v>
      </c>
      <c r="AN163" s="238">
        <v>0</v>
      </c>
      <c r="AO163" s="238">
        <v>0</v>
      </c>
      <c r="AP163" s="238">
        <v>0</v>
      </c>
      <c r="AQ163" s="238">
        <v>0</v>
      </c>
    </row>
    <row r="164" spans="5:43" s="309" customFormat="1" ht="15" customHeight="1">
      <c r="E164" s="553" t="s">
        <v>994</v>
      </c>
      <c r="G164" s="309" t="s">
        <v>49</v>
      </c>
      <c r="I164" s="498"/>
      <c r="AJ164" s="238">
        <v>0</v>
      </c>
      <c r="AK164" s="238">
        <v>0</v>
      </c>
      <c r="AL164" s="238">
        <v>0</v>
      </c>
      <c r="AM164" s="238">
        <v>0</v>
      </c>
      <c r="AN164" s="238">
        <v>0</v>
      </c>
      <c r="AO164" s="238">
        <v>0</v>
      </c>
      <c r="AP164" s="238">
        <v>0</v>
      </c>
      <c r="AQ164" s="238">
        <v>0</v>
      </c>
    </row>
    <row r="165" spans="5:43" s="309" customFormat="1" ht="15" customHeight="1">
      <c r="E165" s="410" t="str">
        <f>Input!E165</f>
        <v>Allocation to 100% ‘revenue pool’ expenditure</v>
      </c>
      <c r="G165" s="309" t="s">
        <v>49</v>
      </c>
      <c r="I165" s="149"/>
      <c r="AJ165" s="238">
        <v>7.5854511415672787E-3</v>
      </c>
      <c r="AK165" s="238">
        <v>7.2275255190169529E-3</v>
      </c>
      <c r="AL165" s="238">
        <v>7.1362973847894917E-3</v>
      </c>
      <c r="AM165" s="238">
        <v>7.9460697887039355E-3</v>
      </c>
      <c r="AN165" s="238">
        <v>7.676395969346439E-3</v>
      </c>
      <c r="AO165" s="238">
        <v>7.1437943064303067E-3</v>
      </c>
      <c r="AP165" s="238">
        <v>6.9422299368907536E-3</v>
      </c>
      <c r="AQ165" s="238">
        <v>7.2881261834916167E-3</v>
      </c>
    </row>
    <row r="166" spans="5:43" s="309" customFormat="1" ht="15" customHeight="1">
      <c r="E166" s="410" t="str">
        <f>Input!E166</f>
        <v>Allocation to controllable opex</v>
      </c>
      <c r="G166" s="309" t="s">
        <v>49</v>
      </c>
      <c r="I166" s="149"/>
      <c r="AJ166" s="238">
        <v>0</v>
      </c>
      <c r="AK166" s="238">
        <v>0</v>
      </c>
      <c r="AL166" s="238">
        <v>0</v>
      </c>
      <c r="AM166" s="238">
        <v>0</v>
      </c>
      <c r="AN166" s="238">
        <v>0</v>
      </c>
      <c r="AO166" s="238">
        <v>0</v>
      </c>
      <c r="AP166" s="238">
        <v>0</v>
      </c>
      <c r="AQ166" s="238">
        <v>0</v>
      </c>
    </row>
    <row r="168" spans="5:43" s="498" customFormat="1" ht="15" customHeight="1">
      <c r="E168" s="498" t="str">
        <f>Input!E168</f>
        <v>Allowed Expenditure - Rail Electrification</v>
      </c>
      <c r="G168" s="309" t="s">
        <v>844</v>
      </c>
      <c r="AJ168" s="221">
        <f t="shared" ref="AJ168:AQ168" si="12">AJ26</f>
        <v>0</v>
      </c>
      <c r="AK168" s="221">
        <f t="shared" si="12"/>
        <v>0</v>
      </c>
      <c r="AL168" s="221">
        <f t="shared" si="12"/>
        <v>0</v>
      </c>
      <c r="AM168" s="221">
        <f t="shared" si="12"/>
        <v>0</v>
      </c>
      <c r="AN168" s="221">
        <f t="shared" si="12"/>
        <v>0</v>
      </c>
      <c r="AO168" s="221">
        <f t="shared" si="12"/>
        <v>0</v>
      </c>
      <c r="AP168" s="221">
        <f t="shared" si="12"/>
        <v>0</v>
      </c>
      <c r="AQ168" s="221">
        <f t="shared" si="12"/>
        <v>0</v>
      </c>
    </row>
    <row r="169" spans="5:43" s="498" customFormat="1" ht="15" customHeight="1">
      <c r="E169" s="410" t="str">
        <f>Input!E169</f>
        <v>Allocation to load related capex</v>
      </c>
      <c r="G169" s="309" t="s">
        <v>49</v>
      </c>
      <c r="AJ169" s="238">
        <v>0</v>
      </c>
      <c r="AK169" s="238">
        <v>0</v>
      </c>
      <c r="AL169" s="238">
        <v>0</v>
      </c>
      <c r="AM169" s="238">
        <v>0</v>
      </c>
      <c r="AN169" s="238">
        <v>0</v>
      </c>
      <c r="AO169" s="238">
        <v>0</v>
      </c>
      <c r="AP169" s="238">
        <v>0</v>
      </c>
      <c r="AQ169" s="238">
        <v>0</v>
      </c>
    </row>
    <row r="170" spans="5:43" s="498" customFormat="1" ht="15" customHeight="1">
      <c r="E170" s="410" t="str">
        <f>Input!E170</f>
        <v>Allocation to non-load related capex - asset replacement</v>
      </c>
      <c r="G170" s="309" t="s">
        <v>49</v>
      </c>
      <c r="AJ170" s="238">
        <v>0.98775631292708987</v>
      </c>
      <c r="AK170" s="238">
        <v>0.98775631292708976</v>
      </c>
      <c r="AL170" s="238">
        <v>0.98775631292708987</v>
      </c>
      <c r="AM170" s="238">
        <v>0.98775631292708987</v>
      </c>
      <c r="AN170" s="238">
        <v>0.98775631292708987</v>
      </c>
      <c r="AO170" s="238">
        <v>0.98775631292708987</v>
      </c>
      <c r="AP170" s="238">
        <v>0.98775631292708976</v>
      </c>
      <c r="AQ170" s="238">
        <v>0.98775631292708987</v>
      </c>
    </row>
    <row r="171" spans="5:43" s="498" customFormat="1" ht="15" customHeight="1">
      <c r="E171" s="410" t="str">
        <f>Input!E171</f>
        <v>Allocation to non-load related capex - other</v>
      </c>
      <c r="G171" s="309" t="s">
        <v>49</v>
      </c>
      <c r="AJ171" s="238">
        <v>0</v>
      </c>
      <c r="AK171" s="238">
        <v>0</v>
      </c>
      <c r="AL171" s="238">
        <v>0</v>
      </c>
      <c r="AM171" s="238">
        <v>0</v>
      </c>
      <c r="AN171" s="238">
        <v>0</v>
      </c>
      <c r="AO171" s="238">
        <v>0</v>
      </c>
      <c r="AP171" s="238">
        <v>0</v>
      </c>
      <c r="AQ171" s="238">
        <v>0</v>
      </c>
    </row>
    <row r="172" spans="5:43" s="498" customFormat="1" ht="15" customHeight="1">
      <c r="E172" s="410" t="str">
        <f>Input!E172</f>
        <v>Allocation to faults</v>
      </c>
      <c r="G172" s="309" t="s">
        <v>49</v>
      </c>
      <c r="AJ172" s="238">
        <v>0</v>
      </c>
      <c r="AK172" s="238">
        <v>0</v>
      </c>
      <c r="AL172" s="238">
        <v>0</v>
      </c>
      <c r="AM172" s="238">
        <v>0</v>
      </c>
      <c r="AN172" s="238">
        <v>0</v>
      </c>
      <c r="AO172" s="238">
        <v>0</v>
      </c>
      <c r="AP172" s="238">
        <v>0</v>
      </c>
      <c r="AQ172" s="238">
        <v>0</v>
      </c>
    </row>
    <row r="173" spans="5:43" s="498" customFormat="1" ht="15" customHeight="1">
      <c r="E173" s="553" t="s">
        <v>994</v>
      </c>
      <c r="G173" s="309" t="s">
        <v>49</v>
      </c>
      <c r="AJ173" s="238">
        <v>0</v>
      </c>
      <c r="AK173" s="238">
        <v>0</v>
      </c>
      <c r="AL173" s="238">
        <v>0</v>
      </c>
      <c r="AM173" s="238">
        <v>0</v>
      </c>
      <c r="AN173" s="238">
        <v>0</v>
      </c>
      <c r="AO173" s="238">
        <v>0</v>
      </c>
      <c r="AP173" s="238">
        <v>0</v>
      </c>
      <c r="AQ173" s="238">
        <v>0</v>
      </c>
    </row>
    <row r="174" spans="5:43" s="498" customFormat="1" ht="15" customHeight="1">
      <c r="E174" s="410" t="str">
        <f>Input!E174</f>
        <v>Allocation to 100% ‘revenue pool’ expenditure</v>
      </c>
      <c r="G174" s="309" t="s">
        <v>49</v>
      </c>
      <c r="AJ174" s="238">
        <v>1.2243687072910125E-2</v>
      </c>
      <c r="AK174" s="238">
        <v>1.2243687072910237E-2</v>
      </c>
      <c r="AL174" s="238">
        <v>1.2243687072910125E-2</v>
      </c>
      <c r="AM174" s="238">
        <v>1.2243687072910125E-2</v>
      </c>
      <c r="AN174" s="238">
        <v>1.2243687072910125E-2</v>
      </c>
      <c r="AO174" s="238">
        <v>1.2243687072910125E-2</v>
      </c>
      <c r="AP174" s="238">
        <v>1.2243687072910237E-2</v>
      </c>
      <c r="AQ174" s="238">
        <v>1.2243687072910125E-2</v>
      </c>
    </row>
    <row r="175" spans="5:43" s="498" customFormat="1" ht="15" customHeight="1">
      <c r="E175" s="410" t="str">
        <f>Input!E175</f>
        <v>Allocation to controllable opex</v>
      </c>
      <c r="G175" s="309" t="s">
        <v>49</v>
      </c>
      <c r="AJ175" s="238">
        <v>0</v>
      </c>
      <c r="AK175" s="238">
        <v>0</v>
      </c>
      <c r="AL175" s="238">
        <v>0</v>
      </c>
      <c r="AM175" s="238">
        <v>0</v>
      </c>
      <c r="AN175" s="238">
        <v>0</v>
      </c>
      <c r="AO175" s="238">
        <v>0</v>
      </c>
      <c r="AP175" s="238">
        <v>0</v>
      </c>
      <c r="AQ175" s="238">
        <v>0</v>
      </c>
    </row>
    <row r="176" spans="5:43" s="498" customFormat="1" ht="15" customHeight="1"/>
    <row r="177" spans="5:43" s="309" customFormat="1" ht="15" customHeight="1">
      <c r="E177" s="149" t="str">
        <f>Input!E177</f>
        <v>Spare 1</v>
      </c>
      <c r="G177" s="309" t="s">
        <v>844</v>
      </c>
      <c r="I177" s="409"/>
      <c r="AJ177" s="221">
        <f t="shared" ref="AJ177:AQ177" si="13">AJ27</f>
        <v>0</v>
      </c>
      <c r="AK177" s="221">
        <f t="shared" si="13"/>
        <v>0</v>
      </c>
      <c r="AL177" s="221">
        <f t="shared" si="13"/>
        <v>0</v>
      </c>
      <c r="AM177" s="221">
        <f t="shared" si="13"/>
        <v>0</v>
      </c>
      <c r="AN177" s="221">
        <f t="shared" si="13"/>
        <v>0</v>
      </c>
      <c r="AO177" s="221">
        <f t="shared" si="13"/>
        <v>0</v>
      </c>
      <c r="AP177" s="221">
        <f t="shared" si="13"/>
        <v>0</v>
      </c>
      <c r="AQ177" s="221">
        <f t="shared" si="13"/>
        <v>0</v>
      </c>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f t="shared" ref="AJ186:AQ186" si="14">AJ28</f>
        <v>0</v>
      </c>
      <c r="AK186" s="221">
        <f t="shared" si="14"/>
        <v>0</v>
      </c>
      <c r="AL186" s="221">
        <f t="shared" si="14"/>
        <v>0</v>
      </c>
      <c r="AM186" s="221">
        <f t="shared" si="14"/>
        <v>0</v>
      </c>
      <c r="AN186" s="221">
        <f t="shared" si="14"/>
        <v>0</v>
      </c>
      <c r="AO186" s="221">
        <f t="shared" si="14"/>
        <v>0</v>
      </c>
      <c r="AP186" s="221">
        <f t="shared" si="14"/>
        <v>0</v>
      </c>
      <c r="AQ186" s="221">
        <f t="shared" si="14"/>
        <v>0</v>
      </c>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f t="shared" ref="AJ195:AQ195" si="15">AJ29</f>
        <v>0</v>
      </c>
      <c r="AK195" s="221">
        <f t="shared" si="15"/>
        <v>0</v>
      </c>
      <c r="AL195" s="221">
        <f t="shared" si="15"/>
        <v>0</v>
      </c>
      <c r="AM195" s="221">
        <f t="shared" si="15"/>
        <v>0</v>
      </c>
      <c r="AN195" s="221">
        <f t="shared" si="15"/>
        <v>0</v>
      </c>
      <c r="AO195" s="221">
        <f t="shared" si="15"/>
        <v>0</v>
      </c>
      <c r="AP195" s="221">
        <f t="shared" si="15"/>
        <v>0</v>
      </c>
      <c r="AQ195" s="221">
        <f t="shared" si="15"/>
        <v>0</v>
      </c>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f t="shared" ref="AJ204:AQ204" si="16">AJ30</f>
        <v>0</v>
      </c>
      <c r="AK204" s="221">
        <f t="shared" si="16"/>
        <v>0</v>
      </c>
      <c r="AL204" s="221">
        <f t="shared" si="16"/>
        <v>0</v>
      </c>
      <c r="AM204" s="221">
        <f t="shared" si="16"/>
        <v>0</v>
      </c>
      <c r="AN204" s="221">
        <f t="shared" si="16"/>
        <v>0</v>
      </c>
      <c r="AO204" s="221">
        <f t="shared" si="16"/>
        <v>0</v>
      </c>
      <c r="AP204" s="221">
        <f t="shared" si="16"/>
        <v>0</v>
      </c>
      <c r="AQ204" s="221">
        <f t="shared" si="16"/>
        <v>0</v>
      </c>
    </row>
    <row r="205" spans="5:43" s="309" customFormat="1" ht="15" customHeight="1">
      <c r="E205" s="410" t="str">
        <f>Input!E205</f>
        <v>Allocation to load related capex</v>
      </c>
      <c r="G205" s="309" t="s">
        <v>49</v>
      </c>
      <c r="I205" s="409"/>
      <c r="AJ205" s="238">
        <v>0.25</v>
      </c>
      <c r="AK205" s="238">
        <v>0.25</v>
      </c>
      <c r="AL205" s="238">
        <v>0.25</v>
      </c>
      <c r="AM205" s="238">
        <v>0.25</v>
      </c>
      <c r="AN205" s="238">
        <v>0.25</v>
      </c>
      <c r="AO205" s="238">
        <v>0.25</v>
      </c>
      <c r="AP205" s="238">
        <v>0.25</v>
      </c>
      <c r="AQ205" s="238">
        <v>0.25</v>
      </c>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v>0.75</v>
      </c>
      <c r="AK207" s="238">
        <v>0.75</v>
      </c>
      <c r="AL207" s="238">
        <v>0.75</v>
      </c>
      <c r="AM207" s="238">
        <v>0.75</v>
      </c>
      <c r="AN207" s="238">
        <v>0.75</v>
      </c>
      <c r="AO207" s="238">
        <v>0.75</v>
      </c>
      <c r="AP207" s="238">
        <v>0.75</v>
      </c>
      <c r="AQ207" s="238">
        <v>0.75</v>
      </c>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f t="shared" ref="AJ213:AQ219" si="17">(AJ$105*AJ106)+(AJ$114*AJ115)+(AJ$123*AJ124)+(AJ$132*AJ133)+(AJ$141*AJ142)+(AJ$150*AJ151)+(AJ$159*AJ160)+(AJ$168*AJ169)+(AJ$177*AJ178)+(AJ$186*AJ187)+(AJ$195*AJ196)+(AJ$204*AJ205)</f>
        <v>47.626842915837315</v>
      </c>
      <c r="AK213" s="152">
        <f t="shared" si="17"/>
        <v>49.595157208644132</v>
      </c>
      <c r="AL213" s="152">
        <f t="shared" si="17"/>
        <v>45.066465144148445</v>
      </c>
      <c r="AM213" s="152">
        <f t="shared" si="17"/>
        <v>39.487442141985667</v>
      </c>
      <c r="AN213" s="152">
        <f t="shared" si="17"/>
        <v>42.765317971261027</v>
      </c>
      <c r="AO213" s="152">
        <f t="shared" si="17"/>
        <v>47.880299954984253</v>
      </c>
      <c r="AP213" s="152">
        <f t="shared" si="17"/>
        <v>50.999462656095019</v>
      </c>
      <c r="AQ213" s="152">
        <f t="shared" si="17"/>
        <v>46.388664628351286</v>
      </c>
    </row>
    <row r="214" spans="4:44" s="309" customFormat="1" ht="15" customHeight="1">
      <c r="E214" s="163" t="str">
        <f>Input!E214</f>
        <v>Variant allowed non-load related capex - asset replacement</v>
      </c>
      <c r="G214" s="309" t="s">
        <v>844</v>
      </c>
      <c r="I214" s="409"/>
      <c r="AE214" s="149"/>
      <c r="AJ214" s="152">
        <f t="shared" si="17"/>
        <v>14.773344692933497</v>
      </c>
      <c r="AK214" s="152">
        <f t="shared" si="17"/>
        <v>8.0616594298927637</v>
      </c>
      <c r="AL214" s="152">
        <f t="shared" si="17"/>
        <v>0.51242995653064372</v>
      </c>
      <c r="AM214" s="152">
        <f t="shared" si="17"/>
        <v>0</v>
      </c>
      <c r="AN214" s="152">
        <f t="shared" si="17"/>
        <v>0</v>
      </c>
      <c r="AO214" s="152">
        <f t="shared" si="17"/>
        <v>0</v>
      </c>
      <c r="AP214" s="152">
        <f t="shared" si="17"/>
        <v>0</v>
      </c>
      <c r="AQ214" s="152">
        <f t="shared" si="17"/>
        <v>0</v>
      </c>
    </row>
    <row r="215" spans="4:44" s="309" customFormat="1" ht="15" customHeight="1">
      <c r="E215" s="163" t="str">
        <f>Input!E215</f>
        <v>Variant allowed non-load related capex - other</v>
      </c>
      <c r="G215" s="309" t="s">
        <v>844</v>
      </c>
      <c r="I215" s="409"/>
      <c r="AJ215" s="152">
        <f t="shared" si="17"/>
        <v>0</v>
      </c>
      <c r="AK215" s="152">
        <f t="shared" si="17"/>
        <v>0</v>
      </c>
      <c r="AL215" s="152">
        <f t="shared" si="17"/>
        <v>0</v>
      </c>
      <c r="AM215" s="152">
        <f t="shared" si="17"/>
        <v>0</v>
      </c>
      <c r="AN215" s="152">
        <f t="shared" si="17"/>
        <v>0</v>
      </c>
      <c r="AO215" s="152">
        <f t="shared" si="17"/>
        <v>0</v>
      </c>
      <c r="AP215" s="152">
        <f t="shared" si="17"/>
        <v>0</v>
      </c>
      <c r="AQ215" s="152">
        <f t="shared" si="17"/>
        <v>0</v>
      </c>
    </row>
    <row r="216" spans="4:44" s="309" customFormat="1" ht="15" customHeight="1">
      <c r="E216" s="163" t="str">
        <f>Input!E216</f>
        <v>Variant allowed faults</v>
      </c>
      <c r="G216" s="309" t="s">
        <v>844</v>
      </c>
      <c r="I216" s="409"/>
      <c r="AJ216" s="152">
        <f t="shared" si="17"/>
        <v>0</v>
      </c>
      <c r="AK216" s="152">
        <f t="shared" si="17"/>
        <v>0</v>
      </c>
      <c r="AL216" s="152">
        <f t="shared" si="17"/>
        <v>0</v>
      </c>
      <c r="AM216" s="152">
        <f t="shared" si="17"/>
        <v>0</v>
      </c>
      <c r="AN216" s="152">
        <f t="shared" si="17"/>
        <v>0</v>
      </c>
      <c r="AO216" s="152">
        <f t="shared" si="17"/>
        <v>0</v>
      </c>
      <c r="AP216" s="152">
        <f t="shared" si="17"/>
        <v>0</v>
      </c>
      <c r="AQ216" s="152">
        <f t="shared" si="17"/>
        <v>0</v>
      </c>
    </row>
    <row r="217" spans="4:44" s="309" customFormat="1" ht="15" customHeight="1">
      <c r="E217" s="551" t="s">
        <v>995</v>
      </c>
      <c r="G217" s="309" t="s">
        <v>844</v>
      </c>
      <c r="I217" s="409"/>
      <c r="AJ217" s="152">
        <f t="shared" si="17"/>
        <v>0</v>
      </c>
      <c r="AK217" s="152">
        <f t="shared" si="17"/>
        <v>0</v>
      </c>
      <c r="AL217" s="152">
        <f t="shared" si="17"/>
        <v>0</v>
      </c>
      <c r="AM217" s="152">
        <f t="shared" si="17"/>
        <v>0</v>
      </c>
      <c r="AN217" s="152">
        <f t="shared" si="17"/>
        <v>0</v>
      </c>
      <c r="AO217" s="152">
        <f t="shared" si="17"/>
        <v>0</v>
      </c>
      <c r="AP217" s="152">
        <f t="shared" si="17"/>
        <v>0</v>
      </c>
      <c r="AQ217" s="152">
        <f t="shared" si="17"/>
        <v>0</v>
      </c>
    </row>
    <row r="218" spans="4:44" s="309" customFormat="1" ht="15" customHeight="1">
      <c r="E218" s="163" t="str">
        <f>Input!E218</f>
        <v>Variant allowed 100% ‘revenue pool’ expenditure</v>
      </c>
      <c r="G218" s="309" t="s">
        <v>844</v>
      </c>
      <c r="I218" s="409"/>
      <c r="AJ218" s="152">
        <f t="shared" si="17"/>
        <v>0.45238045725315418</v>
      </c>
      <c r="AK218" s="152">
        <f t="shared" si="17"/>
        <v>0.55962973919251047</v>
      </c>
      <c r="AL218" s="152">
        <f t="shared" si="17"/>
        <v>0.60550189671572063</v>
      </c>
      <c r="AM218" s="152">
        <f t="shared" si="17"/>
        <v>0.62405923523095796</v>
      </c>
      <c r="AN218" s="152">
        <f t="shared" si="17"/>
        <v>0.63094388312999383</v>
      </c>
      <c r="AO218" s="152">
        <f t="shared" si="17"/>
        <v>0.55354637669631457</v>
      </c>
      <c r="AP218" s="152">
        <f t="shared" si="17"/>
        <v>0.35652507546865558</v>
      </c>
      <c r="AQ218" s="152">
        <f t="shared" si="17"/>
        <v>0.34056854784592805</v>
      </c>
    </row>
    <row r="219" spans="4:44" s="309" customFormat="1" ht="15" customHeight="1">
      <c r="E219" s="163" t="str">
        <f>Input!E219</f>
        <v>Variant allowed controllable opex</v>
      </c>
      <c r="G219" s="309" t="s">
        <v>844</v>
      </c>
      <c r="I219" s="409"/>
      <c r="AJ219" s="152">
        <f t="shared" si="17"/>
        <v>1.8486223019956036</v>
      </c>
      <c r="AK219" s="152">
        <f t="shared" si="17"/>
        <v>3.3693477464327164</v>
      </c>
      <c r="AL219" s="152">
        <f t="shared" si="17"/>
        <v>4.3082324254885052</v>
      </c>
      <c r="AM219" s="152">
        <f t="shared" si="17"/>
        <v>4.7069208809980756</v>
      </c>
      <c r="AN219" s="152">
        <f t="shared" si="17"/>
        <v>4.6125600253842993</v>
      </c>
      <c r="AO219" s="152">
        <f t="shared" si="17"/>
        <v>3.2433040829197819</v>
      </c>
      <c r="AP219" s="152">
        <f t="shared" si="17"/>
        <v>0</v>
      </c>
      <c r="AQ219" s="152">
        <f t="shared" si="17"/>
        <v>0</v>
      </c>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f t="shared" ref="AJ223:AQ229" si="18">AJ12</f>
        <v>0</v>
      </c>
      <c r="AK223" s="221">
        <f t="shared" si="18"/>
        <v>0</v>
      </c>
      <c r="AL223" s="221">
        <f t="shared" si="18"/>
        <v>0</v>
      </c>
      <c r="AM223" s="221">
        <f t="shared" si="18"/>
        <v>0</v>
      </c>
      <c r="AN223" s="221">
        <f t="shared" si="18"/>
        <v>0</v>
      </c>
      <c r="AO223" s="221">
        <f t="shared" si="18"/>
        <v>0</v>
      </c>
      <c r="AP223" s="221">
        <f t="shared" si="18"/>
        <v>0</v>
      </c>
      <c r="AQ223" s="221">
        <f t="shared" si="18"/>
        <v>0</v>
      </c>
      <c r="AR223" s="369"/>
    </row>
    <row r="224" spans="4:44" s="163" customFormat="1" ht="15" customHeight="1">
      <c r="E224" s="56" t="str">
        <f>Input!E224</f>
        <v>Actual non-load related capex - asset replacement</v>
      </c>
      <c r="G224" s="309" t="s">
        <v>844</v>
      </c>
      <c r="AJ224" s="221">
        <f t="shared" si="18"/>
        <v>0</v>
      </c>
      <c r="AK224" s="221">
        <f t="shared" si="18"/>
        <v>0</v>
      </c>
      <c r="AL224" s="221">
        <f t="shared" si="18"/>
        <v>0</v>
      </c>
      <c r="AM224" s="221">
        <f t="shared" si="18"/>
        <v>0</v>
      </c>
      <c r="AN224" s="221">
        <f t="shared" si="18"/>
        <v>0</v>
      </c>
      <c r="AO224" s="221">
        <f t="shared" si="18"/>
        <v>0</v>
      </c>
      <c r="AP224" s="221">
        <f t="shared" si="18"/>
        <v>0</v>
      </c>
      <c r="AQ224" s="221">
        <f t="shared" si="18"/>
        <v>0</v>
      </c>
      <c r="AR224" s="369"/>
    </row>
    <row r="225" spans="2:44" s="163" customFormat="1" ht="15" customHeight="1">
      <c r="E225" s="309" t="str">
        <f>Input!E225</f>
        <v>Actual non-load related capex - other</v>
      </c>
      <c r="G225" s="309" t="s">
        <v>844</v>
      </c>
      <c r="AJ225" s="221">
        <f t="shared" si="18"/>
        <v>0</v>
      </c>
      <c r="AK225" s="221">
        <f t="shared" si="18"/>
        <v>0</v>
      </c>
      <c r="AL225" s="221">
        <f t="shared" si="18"/>
        <v>0</v>
      </c>
      <c r="AM225" s="221">
        <f t="shared" si="18"/>
        <v>0</v>
      </c>
      <c r="AN225" s="221">
        <f t="shared" si="18"/>
        <v>0</v>
      </c>
      <c r="AO225" s="221">
        <f t="shared" si="18"/>
        <v>0</v>
      </c>
      <c r="AP225" s="221">
        <f t="shared" si="18"/>
        <v>0</v>
      </c>
      <c r="AQ225" s="221">
        <f t="shared" si="18"/>
        <v>0</v>
      </c>
      <c r="AR225" s="369"/>
    </row>
    <row r="226" spans="2:44" s="163" customFormat="1" ht="15" customHeight="1">
      <c r="E226" s="309" t="str">
        <f>Input!E226</f>
        <v>Actual faults</v>
      </c>
      <c r="G226" s="309" t="s">
        <v>844</v>
      </c>
      <c r="AJ226" s="221">
        <f t="shared" si="18"/>
        <v>0</v>
      </c>
      <c r="AK226" s="221">
        <f t="shared" si="18"/>
        <v>0</v>
      </c>
      <c r="AL226" s="221">
        <f t="shared" si="18"/>
        <v>0</v>
      </c>
      <c r="AM226" s="221">
        <f t="shared" si="18"/>
        <v>0</v>
      </c>
      <c r="AN226" s="221">
        <f t="shared" si="18"/>
        <v>0</v>
      </c>
      <c r="AO226" s="221">
        <f t="shared" si="18"/>
        <v>0</v>
      </c>
      <c r="AP226" s="221">
        <f t="shared" si="18"/>
        <v>0</v>
      </c>
      <c r="AQ226" s="221">
        <f t="shared" si="18"/>
        <v>0</v>
      </c>
      <c r="AR226" s="369"/>
    </row>
    <row r="227" spans="2:44" s="163" customFormat="1" ht="15" customHeight="1">
      <c r="E227" s="554" t="s">
        <v>996</v>
      </c>
      <c r="G227" s="309"/>
      <c r="AJ227" s="221">
        <f t="shared" si="18"/>
        <v>0</v>
      </c>
      <c r="AK227" s="221">
        <f t="shared" si="18"/>
        <v>0</v>
      </c>
      <c r="AL227" s="221">
        <f t="shared" si="18"/>
        <v>0</v>
      </c>
      <c r="AM227" s="221">
        <f t="shared" si="18"/>
        <v>0</v>
      </c>
      <c r="AN227" s="221">
        <f t="shared" si="18"/>
        <v>0</v>
      </c>
      <c r="AO227" s="221">
        <f t="shared" si="18"/>
        <v>0</v>
      </c>
      <c r="AP227" s="221">
        <f t="shared" si="18"/>
        <v>0</v>
      </c>
      <c r="AQ227" s="221">
        <f t="shared" si="18"/>
        <v>0</v>
      </c>
      <c r="AR227" s="369"/>
    </row>
    <row r="228" spans="2:44" s="163" customFormat="1" ht="15" customHeight="1">
      <c r="E228" s="309" t="str">
        <f>Input!E228</f>
        <v>Actual 100% ‘revenue pool’ expenditure</v>
      </c>
      <c r="G228" s="309" t="s">
        <v>844</v>
      </c>
      <c r="AJ228" s="221">
        <f t="shared" si="18"/>
        <v>0</v>
      </c>
      <c r="AK228" s="221">
        <f t="shared" si="18"/>
        <v>0</v>
      </c>
      <c r="AL228" s="221">
        <f t="shared" si="18"/>
        <v>0</v>
      </c>
      <c r="AM228" s="221">
        <f t="shared" si="18"/>
        <v>0</v>
      </c>
      <c r="AN228" s="221">
        <f t="shared" si="18"/>
        <v>0</v>
      </c>
      <c r="AO228" s="221">
        <f t="shared" si="18"/>
        <v>0</v>
      </c>
      <c r="AP228" s="221">
        <f t="shared" si="18"/>
        <v>0</v>
      </c>
      <c r="AQ228" s="221">
        <f t="shared" si="18"/>
        <v>0</v>
      </c>
      <c r="AR228" s="369"/>
    </row>
    <row r="229" spans="2:44" s="163" customFormat="1" ht="15" customHeight="1">
      <c r="E229" s="411" t="str">
        <f>Input!E229</f>
        <v>Actual controllable opex</v>
      </c>
      <c r="G229" s="309" t="s">
        <v>844</v>
      </c>
      <c r="AJ229" s="221">
        <f t="shared" si="18"/>
        <v>0</v>
      </c>
      <c r="AK229" s="221">
        <f t="shared" si="18"/>
        <v>0</v>
      </c>
      <c r="AL229" s="221">
        <f t="shared" si="18"/>
        <v>0</v>
      </c>
      <c r="AM229" s="221">
        <f t="shared" si="18"/>
        <v>0</v>
      </c>
      <c r="AN229" s="221">
        <f t="shared" si="18"/>
        <v>0</v>
      </c>
      <c r="AO229" s="221">
        <f t="shared" si="18"/>
        <v>0</v>
      </c>
      <c r="AP229" s="221">
        <f t="shared" si="18"/>
        <v>0</v>
      </c>
      <c r="AQ229" s="221">
        <f t="shared" si="18"/>
        <v>0</v>
      </c>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v>42.772595220434575</v>
      </c>
      <c r="AK233" s="236">
        <v>41.92259522043458</v>
      </c>
      <c r="AL233" s="236">
        <v>42.255928553767909</v>
      </c>
      <c r="AM233" s="236">
        <v>42.639261887101242</v>
      </c>
      <c r="AN233" s="236">
        <v>42.072595220434579</v>
      </c>
      <c r="AO233" s="236">
        <v>42.739261887101243</v>
      </c>
      <c r="AP233" s="236">
        <v>40.789697405183922</v>
      </c>
      <c r="AQ233" s="236">
        <v>40.789697405183922</v>
      </c>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v>29.7</v>
      </c>
      <c r="AK234" s="236">
        <v>32.769999999999996</v>
      </c>
      <c r="AL234" s="236">
        <v>33.979999999999997</v>
      </c>
      <c r="AM234" s="236">
        <v>36.43</v>
      </c>
      <c r="AN234" s="236">
        <v>39.49</v>
      </c>
      <c r="AO234" s="236">
        <v>45.29</v>
      </c>
      <c r="AP234" s="236">
        <v>43.59</v>
      </c>
      <c r="AQ234" s="236">
        <v>45.1</v>
      </c>
    </row>
    <row r="235" spans="2:44" ht="15" customHeight="1">
      <c r="E235" s="19" t="s">
        <v>108</v>
      </c>
      <c r="G235" s="19" t="s">
        <v>844</v>
      </c>
      <c r="AJ235" s="167">
        <f t="shared" ref="AJ235:AQ235" si="19">SUM(AJ233:AJ234)</f>
        <v>72.47259522043457</v>
      </c>
      <c r="AK235" s="167">
        <f t="shared" si="19"/>
        <v>74.692595220434583</v>
      </c>
      <c r="AL235" s="167">
        <f t="shared" si="19"/>
        <v>76.235928553767906</v>
      </c>
      <c r="AM235" s="167">
        <f t="shared" si="19"/>
        <v>79.069261887101248</v>
      </c>
      <c r="AN235" s="167">
        <f t="shared" si="19"/>
        <v>81.562595220434588</v>
      </c>
      <c r="AO235" s="167">
        <f t="shared" si="19"/>
        <v>88.029261887101242</v>
      </c>
      <c r="AP235" s="167">
        <f t="shared" si="19"/>
        <v>84.379697405183919</v>
      </c>
      <c r="AQ235" s="167">
        <f t="shared" si="19"/>
        <v>85.889697405183924</v>
      </c>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f t="shared" ref="AJ239:AQ239" si="20">AJ31</f>
        <v>13.951102787235566</v>
      </c>
      <c r="AK239" s="221">
        <f t="shared" si="20"/>
        <v>13.951102787235566</v>
      </c>
      <c r="AL239" s="221">
        <f t="shared" si="20"/>
        <v>13.951102787235566</v>
      </c>
      <c r="AM239" s="221">
        <f t="shared" si="20"/>
        <v>13.951102787235566</v>
      </c>
      <c r="AN239" s="221">
        <f t="shared" si="20"/>
        <v>13.951102787235566</v>
      </c>
      <c r="AO239" s="221">
        <f t="shared" si="20"/>
        <v>13.951102787235566</v>
      </c>
      <c r="AP239" s="221">
        <f t="shared" si="20"/>
        <v>13.951102787235566</v>
      </c>
      <c r="AQ239" s="221">
        <f t="shared" si="20"/>
        <v>13.951102787235566</v>
      </c>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v>1.0252355489104881</v>
      </c>
      <c r="AK243" s="227">
        <v>1.0732678343769446</v>
      </c>
      <c r="AL243" s="227">
        <v>1.1235504324175043</v>
      </c>
      <c r="AM243" s="227">
        <v>1.1761887701762646</v>
      </c>
      <c r="AN243" s="227">
        <v>1.2312932140590225</v>
      </c>
      <c r="AO243" s="227">
        <v>1.288979301137688</v>
      </c>
      <c r="AP243" s="227">
        <v>1.3493679813959885</v>
      </c>
      <c r="AQ243" s="227">
        <v>1.4125858713243906</v>
      </c>
    </row>
    <row r="244" spans="5:43" ht="15" customHeight="1">
      <c r="E244" s="149" t="str">
        <f>Input!E244</f>
        <v xml:space="preserve">Other legacy adjustments' price control allowed revenue adjustment                                                                                                            </v>
      </c>
      <c r="G244" s="19" t="s">
        <v>844</v>
      </c>
      <c r="AJ244" s="412">
        <f t="shared" ref="AJ244:AQ244" si="21">$AJ$32/8*(1+AJ51)^ROUND((AJ7-$AJ7)/365,1)</f>
        <v>0</v>
      </c>
      <c r="AK244" s="412">
        <f t="shared" si="21"/>
        <v>0</v>
      </c>
      <c r="AL244" s="412">
        <f t="shared" si="21"/>
        <v>0</v>
      </c>
      <c r="AM244" s="412">
        <f t="shared" si="21"/>
        <v>0</v>
      </c>
      <c r="AN244" s="412">
        <f t="shared" si="21"/>
        <v>0</v>
      </c>
      <c r="AO244" s="412">
        <f t="shared" si="21"/>
        <v>0</v>
      </c>
      <c r="AP244" s="412">
        <f t="shared" si="21"/>
        <v>0</v>
      </c>
      <c r="AQ244" s="412">
        <f t="shared" si="21"/>
        <v>0</v>
      </c>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f t="shared" ref="AJ245:AQ245" si="22">AJ243+AJ244</f>
        <v>1.0252355489104881</v>
      </c>
      <c r="AK245" s="167">
        <f t="shared" si="22"/>
        <v>1.0732678343769446</v>
      </c>
      <c r="AL245" s="167">
        <f t="shared" si="22"/>
        <v>1.1235504324175043</v>
      </c>
      <c r="AM245" s="167">
        <f t="shared" si="22"/>
        <v>1.1761887701762646</v>
      </c>
      <c r="AN245" s="167">
        <f t="shared" si="22"/>
        <v>1.2312932140590225</v>
      </c>
      <c r="AO245" s="167">
        <f t="shared" si="22"/>
        <v>1.288979301137688</v>
      </c>
      <c r="AP245" s="167">
        <f t="shared" si="22"/>
        <v>1.3493679813959885</v>
      </c>
      <c r="AQ245" s="167">
        <f t="shared" si="22"/>
        <v>1.4125858713243906</v>
      </c>
    </row>
    <row r="247" spans="5:43" ht="15" customHeight="1">
      <c r="E247" s="149" t="str">
        <f>Input!E247</f>
        <v>RAV Rolling Incentive legacy adjustments' price control allowed revenue (Base)</v>
      </c>
      <c r="G247" s="498" t="str">
        <f>Input!G247</f>
        <v>£m 12/13 prices</v>
      </c>
      <c r="AJ247" s="227">
        <v>5.3023915485922002E-2</v>
      </c>
      <c r="AK247" s="227">
        <v>5.5508085926437453E-2</v>
      </c>
      <c r="AL247" s="227">
        <v>5.8108639752091046E-2</v>
      </c>
      <c r="AM247" s="227">
        <v>6.0831029524476513E-2</v>
      </c>
      <c r="AN247" s="227">
        <v>6.3680963257698245E-2</v>
      </c>
      <c r="AO247" s="227">
        <v>6.666441638632141E-2</v>
      </c>
      <c r="AP247" s="227">
        <v>6.9787644294020568E-2</v>
      </c>
      <c r="AQ247" s="227">
        <v>7.3057195429195421E-2</v>
      </c>
    </row>
    <row r="248" spans="5:43" ht="15" customHeight="1">
      <c r="E248" s="149" t="str">
        <f>Input!E248</f>
        <v>RAV Rolling Incentive legacy adjustments' price control allowed revenue adjustment</v>
      </c>
      <c r="G248" s="498" t="str">
        <f>Input!G248</f>
        <v>£m 12/13 prices</v>
      </c>
      <c r="AJ248" s="412">
        <f t="shared" ref="AJ248:AQ248" si="23">$AJ$34/8*(1+AJ51)^ROUND((AJ7-$AJ7)/365,1)</f>
        <v>0</v>
      </c>
      <c r="AK248" s="412">
        <f t="shared" si="23"/>
        <v>0</v>
      </c>
      <c r="AL248" s="412">
        <f t="shared" si="23"/>
        <v>0</v>
      </c>
      <c r="AM248" s="412">
        <f t="shared" si="23"/>
        <v>0</v>
      </c>
      <c r="AN248" s="412">
        <f t="shared" si="23"/>
        <v>0</v>
      </c>
      <c r="AO248" s="412">
        <f t="shared" si="23"/>
        <v>0</v>
      </c>
      <c r="AP248" s="412">
        <f t="shared" si="23"/>
        <v>0</v>
      </c>
      <c r="AQ248" s="412">
        <f t="shared" si="23"/>
        <v>0</v>
      </c>
    </row>
    <row r="249" spans="5:43" ht="15" customHeight="1">
      <c r="E249" s="149" t="str">
        <f>Input!E249</f>
        <v>RAV Rolling Incentive legacy adjustments' price control allowed revenue</v>
      </c>
      <c r="F249" s="19"/>
      <c r="G249" s="498" t="str">
        <f>Input!G249</f>
        <v>£m 12/13 prices</v>
      </c>
      <c r="AJ249" s="167">
        <f t="shared" ref="AJ249:AQ249" si="24">AJ247+AJ248</f>
        <v>5.3023915485922002E-2</v>
      </c>
      <c r="AK249" s="167">
        <f t="shared" si="24"/>
        <v>5.5508085926437453E-2</v>
      </c>
      <c r="AL249" s="167">
        <f t="shared" si="24"/>
        <v>5.8108639752091046E-2</v>
      </c>
      <c r="AM249" s="167">
        <f t="shared" si="24"/>
        <v>6.0831029524476513E-2</v>
      </c>
      <c r="AN249" s="167">
        <f t="shared" si="24"/>
        <v>6.3680963257698245E-2</v>
      </c>
      <c r="AO249" s="167">
        <f t="shared" si="24"/>
        <v>6.666441638632141E-2</v>
      </c>
      <c r="AP249" s="167">
        <f t="shared" si="24"/>
        <v>6.9787644294020568E-2</v>
      </c>
      <c r="AQ249" s="167">
        <f t="shared" si="24"/>
        <v>7.3057195429195421E-2</v>
      </c>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v>0.30899440000000006</v>
      </c>
      <c r="AF253" s="227">
        <v>0.23710699999999998</v>
      </c>
      <c r="AG253" s="227">
        <v>0.51763066000000002</v>
      </c>
      <c r="AH253" s="227">
        <v>0.1</v>
      </c>
      <c r="AI253" s="227">
        <v>0.1</v>
      </c>
      <c r="AJ253" s="227">
        <v>0.1</v>
      </c>
      <c r="AK253" s="227">
        <v>0.1</v>
      </c>
      <c r="AL253" s="227">
        <v>0.1</v>
      </c>
      <c r="AM253" s="227">
        <v>0.1</v>
      </c>
      <c r="AN253" s="227">
        <v>0.1</v>
      </c>
      <c r="AO253" s="227">
        <v>0.1</v>
      </c>
      <c r="AP253" s="227">
        <v>0.1</v>
      </c>
      <c r="AQ253" s="227">
        <v>0.1</v>
      </c>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f t="shared" ref="AE254:AQ254" si="25">-AE253</f>
        <v>-0.30899440000000006</v>
      </c>
      <c r="AF254" s="227">
        <f t="shared" si="25"/>
        <v>-0.23710699999999998</v>
      </c>
      <c r="AG254" s="227">
        <f t="shared" si="25"/>
        <v>-0.51763066000000002</v>
      </c>
      <c r="AH254" s="227">
        <f t="shared" si="25"/>
        <v>-0.1</v>
      </c>
      <c r="AI254" s="227">
        <f t="shared" si="25"/>
        <v>-0.1</v>
      </c>
      <c r="AJ254" s="227">
        <f t="shared" si="25"/>
        <v>-0.1</v>
      </c>
      <c r="AK254" s="227">
        <f t="shared" si="25"/>
        <v>-0.1</v>
      </c>
      <c r="AL254" s="227">
        <f t="shared" si="25"/>
        <v>-0.1</v>
      </c>
      <c r="AM254" s="227">
        <f t="shared" si="25"/>
        <v>-0.1</v>
      </c>
      <c r="AN254" s="227">
        <f t="shared" si="25"/>
        <v>-0.1</v>
      </c>
      <c r="AO254" s="227">
        <f t="shared" si="25"/>
        <v>-0.1</v>
      </c>
      <c r="AP254" s="227">
        <f t="shared" si="25"/>
        <v>-0.1</v>
      </c>
      <c r="AQ254" s="227">
        <f t="shared" si="25"/>
        <v>-0.1</v>
      </c>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f t="shared" ref="AE255:AQ255" si="26">SUM(AE253,AE254)</f>
        <v>0</v>
      </c>
      <c r="AF255" s="167">
        <f t="shared" si="26"/>
        <v>0</v>
      </c>
      <c r="AG255" s="167">
        <f t="shared" si="26"/>
        <v>0</v>
      </c>
      <c r="AH255" s="167">
        <f t="shared" si="26"/>
        <v>0</v>
      </c>
      <c r="AI255" s="167">
        <f t="shared" si="26"/>
        <v>0</v>
      </c>
      <c r="AJ255" s="167">
        <f t="shared" si="26"/>
        <v>0</v>
      </c>
      <c r="AK255" s="167">
        <f t="shared" si="26"/>
        <v>0</v>
      </c>
      <c r="AL255" s="167">
        <f t="shared" si="26"/>
        <v>0</v>
      </c>
      <c r="AM255" s="167">
        <f t="shared" si="26"/>
        <v>0</v>
      </c>
      <c r="AN255" s="167">
        <f t="shared" si="26"/>
        <v>0</v>
      </c>
      <c r="AO255" s="167">
        <f t="shared" si="26"/>
        <v>0</v>
      </c>
      <c r="AP255" s="167">
        <f t="shared" si="26"/>
        <v>0</v>
      </c>
      <c r="AQ255" s="167">
        <f t="shared" si="26"/>
        <v>0</v>
      </c>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f t="shared" ref="AE259:AQ259" si="27">-AE260</f>
        <v>-7.9586989962712074E-2</v>
      </c>
      <c r="AF259" s="227">
        <f t="shared" si="27"/>
        <v>-2.6087356629344036</v>
      </c>
      <c r="AG259" s="227">
        <f t="shared" si="27"/>
        <v>-3.4772976136661091</v>
      </c>
      <c r="AH259" s="227">
        <f t="shared" si="27"/>
        <v>-0.17443109693011172</v>
      </c>
      <c r="AI259" s="227">
        <f t="shared" si="27"/>
        <v>0.22412975135825564</v>
      </c>
      <c r="AJ259" s="227">
        <f t="shared" si="27"/>
        <v>1.1931955726910495</v>
      </c>
      <c r="AK259" s="227">
        <f t="shared" si="27"/>
        <v>0.79981511291301199</v>
      </c>
      <c r="AL259" s="227">
        <f t="shared" si="27"/>
        <v>0.38092100286542685</v>
      </c>
      <c r="AM259" s="227">
        <f t="shared" si="27"/>
        <v>0.59106886165673522</v>
      </c>
      <c r="AN259" s="227">
        <f t="shared" si="27"/>
        <v>0.44960713317589374</v>
      </c>
      <c r="AO259" s="227">
        <f t="shared" si="27"/>
        <v>0.1682520657780624</v>
      </c>
      <c r="AP259" s="227">
        <f t="shared" si="27"/>
        <v>0.26382110658168889</v>
      </c>
      <c r="AQ259" s="227">
        <f t="shared" si="27"/>
        <v>0.50232765866229601</v>
      </c>
    </row>
    <row r="260" spans="5:43" ht="15" customHeight="1">
      <c r="E260" s="149" t="str">
        <f>Input!E260</f>
        <v>Element of connection that is Sole Use funded costs</v>
      </c>
      <c r="G260" s="149" t="str">
        <f>Input!G260</f>
        <v>£m 12/13 prices</v>
      </c>
      <c r="AE260" s="227">
        <v>7.9586989962712074E-2</v>
      </c>
      <c r="AF260" s="227">
        <v>2.6087356629344036</v>
      </c>
      <c r="AG260" s="227">
        <v>3.4772976136661091</v>
      </c>
      <c r="AH260" s="227">
        <v>0.17443109693011172</v>
      </c>
      <c r="AI260" s="227">
        <v>-0.22412975135825564</v>
      </c>
      <c r="AJ260" s="227">
        <v>-1.1931955726910495</v>
      </c>
      <c r="AK260" s="227">
        <v>-0.79981511291301199</v>
      </c>
      <c r="AL260" s="227">
        <v>-0.38092100286542685</v>
      </c>
      <c r="AM260" s="227">
        <v>-0.59106886165673522</v>
      </c>
      <c r="AN260" s="227">
        <v>-0.44960713317589374</v>
      </c>
      <c r="AO260" s="227">
        <v>-0.1682520657780624</v>
      </c>
      <c r="AP260" s="227">
        <v>-0.26382110658168889</v>
      </c>
      <c r="AQ260" s="227">
        <v>-0.50232765866229601</v>
      </c>
    </row>
    <row r="261" spans="5:43" ht="15" customHeight="1">
      <c r="E261" s="149" t="str">
        <f>Input!E261</f>
        <v>Element of connection that is Sole Use funded net position</v>
      </c>
      <c r="G261" s="149" t="str">
        <f>Input!G261</f>
        <v>£m 12/13 prices</v>
      </c>
      <c r="AE261" s="167">
        <f t="shared" ref="AE261:AQ261" si="28">SUM(AE259,AE260)</f>
        <v>0</v>
      </c>
      <c r="AF261" s="167">
        <f t="shared" si="28"/>
        <v>0</v>
      </c>
      <c r="AG261" s="167">
        <f t="shared" si="28"/>
        <v>0</v>
      </c>
      <c r="AH261" s="167">
        <f t="shared" si="28"/>
        <v>0</v>
      </c>
      <c r="AI261" s="167">
        <f t="shared" si="28"/>
        <v>0</v>
      </c>
      <c r="AJ261" s="167">
        <f t="shared" si="28"/>
        <v>0</v>
      </c>
      <c r="AK261" s="167">
        <f t="shared" si="28"/>
        <v>0</v>
      </c>
      <c r="AL261" s="167">
        <f t="shared" si="28"/>
        <v>0</v>
      </c>
      <c r="AM261" s="167">
        <f t="shared" si="28"/>
        <v>0</v>
      </c>
      <c r="AN261" s="167">
        <f t="shared" si="28"/>
        <v>0</v>
      </c>
      <c r="AO261" s="167">
        <f t="shared" si="28"/>
        <v>0</v>
      </c>
      <c r="AP261" s="167">
        <f t="shared" si="28"/>
        <v>0</v>
      </c>
      <c r="AQ261" s="167">
        <f t="shared" si="28"/>
        <v>0</v>
      </c>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f t="shared" ref="AE263:AQ263" si="29">-AE264</f>
        <v>2.5077502307589445</v>
      </c>
      <c r="AF263" s="227">
        <f t="shared" si="29"/>
        <v>-2.1102570094850561</v>
      </c>
      <c r="AG263" s="227">
        <f t="shared" si="29"/>
        <v>-1.4692005077956374</v>
      </c>
      <c r="AH263" s="227">
        <f t="shared" si="29"/>
        <v>7.9772722268809659E-3</v>
      </c>
      <c r="AI263" s="227">
        <f t="shared" si="29"/>
        <v>6.0810571359635093E-2</v>
      </c>
      <c r="AJ263" s="227">
        <f t="shared" si="29"/>
        <v>0.10388554735224539</v>
      </c>
      <c r="AK263" s="227">
        <f t="shared" si="29"/>
        <v>7.4996056916023429E-2</v>
      </c>
      <c r="AL263" s="227">
        <f t="shared" si="29"/>
        <v>5.0210846244355178E-2</v>
      </c>
      <c r="AM263" s="227">
        <f t="shared" si="29"/>
        <v>6.0182588908805734E-2</v>
      </c>
      <c r="AN263" s="227">
        <f t="shared" si="29"/>
        <v>5.2486297051765274E-2</v>
      </c>
      <c r="AO263" s="227">
        <f t="shared" si="29"/>
        <v>3.8730196997697364E-2</v>
      </c>
      <c r="AP263" s="227">
        <f t="shared" si="29"/>
        <v>4.2836646845537375E-2</v>
      </c>
      <c r="AQ263" s="227">
        <f t="shared" si="29"/>
        <v>5.2736663349474792E-2</v>
      </c>
    </row>
    <row r="264" spans="5:43" ht="15" customHeight="1">
      <c r="E264" s="149" t="str">
        <f>Input!E264</f>
        <v>Connection projects UMC costs</v>
      </c>
      <c r="G264" s="149" t="str">
        <f>Input!G264</f>
        <v>£m 12/13 prices</v>
      </c>
      <c r="AE264" s="227">
        <v>-2.5077502307589445</v>
      </c>
      <c r="AF264" s="227">
        <v>2.1102570094850561</v>
      </c>
      <c r="AG264" s="227">
        <v>1.4692005077956374</v>
      </c>
      <c r="AH264" s="227">
        <v>-7.9772722268809659E-3</v>
      </c>
      <c r="AI264" s="227">
        <v>-6.0810571359635093E-2</v>
      </c>
      <c r="AJ264" s="227">
        <v>-0.10388554735224539</v>
      </c>
      <c r="AK264" s="227">
        <v>-7.4996056916023429E-2</v>
      </c>
      <c r="AL264" s="227">
        <v>-5.0210846244355178E-2</v>
      </c>
      <c r="AM264" s="227">
        <v>-6.0182588908805734E-2</v>
      </c>
      <c r="AN264" s="227">
        <v>-5.2486297051765274E-2</v>
      </c>
      <c r="AO264" s="227">
        <v>-3.8730196997697364E-2</v>
      </c>
      <c r="AP264" s="227">
        <v>-4.2836646845537375E-2</v>
      </c>
      <c r="AQ264" s="227">
        <v>-5.2736663349474792E-2</v>
      </c>
    </row>
    <row r="265" spans="5:43" ht="15" customHeight="1">
      <c r="E265" s="149" t="str">
        <f>Input!E265</f>
        <v>Connection projects UMC net position</v>
      </c>
      <c r="G265" s="149" t="str">
        <f>Input!G265</f>
        <v>£m 12/13 prices</v>
      </c>
      <c r="AE265" s="167">
        <f t="shared" ref="AE265:AQ265" si="30">SUM(AE263,AE264)</f>
        <v>0</v>
      </c>
      <c r="AF265" s="167">
        <f t="shared" si="30"/>
        <v>0</v>
      </c>
      <c r="AG265" s="167">
        <f t="shared" si="30"/>
        <v>0</v>
      </c>
      <c r="AH265" s="167">
        <f t="shared" si="30"/>
        <v>0</v>
      </c>
      <c r="AI265" s="167">
        <f t="shared" si="30"/>
        <v>0</v>
      </c>
      <c r="AJ265" s="167">
        <f t="shared" si="30"/>
        <v>0</v>
      </c>
      <c r="AK265" s="167">
        <f t="shared" si="30"/>
        <v>0</v>
      </c>
      <c r="AL265" s="167">
        <f t="shared" si="30"/>
        <v>0</v>
      </c>
      <c r="AM265" s="167">
        <f t="shared" si="30"/>
        <v>0</v>
      </c>
      <c r="AN265" s="167">
        <f t="shared" si="30"/>
        <v>0</v>
      </c>
      <c r="AO265" s="167">
        <f t="shared" si="30"/>
        <v>0</v>
      </c>
      <c r="AP265" s="167">
        <f t="shared" si="30"/>
        <v>0</v>
      </c>
      <c r="AQ265" s="167">
        <f t="shared" si="30"/>
        <v>0</v>
      </c>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v>14.105162200000001</v>
      </c>
      <c r="AF267" s="227">
        <v>10.858915583244597</v>
      </c>
      <c r="AG267" s="227">
        <v>7.3083022699999995</v>
      </c>
      <c r="AH267" s="227">
        <v>5.4065715000000001</v>
      </c>
      <c r="AI267" s="227">
        <v>5.4011159400000004</v>
      </c>
      <c r="AJ267" s="227">
        <v>5.4018716399999995</v>
      </c>
      <c r="AK267" s="227">
        <v>5.4211997399999996</v>
      </c>
      <c r="AL267" s="227">
        <v>5.4380633999999999</v>
      </c>
      <c r="AM267" s="227">
        <v>5.4588600000000005</v>
      </c>
      <c r="AN267" s="227">
        <v>5.4841366799999998</v>
      </c>
      <c r="AO267" s="227">
        <v>5.5183154400000003</v>
      </c>
      <c r="AP267" s="227">
        <v>5.542554599999999</v>
      </c>
      <c r="AQ267" s="227">
        <v>5.5625143199999991</v>
      </c>
    </row>
    <row r="268" spans="5:43" ht="15" customHeight="1">
      <c r="E268" s="149" t="str">
        <f>Input!E268</f>
        <v>Diversionary works under obligation (ES2) costs</v>
      </c>
      <c r="G268" s="149" t="str">
        <f>Input!G268</f>
        <v>£m 12/13 prices</v>
      </c>
      <c r="AE268" s="227">
        <v>-12.948115879205464</v>
      </c>
      <c r="AF268" s="227">
        <v>-10.414113587908748</v>
      </c>
      <c r="AG268" s="227">
        <v>-6.8733113213517649</v>
      </c>
      <c r="AH268" s="227">
        <v>-4.8345124839791866</v>
      </c>
      <c r="AI268" s="227">
        <v>-4.8647231359166518</v>
      </c>
      <c r="AJ268" s="227">
        <v>-4.8837630736216209</v>
      </c>
      <c r="AK268" s="227">
        <v>-5.0218900747045963</v>
      </c>
      <c r="AL268" s="227">
        <v>-5.1146927017109851</v>
      </c>
      <c r="AM268" s="227">
        <v>-5.107631044989704</v>
      </c>
      <c r="AN268" s="227">
        <v>-5.1244043323914372</v>
      </c>
      <c r="AO268" s="227">
        <v>-5.165830741243437</v>
      </c>
      <c r="AP268" s="227">
        <v>-5.1679810571130558</v>
      </c>
      <c r="AQ268" s="227">
        <v>-5.1611530180543976</v>
      </c>
    </row>
    <row r="269" spans="5:43" ht="15" customHeight="1">
      <c r="E269" s="149" t="str">
        <f>Input!E269</f>
        <v>Diversionary works under obligation (ES2) net position</v>
      </c>
      <c r="G269" s="149" t="str">
        <f>Input!G269</f>
        <v>£m 12/13 prices</v>
      </c>
      <c r="AE269" s="167">
        <f t="shared" ref="AE269:AQ269" si="31">SUM(AE267,AE268)</f>
        <v>1.157046320794537</v>
      </c>
      <c r="AF269" s="167">
        <f t="shared" si="31"/>
        <v>0.4448019953358493</v>
      </c>
      <c r="AG269" s="167">
        <f t="shared" si="31"/>
        <v>0.43499094864823462</v>
      </c>
      <c r="AH269" s="167">
        <f t="shared" si="31"/>
        <v>0.57205901602081344</v>
      </c>
      <c r="AI269" s="167">
        <f t="shared" si="31"/>
        <v>0.53639280408334855</v>
      </c>
      <c r="AJ269" s="167">
        <f t="shared" si="31"/>
        <v>0.51810856637837865</v>
      </c>
      <c r="AK269" s="167">
        <f t="shared" si="31"/>
        <v>0.39930966529540335</v>
      </c>
      <c r="AL269" s="167">
        <f t="shared" si="31"/>
        <v>0.32337069828901477</v>
      </c>
      <c r="AM269" s="167">
        <f t="shared" si="31"/>
        <v>0.3512289550102965</v>
      </c>
      <c r="AN269" s="167">
        <f t="shared" si="31"/>
        <v>0.35973234760856254</v>
      </c>
      <c r="AO269" s="167">
        <f t="shared" si="31"/>
        <v>0.3524846987565633</v>
      </c>
      <c r="AP269" s="167">
        <f t="shared" si="31"/>
        <v>0.37457354288694322</v>
      </c>
      <c r="AQ269" s="167">
        <f t="shared" si="31"/>
        <v>0.40136130194560149</v>
      </c>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v>3.9935905600000003</v>
      </c>
      <c r="AF271" s="227">
        <v>5.9277576798034035</v>
      </c>
      <c r="AG271" s="227">
        <v>4.3735970000000002</v>
      </c>
      <c r="AH271" s="227">
        <v>2.7852035000000002</v>
      </c>
      <c r="AI271" s="227">
        <v>2.7823930600000004</v>
      </c>
      <c r="AJ271" s="227">
        <v>2.7827823600000001</v>
      </c>
      <c r="AK271" s="227">
        <v>2.7927392600000003</v>
      </c>
      <c r="AL271" s="227">
        <v>2.8014266000000001</v>
      </c>
      <c r="AM271" s="227">
        <v>2.8121400000000003</v>
      </c>
      <c r="AN271" s="227">
        <v>2.8251613200000003</v>
      </c>
      <c r="AO271" s="227">
        <v>2.8427685600000001</v>
      </c>
      <c r="AP271" s="227">
        <v>2.8552554000000003</v>
      </c>
      <c r="AQ271" s="227">
        <v>2.8655376800000001</v>
      </c>
    </row>
    <row r="272" spans="5:43" ht="15" customHeight="1">
      <c r="E272" s="149" t="str">
        <f>Input!E272</f>
        <v>Work required by any alteration premises (ES3) costs</v>
      </c>
      <c r="G272" s="149" t="str">
        <f>Input!G272</f>
        <v>£m 12/13 prices</v>
      </c>
      <c r="AE272" s="227">
        <v>-4.526734018662995</v>
      </c>
      <c r="AF272" s="227">
        <v>-5.8546030197621981</v>
      </c>
      <c r="AG272" s="227">
        <v>-4.4599761086963099</v>
      </c>
      <c r="AH272" s="227">
        <v>-3.0150261738783071</v>
      </c>
      <c r="AI272" s="227">
        <v>-2.9237153827078526</v>
      </c>
      <c r="AJ272" s="227">
        <v>-2.7862946651637439</v>
      </c>
      <c r="AK272" s="227">
        <v>-2.6448219366860193</v>
      </c>
      <c r="AL272" s="227">
        <v>-2.6348416948208104</v>
      </c>
      <c r="AM272" s="227">
        <v>-2.6312038716613633</v>
      </c>
      <c r="AN272" s="227">
        <v>-2.6398446560804372</v>
      </c>
      <c r="AO272" s="227">
        <v>-2.6611855333678318</v>
      </c>
      <c r="AP272" s="227">
        <v>-2.6622932718461199</v>
      </c>
      <c r="AQ272" s="227">
        <v>-2.6587757971795387</v>
      </c>
    </row>
    <row r="273" spans="5:43" ht="15" customHeight="1">
      <c r="E273" s="149" t="str">
        <f>Input!E273</f>
        <v>Work required by any alteration premises (ES3) net position</v>
      </c>
      <c r="G273" s="149" t="str">
        <f>Input!G273</f>
        <v>£m 12/13 prices</v>
      </c>
      <c r="AE273" s="167">
        <f t="shared" ref="AE273:AQ273" si="32">SUM(AE271,AE272)</f>
        <v>-0.53314345866299462</v>
      </c>
      <c r="AF273" s="167">
        <f t="shared" si="32"/>
        <v>7.315466004120541E-2</v>
      </c>
      <c r="AG273" s="167">
        <f t="shared" si="32"/>
        <v>-8.6379108696309714E-2</v>
      </c>
      <c r="AH273" s="167">
        <f t="shared" si="32"/>
        <v>-0.2298226738783069</v>
      </c>
      <c r="AI273" s="167">
        <f t="shared" si="32"/>
        <v>-0.14132232270785217</v>
      </c>
      <c r="AJ273" s="167">
        <f t="shared" si="32"/>
        <v>-3.5123051637437896E-3</v>
      </c>
      <c r="AK273" s="167">
        <f t="shared" si="32"/>
        <v>0.147917323313981</v>
      </c>
      <c r="AL273" s="167">
        <f t="shared" si="32"/>
        <v>0.16658490517918967</v>
      </c>
      <c r="AM273" s="167">
        <f t="shared" si="32"/>
        <v>0.18093612833863704</v>
      </c>
      <c r="AN273" s="167">
        <f t="shared" si="32"/>
        <v>0.18531666391956314</v>
      </c>
      <c r="AO273" s="167">
        <f t="shared" si="32"/>
        <v>0.1815830266321683</v>
      </c>
      <c r="AP273" s="167">
        <f t="shared" si="32"/>
        <v>0.19296212815388047</v>
      </c>
      <c r="AQ273" s="167">
        <f t="shared" si="32"/>
        <v>0.20676188282046137</v>
      </c>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v>3.5729908400000001</v>
      </c>
      <c r="AF275" s="227">
        <v>3.2473349999999996</v>
      </c>
      <c r="AG275" s="227">
        <v>3.0769522713697737</v>
      </c>
      <c r="AH275" s="227">
        <v>3.2</v>
      </c>
      <c r="AI275" s="227">
        <v>3.3</v>
      </c>
      <c r="AJ275" s="227">
        <v>3.3</v>
      </c>
      <c r="AK275" s="227">
        <v>3.3</v>
      </c>
      <c r="AL275" s="227">
        <v>3.3</v>
      </c>
      <c r="AM275" s="227">
        <v>3.3</v>
      </c>
      <c r="AN275" s="227">
        <v>3.3</v>
      </c>
      <c r="AO275" s="227">
        <v>3.3</v>
      </c>
      <c r="AP275" s="227">
        <v>3.3</v>
      </c>
      <c r="AQ275" s="227">
        <v>3.3</v>
      </c>
    </row>
    <row r="276" spans="5:43" ht="15" customHeight="1">
      <c r="E276" s="149" t="str">
        <f>Input!E276</f>
        <v>Top up standby and enhanced system security (ES4) costs</v>
      </c>
      <c r="G276" s="149" t="str">
        <f>Input!G276</f>
        <v>£m 12/13 prices</v>
      </c>
      <c r="AE276" s="227">
        <v>0</v>
      </c>
      <c r="AF276" s="227">
        <v>0</v>
      </c>
      <c r="AG276" s="227">
        <v>0</v>
      </c>
      <c r="AH276" s="227">
        <v>0</v>
      </c>
      <c r="AI276" s="227">
        <v>0</v>
      </c>
      <c r="AJ276" s="227">
        <v>0</v>
      </c>
      <c r="AK276" s="227">
        <v>0</v>
      </c>
      <c r="AL276" s="227">
        <v>0</v>
      </c>
      <c r="AM276" s="227">
        <v>0</v>
      </c>
      <c r="AN276" s="227">
        <v>0</v>
      </c>
      <c r="AO276" s="227">
        <v>0</v>
      </c>
      <c r="AP276" s="227">
        <v>0</v>
      </c>
      <c r="AQ276" s="227">
        <v>0</v>
      </c>
    </row>
    <row r="277" spans="5:43" ht="15" customHeight="1">
      <c r="E277" s="149" t="str">
        <f>Input!E277</f>
        <v>Top up standby and enhanced system security (ES4) net position</v>
      </c>
      <c r="G277" s="149" t="str">
        <f>Input!G277</f>
        <v>£m 12/13 prices</v>
      </c>
      <c r="AE277" s="167">
        <f t="shared" ref="AE277:AQ277" si="33">SUM(AE275,AE276)</f>
        <v>3.5729908400000001</v>
      </c>
      <c r="AF277" s="167">
        <f t="shared" si="33"/>
        <v>3.2473349999999996</v>
      </c>
      <c r="AG277" s="167">
        <f t="shared" si="33"/>
        <v>3.0769522713697737</v>
      </c>
      <c r="AH277" s="167">
        <f t="shared" si="33"/>
        <v>3.2</v>
      </c>
      <c r="AI277" s="167">
        <f t="shared" si="33"/>
        <v>3.3</v>
      </c>
      <c r="AJ277" s="167">
        <f t="shared" si="33"/>
        <v>3.3</v>
      </c>
      <c r="AK277" s="167">
        <f t="shared" si="33"/>
        <v>3.3</v>
      </c>
      <c r="AL277" s="167">
        <f t="shared" si="33"/>
        <v>3.3</v>
      </c>
      <c r="AM277" s="167">
        <f t="shared" si="33"/>
        <v>3.3</v>
      </c>
      <c r="AN277" s="167">
        <f t="shared" si="33"/>
        <v>3.3</v>
      </c>
      <c r="AO277" s="167">
        <f t="shared" si="33"/>
        <v>3.3</v>
      </c>
      <c r="AP277" s="167">
        <f t="shared" si="33"/>
        <v>3.3</v>
      </c>
      <c r="AQ277" s="167">
        <f t="shared" si="33"/>
        <v>3.3</v>
      </c>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v>0.72851372000000003</v>
      </c>
      <c r="AF279" s="227">
        <v>0.72162999999999988</v>
      </c>
      <c r="AG279" s="227">
        <v>0.70507957000000099</v>
      </c>
      <c r="AH279" s="227">
        <v>1.056</v>
      </c>
      <c r="AI279" s="227">
        <v>1.056</v>
      </c>
      <c r="AJ279" s="227">
        <v>1.056</v>
      </c>
      <c r="AK279" s="227">
        <v>1.056</v>
      </c>
      <c r="AL279" s="227">
        <v>1.056</v>
      </c>
      <c r="AM279" s="227">
        <v>1.056</v>
      </c>
      <c r="AN279" s="227">
        <v>1.056</v>
      </c>
      <c r="AO279" s="227">
        <v>1.056</v>
      </c>
      <c r="AP279" s="227">
        <v>1.056</v>
      </c>
      <c r="AQ279" s="227">
        <v>1.056</v>
      </c>
    </row>
    <row r="280" spans="5:43" ht="15" customHeight="1">
      <c r="E280" s="149" t="str">
        <f>Input!E280</f>
        <v>Revenue protection services (ES5) costs</v>
      </c>
      <c r="G280" s="149" t="str">
        <f>Input!G280</f>
        <v>£m 12/13 prices</v>
      </c>
      <c r="AE280" s="227">
        <v>-2.5762811794481824</v>
      </c>
      <c r="AF280" s="227">
        <v>-1.8764624551414706</v>
      </c>
      <c r="AG280" s="227">
        <v>-1.201529465480528</v>
      </c>
      <c r="AH280" s="227">
        <v>-1.4336050192091661</v>
      </c>
      <c r="AI280" s="227">
        <v>-1.4268748941791674</v>
      </c>
      <c r="AJ280" s="227">
        <v>-1.4078030691272883</v>
      </c>
      <c r="AK280" s="227">
        <v>-1.4039454316601157</v>
      </c>
      <c r="AL280" s="227">
        <v>-1.4131908365607351</v>
      </c>
      <c r="AM280" s="227">
        <v>-1.4024418666522618</v>
      </c>
      <c r="AN280" s="227">
        <v>-1.3974106263660508</v>
      </c>
      <c r="AO280" s="227">
        <v>-1.3990595758960862</v>
      </c>
      <c r="AP280" s="227">
        <v>-1.390056589164534</v>
      </c>
      <c r="AQ280" s="227">
        <v>-1.3787128658611452</v>
      </c>
    </row>
    <row r="281" spans="5:43" ht="15" customHeight="1">
      <c r="E281" s="149" t="str">
        <f>Input!E281</f>
        <v>Revenue protection services (ES5) net position</v>
      </c>
      <c r="G281" s="149" t="str">
        <f>Input!G281</f>
        <v>£m 12/13 prices</v>
      </c>
      <c r="AE281" s="167">
        <f t="shared" ref="AE281:AQ281" si="34">SUM(AE279,AE280)</f>
        <v>-1.8477674594481823</v>
      </c>
      <c r="AF281" s="167">
        <f t="shared" si="34"/>
        <v>-1.1548324551414706</v>
      </c>
      <c r="AG281" s="167">
        <f t="shared" si="34"/>
        <v>-0.49644989548052698</v>
      </c>
      <c r="AH281" s="167">
        <f t="shared" si="34"/>
        <v>-0.377605019209166</v>
      </c>
      <c r="AI281" s="167">
        <f t="shared" si="34"/>
        <v>-0.3708748941791673</v>
      </c>
      <c r="AJ281" s="167">
        <f t="shared" si="34"/>
        <v>-0.3518030691272882</v>
      </c>
      <c r="AK281" s="167">
        <f t="shared" si="34"/>
        <v>-0.3479454316601156</v>
      </c>
      <c r="AL281" s="167">
        <f t="shared" si="34"/>
        <v>-0.35719083656073503</v>
      </c>
      <c r="AM281" s="167">
        <f t="shared" si="34"/>
        <v>-0.34644186665226173</v>
      </c>
      <c r="AN281" s="167">
        <f t="shared" si="34"/>
        <v>-0.3414106263660508</v>
      </c>
      <c r="AO281" s="167">
        <f t="shared" si="34"/>
        <v>-0.34305957589608616</v>
      </c>
      <c r="AP281" s="167">
        <f t="shared" si="34"/>
        <v>-0.33405658916453396</v>
      </c>
      <c r="AQ281" s="167">
        <f t="shared" si="34"/>
        <v>-0.32271286586114512</v>
      </c>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v>11.581023680000001</v>
      </c>
      <c r="AF283" s="227">
        <v>9.3568334695341733</v>
      </c>
      <c r="AG283" s="227">
        <v>4.6529490250996757</v>
      </c>
      <c r="AH283" s="227">
        <v>4.107866343212363</v>
      </c>
      <c r="AI283" s="227">
        <v>3.6149325937346251</v>
      </c>
      <c r="AJ283" s="227">
        <v>2.4292455507451245</v>
      </c>
      <c r="AK283" s="227">
        <v>1.7872567909992176</v>
      </c>
      <c r="AL283" s="227">
        <v>1.263017276533819</v>
      </c>
      <c r="AM283" s="227">
        <v>0.79482060002716404</v>
      </c>
      <c r="AN283" s="227">
        <v>0.30969124140752446</v>
      </c>
      <c r="AO283" s="227">
        <v>4.7850104235716936E-2</v>
      </c>
      <c r="AP283" s="227">
        <v>0</v>
      </c>
      <c r="AQ283" s="227">
        <v>0</v>
      </c>
    </row>
    <row r="284" spans="5:43" ht="15" customHeight="1">
      <c r="E284" s="149" t="str">
        <f>Input!E284</f>
        <v>Metering services (non legacy) (ES6) costs</v>
      </c>
      <c r="G284" s="149" t="str">
        <f>Input!G284</f>
        <v>£m 12/13 prices</v>
      </c>
      <c r="AE284" s="227">
        <v>-7.1055160866920009</v>
      </c>
      <c r="AF284" s="227">
        <v>-1.8546083984480002</v>
      </c>
      <c r="AG284" s="227">
        <v>-9.3089917489999924E-2</v>
      </c>
      <c r="AH284" s="227">
        <v>-0.4107866343212363</v>
      </c>
      <c r="AI284" s="227">
        <v>-0.36149325937346255</v>
      </c>
      <c r="AJ284" s="227">
        <v>-0.24292455507451247</v>
      </c>
      <c r="AK284" s="227">
        <v>-0.17872567909992176</v>
      </c>
      <c r="AL284" s="227">
        <v>-0.12630172765338191</v>
      </c>
      <c r="AM284" s="227">
        <v>-7.9482060002716404E-2</v>
      </c>
      <c r="AN284" s="227">
        <v>-3.0969124140752449E-2</v>
      </c>
      <c r="AO284" s="227">
        <v>-4.7850104235716943E-3</v>
      </c>
      <c r="AP284" s="227">
        <v>0</v>
      </c>
      <c r="AQ284" s="227">
        <v>0</v>
      </c>
    </row>
    <row r="285" spans="5:43" ht="15" customHeight="1">
      <c r="E285" s="149" t="str">
        <f>Input!E285</f>
        <v>Metering services (non legacy) (ES6) net position</v>
      </c>
      <c r="G285" s="149" t="str">
        <f>Input!G285</f>
        <v>£m 12/13 prices</v>
      </c>
      <c r="AE285" s="167">
        <f t="shared" ref="AE285:AQ285" si="35">SUM(AE283,AE284)</f>
        <v>4.4755075933080004</v>
      </c>
      <c r="AF285" s="167">
        <f t="shared" si="35"/>
        <v>7.5022250710861726</v>
      </c>
      <c r="AG285" s="167">
        <f t="shared" si="35"/>
        <v>4.5598591076096762</v>
      </c>
      <c r="AH285" s="167">
        <f t="shared" si="35"/>
        <v>3.6970797088911267</v>
      </c>
      <c r="AI285" s="167">
        <f t="shared" si="35"/>
        <v>3.2534393343611625</v>
      </c>
      <c r="AJ285" s="167">
        <f t="shared" si="35"/>
        <v>2.186320995670612</v>
      </c>
      <c r="AK285" s="167">
        <f t="shared" si="35"/>
        <v>1.6085311118992958</v>
      </c>
      <c r="AL285" s="167">
        <f t="shared" si="35"/>
        <v>1.136715548880437</v>
      </c>
      <c r="AM285" s="167">
        <f t="shared" si="35"/>
        <v>0.71533854002444763</v>
      </c>
      <c r="AN285" s="167">
        <f t="shared" si="35"/>
        <v>0.27872211726677204</v>
      </c>
      <c r="AO285" s="167">
        <f t="shared" si="35"/>
        <v>4.3065093812145239E-2</v>
      </c>
      <c r="AP285" s="167">
        <f t="shared" si="35"/>
        <v>0</v>
      </c>
      <c r="AQ285" s="167">
        <f t="shared" si="35"/>
        <v>0</v>
      </c>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v>8.6404167258398008</v>
      </c>
      <c r="AF287" s="227">
        <v>7.9999544192224041</v>
      </c>
      <c r="AG287" s="227">
        <v>7.3409292757952036</v>
      </c>
      <c r="AH287" s="227">
        <v>6.847042784097372</v>
      </c>
      <c r="AI287" s="227">
        <v>5.9311082082083377</v>
      </c>
      <c r="AJ287" s="227">
        <v>4.6630066945249347</v>
      </c>
      <c r="AK287" s="227">
        <v>3.6492137834179355</v>
      </c>
      <c r="AL287" s="227">
        <v>2.3912878347444386</v>
      </c>
      <c r="AM287" s="227">
        <v>1.3518334879103913</v>
      </c>
      <c r="AN287" s="227">
        <v>0.51433311412558413</v>
      </c>
      <c r="AO287" s="227">
        <v>7.0642936930720976E-2</v>
      </c>
      <c r="AP287" s="227">
        <v>0</v>
      </c>
      <c r="AQ287" s="227">
        <v>0</v>
      </c>
    </row>
    <row r="288" spans="5:43" ht="15" customHeight="1">
      <c r="E288" s="149" t="str">
        <f>Input!E288</f>
        <v>Metering services (legacy)  costs</v>
      </c>
      <c r="G288" s="149" t="str">
        <f>Input!G288</f>
        <v>£m 12/13 prices</v>
      </c>
      <c r="AE288" s="227">
        <v>-2.1893565273567179</v>
      </c>
      <c r="AF288" s="227">
        <v>-0.4238752661416017</v>
      </c>
      <c r="AG288" s="227">
        <v>-0.14616719</v>
      </c>
      <c r="AH288" s="227">
        <v>0</v>
      </c>
      <c r="AI288" s="227">
        <v>0</v>
      </c>
      <c r="AJ288" s="227">
        <v>0</v>
      </c>
      <c r="AK288" s="227">
        <v>0</v>
      </c>
      <c r="AL288" s="227">
        <v>0</v>
      </c>
      <c r="AM288" s="227">
        <v>0</v>
      </c>
      <c r="AN288" s="227">
        <v>0</v>
      </c>
      <c r="AO288" s="227">
        <v>0</v>
      </c>
      <c r="AP288" s="227">
        <v>0</v>
      </c>
      <c r="AQ288" s="227">
        <v>0</v>
      </c>
    </row>
    <row r="289" spans="5:43" ht="15" customHeight="1">
      <c r="E289" s="149" t="str">
        <f>Input!E289</f>
        <v>Metering services (legacy)  net position</v>
      </c>
      <c r="G289" s="149" t="str">
        <f>Input!G289</f>
        <v>£m 12/13 prices</v>
      </c>
      <c r="AE289" s="167">
        <f t="shared" ref="AE289:AQ289" si="36">SUM(AE287,AE288)</f>
        <v>6.4510601984830824</v>
      </c>
      <c r="AF289" s="167">
        <f t="shared" si="36"/>
        <v>7.5760791530808023</v>
      </c>
      <c r="AG289" s="167">
        <f t="shared" si="36"/>
        <v>7.1947620857952037</v>
      </c>
      <c r="AH289" s="167">
        <f t="shared" si="36"/>
        <v>6.847042784097372</v>
      </c>
      <c r="AI289" s="167">
        <f t="shared" si="36"/>
        <v>5.9311082082083377</v>
      </c>
      <c r="AJ289" s="167">
        <f t="shared" si="36"/>
        <v>4.6630066945249347</v>
      </c>
      <c r="AK289" s="167">
        <f t="shared" si="36"/>
        <v>3.6492137834179355</v>
      </c>
      <c r="AL289" s="167">
        <f t="shared" si="36"/>
        <v>2.3912878347444386</v>
      </c>
      <c r="AM289" s="167">
        <f t="shared" si="36"/>
        <v>1.3518334879103913</v>
      </c>
      <c r="AN289" s="167">
        <f t="shared" si="36"/>
        <v>0.51433311412558413</v>
      </c>
      <c r="AO289" s="167">
        <f t="shared" si="36"/>
        <v>7.0642936930720976E-2</v>
      </c>
      <c r="AP289" s="167">
        <f t="shared" si="36"/>
        <v>0</v>
      </c>
      <c r="AQ289" s="167">
        <f t="shared" si="36"/>
        <v>0</v>
      </c>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v>0</v>
      </c>
      <c r="AF291" s="227">
        <v>0</v>
      </c>
      <c r="AG291" s="227">
        <v>0</v>
      </c>
      <c r="AH291" s="227">
        <v>7.1865723496910734E-3</v>
      </c>
      <c r="AI291" s="227">
        <v>4.1311545147120529E-2</v>
      </c>
      <c r="AJ291" s="227">
        <v>0.10714655558840058</v>
      </c>
      <c r="AK291" s="227">
        <v>0.20915863819753844</v>
      </c>
      <c r="AL291" s="227">
        <v>0.27101625827177867</v>
      </c>
      <c r="AM291" s="227">
        <v>0.29770024538820761</v>
      </c>
      <c r="AN291" s="227">
        <v>0.29047235985007258</v>
      </c>
      <c r="AO291" s="227">
        <v>0.20463033095478861</v>
      </c>
      <c r="AP291" s="227">
        <v>0</v>
      </c>
      <c r="AQ291" s="227">
        <v>0</v>
      </c>
    </row>
    <row r="292" spans="5:43" ht="15" customHeight="1">
      <c r="E292" s="149" t="str">
        <f>Input!E292</f>
        <v>Metering services associated with the SM roll out costs</v>
      </c>
      <c r="G292" s="149" t="str">
        <f>Input!G292</f>
        <v>£m 12/13 prices</v>
      </c>
      <c r="AE292" s="227">
        <v>0</v>
      </c>
      <c r="AF292" s="227">
        <v>0</v>
      </c>
      <c r="AG292" s="227">
        <v>0</v>
      </c>
      <c r="AH292" s="227">
        <v>-7.1865723496910734E-3</v>
      </c>
      <c r="AI292" s="227">
        <v>-4.1311545147120529E-2</v>
      </c>
      <c r="AJ292" s="227">
        <v>-0.10714655558840058</v>
      </c>
      <c r="AK292" s="227">
        <v>-0.20915863819753844</v>
      </c>
      <c r="AL292" s="227">
        <v>-0.27101625827177867</v>
      </c>
      <c r="AM292" s="227">
        <v>-0.29770024538820761</v>
      </c>
      <c r="AN292" s="227">
        <v>-0.29047235985007258</v>
      </c>
      <c r="AO292" s="227">
        <v>-0.20463033095478861</v>
      </c>
      <c r="AP292" s="227">
        <v>0</v>
      </c>
      <c r="AQ292" s="227">
        <v>0</v>
      </c>
    </row>
    <row r="293" spans="5:43" ht="15" customHeight="1">
      <c r="E293" s="149" t="str">
        <f>Input!E293</f>
        <v>Metering services associated with the SM roll out net position</v>
      </c>
      <c r="G293" s="149" t="str">
        <f>Input!G293</f>
        <v>£m 12/13 prices</v>
      </c>
      <c r="AE293" s="167">
        <f t="shared" ref="AE293:AQ293" si="37">SUM(AE291,AE292)</f>
        <v>0</v>
      </c>
      <c r="AF293" s="167">
        <f t="shared" si="37"/>
        <v>0</v>
      </c>
      <c r="AG293" s="167">
        <f t="shared" si="37"/>
        <v>0</v>
      </c>
      <c r="AH293" s="167">
        <f t="shared" si="37"/>
        <v>0</v>
      </c>
      <c r="AI293" s="167">
        <f t="shared" si="37"/>
        <v>0</v>
      </c>
      <c r="AJ293" s="167">
        <f t="shared" si="37"/>
        <v>0</v>
      </c>
      <c r="AK293" s="167">
        <f t="shared" si="37"/>
        <v>0</v>
      </c>
      <c r="AL293" s="167">
        <f t="shared" si="37"/>
        <v>0</v>
      </c>
      <c r="AM293" s="167">
        <f t="shared" si="37"/>
        <v>0</v>
      </c>
      <c r="AN293" s="167">
        <f t="shared" si="37"/>
        <v>0</v>
      </c>
      <c r="AO293" s="167">
        <f t="shared" si="37"/>
        <v>0</v>
      </c>
      <c r="AP293" s="167">
        <f t="shared" si="37"/>
        <v>0</v>
      </c>
      <c r="AQ293" s="167">
        <f t="shared" si="37"/>
        <v>0</v>
      </c>
    </row>
    <row r="294" spans="5:43" ht="15" customHeight="1">
      <c r="AE294" s="498"/>
      <c r="AF294" s="498"/>
      <c r="AG294" s="498"/>
      <c r="AH294" s="498"/>
      <c r="AI294" s="498"/>
    </row>
    <row r="295" spans="5:43" ht="15" customHeight="1">
      <c r="E295" s="149" t="str">
        <f>Input!E295</f>
        <v>De Minimis Activities revenue</v>
      </c>
      <c r="G295" s="149" t="str">
        <f>Input!G295</f>
        <v>£m 12/13 prices</v>
      </c>
      <c r="AE295" s="227">
        <v>0</v>
      </c>
      <c r="AF295" s="227">
        <v>0</v>
      </c>
      <c r="AG295" s="227">
        <v>0.95622700000000005</v>
      </c>
      <c r="AH295" s="227">
        <v>1.1904949999999999</v>
      </c>
      <c r="AI295" s="227">
        <v>0.95349000000000006</v>
      </c>
      <c r="AJ295" s="227">
        <v>0.62682399999999994</v>
      </c>
      <c r="AK295" s="227">
        <v>0.13430099999999998</v>
      </c>
      <c r="AL295" s="227">
        <v>0</v>
      </c>
      <c r="AM295" s="227">
        <v>0</v>
      </c>
      <c r="AN295" s="227">
        <v>0</v>
      </c>
      <c r="AO295" s="227">
        <v>0</v>
      </c>
      <c r="AP295" s="227">
        <v>0</v>
      </c>
      <c r="AQ295" s="227">
        <v>0</v>
      </c>
    </row>
    <row r="296" spans="5:43" ht="15" customHeight="1">
      <c r="E296" s="149" t="str">
        <f>Input!E296</f>
        <v>De Minimis Activities costs</v>
      </c>
      <c r="G296" s="149" t="str">
        <f>Input!G296</f>
        <v>£m 12/13 prices</v>
      </c>
      <c r="AE296" s="227">
        <v>-0.72250733314687998</v>
      </c>
      <c r="AF296" s="227">
        <v>-2.5466509204681995</v>
      </c>
      <c r="AG296" s="227">
        <v>-1.6143041200000001</v>
      </c>
      <c r="AH296" s="227">
        <v>-1.1904949999999999</v>
      </c>
      <c r="AI296" s="227">
        <v>-0.95349000000000006</v>
      </c>
      <c r="AJ296" s="227">
        <v>-0.62682399999999994</v>
      </c>
      <c r="AK296" s="227">
        <v>-0.13430099999999995</v>
      </c>
      <c r="AL296" s="227">
        <v>0</v>
      </c>
      <c r="AM296" s="227">
        <v>0</v>
      </c>
      <c r="AN296" s="227">
        <v>0</v>
      </c>
      <c r="AO296" s="227">
        <v>0</v>
      </c>
      <c r="AP296" s="227">
        <v>0</v>
      </c>
      <c r="AQ296" s="227">
        <v>0</v>
      </c>
    </row>
    <row r="297" spans="5:43" ht="15" customHeight="1">
      <c r="E297" s="149" t="str">
        <f>Input!E297</f>
        <v>De Minimis Activities net position</v>
      </c>
      <c r="G297" s="149" t="str">
        <f>Input!G297</f>
        <v>£m 12/13 prices</v>
      </c>
      <c r="AE297" s="167">
        <f t="shared" ref="AE297:AQ297" si="38">SUM(AE295,AE296)</f>
        <v>-0.72250733314687998</v>
      </c>
      <c r="AF297" s="167">
        <f t="shared" si="38"/>
        <v>-2.5466509204681995</v>
      </c>
      <c r="AG297" s="167">
        <f t="shared" si="38"/>
        <v>-0.65807712000000007</v>
      </c>
      <c r="AH297" s="167">
        <f t="shared" si="38"/>
        <v>0</v>
      </c>
      <c r="AI297" s="167">
        <f t="shared" si="38"/>
        <v>0</v>
      </c>
      <c r="AJ297" s="167">
        <f t="shared" si="38"/>
        <v>0</v>
      </c>
      <c r="AK297" s="167">
        <f t="shared" si="38"/>
        <v>0</v>
      </c>
      <c r="AL297" s="167">
        <f t="shared" si="38"/>
        <v>0</v>
      </c>
      <c r="AM297" s="167">
        <f t="shared" si="38"/>
        <v>0</v>
      </c>
      <c r="AN297" s="167">
        <f t="shared" si="38"/>
        <v>0</v>
      </c>
      <c r="AO297" s="167">
        <f t="shared" si="38"/>
        <v>0</v>
      </c>
      <c r="AP297" s="167">
        <f t="shared" si="38"/>
        <v>0</v>
      </c>
      <c r="AQ297" s="167">
        <f t="shared" si="38"/>
        <v>0</v>
      </c>
    </row>
    <row r="298" spans="5:43" ht="15" customHeight="1">
      <c r="AE298" s="498"/>
      <c r="AF298" s="498"/>
      <c r="AG298" s="498"/>
      <c r="AH298" s="498"/>
      <c r="AI298" s="498"/>
    </row>
    <row r="299" spans="5:43" ht="15" customHeight="1">
      <c r="E299" s="149" t="str">
        <f>Input!E299</f>
        <v>Out of Area Networks revenue</v>
      </c>
      <c r="G299" s="149" t="str">
        <f>Input!G299</f>
        <v>£m 12/13 prices</v>
      </c>
      <c r="AE299" s="227">
        <v>0</v>
      </c>
      <c r="AF299" s="227">
        <v>0</v>
      </c>
      <c r="AG299" s="227">
        <v>0</v>
      </c>
      <c r="AH299" s="227">
        <v>0</v>
      </c>
      <c r="AI299" s="227">
        <v>0</v>
      </c>
      <c r="AJ299" s="227">
        <v>0</v>
      </c>
      <c r="AK299" s="227">
        <v>0</v>
      </c>
      <c r="AL299" s="227">
        <v>0</v>
      </c>
      <c r="AM299" s="227">
        <v>0</v>
      </c>
      <c r="AN299" s="227">
        <v>0</v>
      </c>
      <c r="AO299" s="227">
        <v>0</v>
      </c>
      <c r="AP299" s="227">
        <v>0</v>
      </c>
      <c r="AQ299" s="227">
        <v>0</v>
      </c>
    </row>
    <row r="300" spans="5:43" ht="15" customHeight="1">
      <c r="E300" s="149" t="str">
        <f>Input!E300</f>
        <v>Out of Area Networks costs</v>
      </c>
      <c r="G300" s="149" t="str">
        <f>Input!G300</f>
        <v>£m 12/13 prices</v>
      </c>
      <c r="AE300" s="227">
        <v>0</v>
      </c>
      <c r="AF300" s="227">
        <v>0</v>
      </c>
      <c r="AG300" s="227">
        <v>0</v>
      </c>
      <c r="AH300" s="227">
        <v>0</v>
      </c>
      <c r="AI300" s="227">
        <v>0</v>
      </c>
      <c r="AJ300" s="227">
        <v>0</v>
      </c>
      <c r="AK300" s="227">
        <v>0</v>
      </c>
      <c r="AL300" s="227">
        <v>0</v>
      </c>
      <c r="AM300" s="227">
        <v>0</v>
      </c>
      <c r="AN300" s="227">
        <v>0</v>
      </c>
      <c r="AO300" s="227">
        <v>0</v>
      </c>
      <c r="AP300" s="227">
        <v>0</v>
      </c>
      <c r="AQ300" s="227">
        <v>0</v>
      </c>
    </row>
    <row r="301" spans="5:43" ht="15" customHeight="1">
      <c r="E301" s="149" t="str">
        <f>Input!E301</f>
        <v>Out of Area Networks net position</v>
      </c>
      <c r="G301" s="149" t="str">
        <f>Input!G301</f>
        <v>£m 12/13 prices</v>
      </c>
      <c r="AE301" s="167">
        <f t="shared" ref="AE301:AQ301" si="39">SUM(AE299,AE300)</f>
        <v>0</v>
      </c>
      <c r="AF301" s="167">
        <f t="shared" si="39"/>
        <v>0</v>
      </c>
      <c r="AG301" s="167">
        <f t="shared" si="39"/>
        <v>0</v>
      </c>
      <c r="AH301" s="167">
        <f t="shared" si="39"/>
        <v>0</v>
      </c>
      <c r="AI301" s="167">
        <f t="shared" si="39"/>
        <v>0</v>
      </c>
      <c r="AJ301" s="167">
        <f t="shared" si="39"/>
        <v>0</v>
      </c>
      <c r="AK301" s="167">
        <f t="shared" si="39"/>
        <v>0</v>
      </c>
      <c r="AL301" s="167">
        <f t="shared" si="39"/>
        <v>0</v>
      </c>
      <c r="AM301" s="167">
        <f t="shared" si="39"/>
        <v>0</v>
      </c>
      <c r="AN301" s="167">
        <f t="shared" si="39"/>
        <v>0</v>
      </c>
      <c r="AO301" s="167">
        <f t="shared" si="39"/>
        <v>0</v>
      </c>
      <c r="AP301" s="167">
        <f t="shared" si="39"/>
        <v>0</v>
      </c>
      <c r="AQ301" s="167">
        <f t="shared" si="39"/>
        <v>0</v>
      </c>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v>0</v>
      </c>
      <c r="AF303" s="227">
        <v>0</v>
      </c>
      <c r="AG303" s="227">
        <v>0</v>
      </c>
      <c r="AH303" s="227">
        <v>0</v>
      </c>
      <c r="AI303" s="227">
        <v>0</v>
      </c>
      <c r="AJ303" s="227">
        <v>0</v>
      </c>
      <c r="AK303" s="227">
        <v>0</v>
      </c>
      <c r="AL303" s="227">
        <v>0</v>
      </c>
      <c r="AM303" s="227">
        <v>0</v>
      </c>
      <c r="AN303" s="227">
        <v>0</v>
      </c>
      <c r="AO303" s="227">
        <v>0</v>
      </c>
      <c r="AP303" s="227">
        <v>0</v>
      </c>
      <c r="AQ303" s="227">
        <v>0</v>
      </c>
    </row>
    <row r="304" spans="5:43" ht="15" customHeight="1">
      <c r="E304" s="149" t="str">
        <f>Input!E304</f>
        <v>Other consented activities costs</v>
      </c>
      <c r="G304" s="149" t="str">
        <f>Input!G304</f>
        <v>£m 12/13 prices</v>
      </c>
      <c r="AE304" s="227">
        <v>0</v>
      </c>
      <c r="AF304" s="227">
        <v>0</v>
      </c>
      <c r="AG304" s="227">
        <v>0</v>
      </c>
      <c r="AH304" s="227">
        <v>0</v>
      </c>
      <c r="AI304" s="227">
        <v>0</v>
      </c>
      <c r="AJ304" s="227">
        <v>0</v>
      </c>
      <c r="AK304" s="227">
        <v>0</v>
      </c>
      <c r="AL304" s="227">
        <v>0</v>
      </c>
      <c r="AM304" s="227">
        <v>0</v>
      </c>
      <c r="AN304" s="227">
        <v>0</v>
      </c>
      <c r="AO304" s="227">
        <v>0</v>
      </c>
      <c r="AP304" s="227">
        <v>0</v>
      </c>
      <c r="AQ304" s="227">
        <v>0</v>
      </c>
    </row>
    <row r="305" spans="2:43" ht="15" customHeight="1">
      <c r="E305" s="149" t="str">
        <f>Input!E305</f>
        <v>Other consented activities net position</v>
      </c>
      <c r="G305" s="149" t="str">
        <f>Input!G305</f>
        <v>£m 12/13 prices</v>
      </c>
      <c r="AE305" s="167">
        <f t="shared" ref="AE305:AQ305" si="40">SUM(AE303,AE304)</f>
        <v>0</v>
      </c>
      <c r="AF305" s="167">
        <f t="shared" si="40"/>
        <v>0</v>
      </c>
      <c r="AG305" s="167">
        <f t="shared" si="40"/>
        <v>0</v>
      </c>
      <c r="AH305" s="167">
        <f t="shared" si="40"/>
        <v>0</v>
      </c>
      <c r="AI305" s="167">
        <f t="shared" si="40"/>
        <v>0</v>
      </c>
      <c r="AJ305" s="167">
        <f t="shared" si="40"/>
        <v>0</v>
      </c>
      <c r="AK305" s="167">
        <f t="shared" si="40"/>
        <v>0</v>
      </c>
      <c r="AL305" s="167">
        <f t="shared" si="40"/>
        <v>0</v>
      </c>
      <c r="AM305" s="167">
        <f t="shared" si="40"/>
        <v>0</v>
      </c>
      <c r="AN305" s="167">
        <f t="shared" si="40"/>
        <v>0</v>
      </c>
      <c r="AO305" s="167">
        <f t="shared" si="40"/>
        <v>0</v>
      </c>
      <c r="AP305" s="167">
        <f t="shared" si="40"/>
        <v>0</v>
      </c>
      <c r="AQ305" s="167">
        <f t="shared" si="40"/>
        <v>0</v>
      </c>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f t="shared" ref="AE309:AQ309" si="41">SUM(AE307,AE308)</f>
        <v>0</v>
      </c>
      <c r="AF309" s="167">
        <f t="shared" si="41"/>
        <v>0</v>
      </c>
      <c r="AG309" s="167">
        <f t="shared" si="41"/>
        <v>0</v>
      </c>
      <c r="AH309" s="167">
        <f t="shared" si="41"/>
        <v>0</v>
      </c>
      <c r="AI309" s="167">
        <f t="shared" si="41"/>
        <v>0</v>
      </c>
      <c r="AJ309" s="167">
        <f t="shared" si="41"/>
        <v>0</v>
      </c>
      <c r="AK309" s="167">
        <f t="shared" si="41"/>
        <v>0</v>
      </c>
      <c r="AL309" s="167">
        <f t="shared" si="41"/>
        <v>0</v>
      </c>
      <c r="AM309" s="167">
        <f t="shared" si="41"/>
        <v>0</v>
      </c>
      <c r="AN309" s="167">
        <f t="shared" si="41"/>
        <v>0</v>
      </c>
      <c r="AO309" s="167">
        <f t="shared" si="41"/>
        <v>0</v>
      </c>
      <c r="AP309" s="167">
        <f t="shared" si="41"/>
        <v>0</v>
      </c>
      <c r="AQ309" s="167">
        <f t="shared" si="41"/>
        <v>0</v>
      </c>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f t="shared" ref="AE311:AQ311" si="42">AE261+AE265+AE269+AE273+AE277+AE281+AE285+AE289+AE293+AE297+AE301+AE305+AE309</f>
        <v>12.553186701327563</v>
      </c>
      <c r="AF311" s="167">
        <f t="shared" si="42"/>
        <v>15.14211250393436</v>
      </c>
      <c r="AG311" s="167">
        <f t="shared" si="42"/>
        <v>14.025658289246051</v>
      </c>
      <c r="AH311" s="167">
        <f t="shared" si="42"/>
        <v>13.708753815921838</v>
      </c>
      <c r="AI311" s="167">
        <f t="shared" si="42"/>
        <v>12.508743129765829</v>
      </c>
      <c r="AJ311" s="167">
        <f t="shared" si="42"/>
        <v>10.312120882282894</v>
      </c>
      <c r="AK311" s="167">
        <f t="shared" si="42"/>
        <v>8.7570264522665013</v>
      </c>
      <c r="AL311" s="167">
        <f t="shared" si="42"/>
        <v>6.9607681505323455</v>
      </c>
      <c r="AM311" s="167">
        <f t="shared" si="42"/>
        <v>5.5528952446315101</v>
      </c>
      <c r="AN311" s="167">
        <f t="shared" si="42"/>
        <v>4.2966936165544309</v>
      </c>
      <c r="AO311" s="167">
        <f t="shared" si="42"/>
        <v>3.6047161802355112</v>
      </c>
      <c r="AP311" s="167">
        <f t="shared" si="42"/>
        <v>3.5334790818762896</v>
      </c>
      <c r="AQ311" s="167">
        <f t="shared" si="42"/>
        <v>3.5854103189049176</v>
      </c>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14</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v>37.628100407284933</v>
      </c>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v>33.299999999999997</v>
      </c>
      <c r="L325" s="236">
        <v>33.299999999999997</v>
      </c>
      <c r="M325" s="236">
        <v>33.299999999999997</v>
      </c>
      <c r="N325" s="236">
        <v>33.299999999999997</v>
      </c>
      <c r="O325" s="236">
        <v>33.299999999999997</v>
      </c>
      <c r="P325" s="236">
        <v>33.299999999999997</v>
      </c>
      <c r="Q325" s="236">
        <v>33.299999999999997</v>
      </c>
      <c r="R325" s="236">
        <v>33.299999999999997</v>
      </c>
      <c r="S325" s="236">
        <v>33.299999999999997</v>
      </c>
      <c r="T325" s="236">
        <v>33.299999999999997</v>
      </c>
      <c r="U325" s="236">
        <v>33.299999999999997</v>
      </c>
      <c r="V325" s="236">
        <v>33.299999999999997</v>
      </c>
      <c r="W325" s="236">
        <v>33.299999999999997</v>
      </c>
      <c r="X325" s="236">
        <v>33.299999999999997</v>
      </c>
      <c r="Y325" s="236">
        <v>33.299999999999997</v>
      </c>
      <c r="Z325" s="236">
        <v>33.299999999999997</v>
      </c>
      <c r="AA325" s="236">
        <v>33.299999999999997</v>
      </c>
      <c r="AB325" s="236">
        <v>33.299999999999997</v>
      </c>
      <c r="AC325" s="236">
        <v>33.299999999999997</v>
      </c>
      <c r="AD325" s="236">
        <v>33.299999999999997</v>
      </c>
      <c r="AE325" s="236">
        <v>33.299999999999997</v>
      </c>
      <c r="AF325" s="236">
        <v>33.299999999999997</v>
      </c>
      <c r="AG325" s="236">
        <v>33.299999999999997</v>
      </c>
      <c r="AH325" s="236">
        <v>33.299999999999997</v>
      </c>
      <c r="AI325" s="327">
        <v>33.299999999999997</v>
      </c>
      <c r="AJ325" s="236">
        <v>23.125</v>
      </c>
      <c r="AK325" s="236">
        <v>26.25</v>
      </c>
      <c r="AL325" s="236">
        <v>29.375</v>
      </c>
      <c r="AM325" s="236">
        <v>32.5</v>
      </c>
      <c r="AN325" s="236">
        <v>35.625</v>
      </c>
      <c r="AO325" s="236">
        <v>38.75</v>
      </c>
      <c r="AP325" s="236">
        <v>41.875</v>
      </c>
      <c r="AQ325" s="236">
        <v>45</v>
      </c>
    </row>
    <row r="326" spans="2:43" ht="15" customHeight="1">
      <c r="E326" s="147" t="str">
        <f>Input!E326</f>
        <v>Accelerated post-vesting asset life</v>
      </c>
      <c r="G326" s="147" t="s">
        <v>51</v>
      </c>
      <c r="J326" s="153" t="s">
        <v>56</v>
      </c>
      <c r="K326" s="327">
        <v>20</v>
      </c>
      <c r="L326" s="236">
        <v>20</v>
      </c>
      <c r="M326" s="236">
        <v>20</v>
      </c>
      <c r="N326" s="236">
        <v>20</v>
      </c>
      <c r="O326" s="236">
        <v>20</v>
      </c>
      <c r="P326" s="236">
        <v>20</v>
      </c>
      <c r="Q326" s="236">
        <v>20</v>
      </c>
      <c r="R326" s="236">
        <v>20</v>
      </c>
      <c r="S326" s="236">
        <v>20</v>
      </c>
      <c r="T326" s="236">
        <v>20</v>
      </c>
      <c r="U326" s="236">
        <v>20</v>
      </c>
      <c r="V326" s="236">
        <v>20</v>
      </c>
      <c r="W326" s="236">
        <v>20</v>
      </c>
      <c r="X326" s="236">
        <v>20</v>
      </c>
      <c r="Y326" s="236">
        <v>20</v>
      </c>
      <c r="Z326" s="236">
        <v>20</v>
      </c>
      <c r="AA326" s="236">
        <v>20</v>
      </c>
      <c r="AB326" s="236">
        <v>20</v>
      </c>
      <c r="AC326" s="236">
        <v>20</v>
      </c>
      <c r="AD326" s="236">
        <v>20</v>
      </c>
      <c r="AE326" s="236">
        <v>20</v>
      </c>
      <c r="AF326" s="236">
        <v>20</v>
      </c>
      <c r="AG326" s="236">
        <v>20</v>
      </c>
      <c r="AH326" s="236">
        <v>20</v>
      </c>
      <c r="AI326" s="327">
        <v>20</v>
      </c>
      <c r="AJ326" s="236">
        <v>23.125</v>
      </c>
      <c r="AK326" s="236">
        <v>26.25</v>
      </c>
      <c r="AL326" s="236">
        <v>29.375</v>
      </c>
      <c r="AM326" s="236">
        <v>32.5</v>
      </c>
      <c r="AN326" s="236">
        <v>35.625</v>
      </c>
      <c r="AO326" s="236">
        <v>38.75</v>
      </c>
      <c r="AP326" s="236">
        <v>41.875</v>
      </c>
      <c r="AQ326" s="236">
        <v>45</v>
      </c>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v>34.819677808679224</v>
      </c>
      <c r="L329" s="227">
        <v>89.360235084220989</v>
      </c>
      <c r="M329" s="227">
        <v>57.621944692239069</v>
      </c>
      <c r="N329" s="227">
        <v>69.023078134018974</v>
      </c>
      <c r="O329" s="227">
        <v>92.749761242588022</v>
      </c>
      <c r="P329" s="227">
        <v>128.03164716377179</v>
      </c>
      <c r="Q329" s="227">
        <v>134.81069948050583</v>
      </c>
      <c r="R329" s="227">
        <v>175.63908275174472</v>
      </c>
      <c r="S329" s="227">
        <v>257.88342806604442</v>
      </c>
      <c r="T329" s="227">
        <v>125.90429816651638</v>
      </c>
      <c r="U329" s="227">
        <v>144.53415701916529</v>
      </c>
      <c r="V329" s="227">
        <v>131.99433501078363</v>
      </c>
      <c r="W329" s="227">
        <v>135.35089597052678</v>
      </c>
      <c r="X329" s="227">
        <v>158.89293053842994</v>
      </c>
      <c r="Y329" s="227">
        <v>134.79545060683014</v>
      </c>
      <c r="Z329" s="227">
        <v>145.83574346623112</v>
      </c>
      <c r="AA329" s="227">
        <v>175.76533808713904</v>
      </c>
      <c r="AB329" s="227">
        <v>219.58285013257955</v>
      </c>
      <c r="AC329" s="227">
        <v>259.73104679134013</v>
      </c>
      <c r="AD329" s="227">
        <v>280.3914608863214</v>
      </c>
      <c r="AE329" s="227">
        <v>272.54799318902383</v>
      </c>
      <c r="AF329" s="227">
        <v>224.1654031358218</v>
      </c>
      <c r="AG329" s="227">
        <v>227.07698919786836</v>
      </c>
      <c r="AH329" s="227">
        <v>279.35983092916319</v>
      </c>
      <c r="AI329" s="227">
        <v>272.86870133911953</v>
      </c>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f>AH33</f>
        <v>0</v>
      </c>
      <c r="AI330" s="221">
        <f>AI33</f>
        <v>0</v>
      </c>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f>AH35</f>
        <v>0</v>
      </c>
      <c r="AI331" s="221">
        <f>AI35</f>
        <v>0</v>
      </c>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v>0</v>
      </c>
      <c r="AK333" s="236">
        <v>0</v>
      </c>
      <c r="AL333" s="236">
        <v>0</v>
      </c>
      <c r="AM333" s="236">
        <v>0</v>
      </c>
      <c r="AN333" s="236">
        <v>0</v>
      </c>
      <c r="AO333" s="236">
        <v>0</v>
      </c>
      <c r="AP333" s="236">
        <v>0</v>
      </c>
      <c r="AQ333" s="236">
        <v>0</v>
      </c>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f t="shared" ref="AJ340:AQ341" si="43">AJ36</f>
        <v>0</v>
      </c>
      <c r="AK340" s="221">
        <f t="shared" si="43"/>
        <v>0</v>
      </c>
      <c r="AL340" s="221">
        <f t="shared" si="43"/>
        <v>0</v>
      </c>
      <c r="AM340" s="221">
        <f t="shared" si="43"/>
        <v>0</v>
      </c>
      <c r="AN340" s="221">
        <f t="shared" si="43"/>
        <v>0</v>
      </c>
      <c r="AO340" s="221">
        <f t="shared" si="43"/>
        <v>0</v>
      </c>
      <c r="AP340" s="221">
        <f t="shared" si="43"/>
        <v>0</v>
      </c>
      <c r="AQ340" s="221">
        <f t="shared" si="43"/>
        <v>0</v>
      </c>
    </row>
    <row r="341" spans="3:44" ht="15" customHeight="1">
      <c r="E341" s="149" t="str">
        <f>E37</f>
        <v xml:space="preserve">Tax liability revenue allowance adjustments in respect of tax trigger events                                                       </v>
      </c>
      <c r="G341" s="149" t="s">
        <v>844</v>
      </c>
      <c r="AJ341" s="221">
        <f t="shared" si="43"/>
        <v>0</v>
      </c>
      <c r="AK341" s="221">
        <f t="shared" si="43"/>
        <v>0</v>
      </c>
      <c r="AL341" s="221">
        <f t="shared" si="43"/>
        <v>0</v>
      </c>
      <c r="AM341" s="221">
        <f t="shared" si="43"/>
        <v>0</v>
      </c>
      <c r="AN341" s="221">
        <f t="shared" si="43"/>
        <v>0</v>
      </c>
      <c r="AO341" s="221">
        <f t="shared" si="43"/>
        <v>0</v>
      </c>
      <c r="AP341" s="221">
        <f t="shared" si="43"/>
        <v>0</v>
      </c>
      <c r="AQ341" s="221">
        <f t="shared" si="43"/>
        <v>0</v>
      </c>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v>0.2</v>
      </c>
      <c r="AK343" s="329">
        <v>0.2</v>
      </c>
      <c r="AL343" s="329">
        <v>0.2</v>
      </c>
      <c r="AM343" s="329">
        <v>0.2</v>
      </c>
      <c r="AN343" s="329">
        <v>0.2</v>
      </c>
      <c r="AO343" s="329">
        <v>0.2</v>
      </c>
      <c r="AP343" s="329">
        <v>0.2</v>
      </c>
      <c r="AQ343" s="329">
        <v>0.2</v>
      </c>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v>0.18000000000000002</v>
      </c>
      <c r="AK345" s="329">
        <v>0.18000000000000002</v>
      </c>
      <c r="AL345" s="329">
        <v>0.18000000000000002</v>
      </c>
      <c r="AM345" s="329">
        <v>0.18000000000000002</v>
      </c>
      <c r="AN345" s="329">
        <v>0.18000000000000002</v>
      </c>
      <c r="AO345" s="329">
        <v>0.18000000000000002</v>
      </c>
      <c r="AP345" s="329">
        <v>0.18000000000000002</v>
      </c>
      <c r="AQ345" s="329">
        <v>0.18000000000000002</v>
      </c>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v>0.08</v>
      </c>
      <c r="AK346" s="329">
        <v>0.08</v>
      </c>
      <c r="AL346" s="329">
        <v>0.08</v>
      </c>
      <c r="AM346" s="329">
        <v>0.08</v>
      </c>
      <c r="AN346" s="329">
        <v>0.08</v>
      </c>
      <c r="AO346" s="329">
        <v>0.08</v>
      </c>
      <c r="AP346" s="329">
        <v>0.08</v>
      </c>
      <c r="AQ346" s="329">
        <v>0.08</v>
      </c>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v>2.2200000000000001E-2</v>
      </c>
      <c r="AK347" s="329">
        <v>2.2200000000000001E-2</v>
      </c>
      <c r="AL347" s="329">
        <v>2.2200000000000001E-2</v>
      </c>
      <c r="AM347" s="329">
        <v>2.2200000000000001E-2</v>
      </c>
      <c r="AN347" s="329">
        <v>2.2200000000000001E-2</v>
      </c>
      <c r="AO347" s="329">
        <v>2.2200000000000001E-2</v>
      </c>
      <c r="AP347" s="329">
        <v>2.2200000000000001E-2</v>
      </c>
      <c r="AQ347" s="329">
        <v>2.2200000000000001E-2</v>
      </c>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v>71.667613673884318</v>
      </c>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v>-0.9672391902977715</v>
      </c>
      <c r="AI352" s="236">
        <v>-7.1906073529467207E-2</v>
      </c>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f>AH38</f>
        <v>0</v>
      </c>
      <c r="AI353" s="221">
        <f>AI38</f>
        <v>0</v>
      </c>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v>761.06252209511194</v>
      </c>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426">
        <v>82.970855696783204</v>
      </c>
      <c r="AI356" s="426">
        <v>90.365248899559916</v>
      </c>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f>AH39</f>
        <v>0</v>
      </c>
      <c r="AI357" s="221">
        <f>AI39</f>
        <v>0</v>
      </c>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v>670.20554701704373</v>
      </c>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v>101.35544839845453</v>
      </c>
      <c r="AI360" s="236">
        <v>87.83688536725802</v>
      </c>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f>AH40</f>
        <v>0</v>
      </c>
      <c r="AI361" s="221">
        <f>AI40</f>
        <v>0</v>
      </c>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4"/>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4">
        <v>115.74622535050433</v>
      </c>
      <c r="AI364" s="454">
        <v>103.86595278888019</v>
      </c>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f>AH41</f>
        <v>0</v>
      </c>
      <c r="AI365" s="221">
        <f>AI41</f>
        <v>0</v>
      </c>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v>0</v>
      </c>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v>1.2844391837301263E-2</v>
      </c>
      <c r="AK375" s="329">
        <v>1.2844391837301263E-2</v>
      </c>
      <c r="AL375" s="329">
        <v>1.2844391837301263E-2</v>
      </c>
      <c r="AM375" s="329">
        <v>1.2844391837301263E-2</v>
      </c>
      <c r="AN375" s="329">
        <v>1.2844391837301263E-2</v>
      </c>
      <c r="AO375" s="329">
        <v>1.2844391837301263E-2</v>
      </c>
      <c r="AP375" s="329">
        <v>1.2844391837301263E-2</v>
      </c>
      <c r="AQ375" s="329">
        <v>1.2844391837301263E-2</v>
      </c>
    </row>
    <row r="376" spans="3:43" s="157" customFormat="1" ht="12.75">
      <c r="E376" s="93" t="str">
        <f>Input!E376</f>
        <v>Non-load related capex - asset replacement</v>
      </c>
      <c r="G376" s="157" t="s">
        <v>49</v>
      </c>
      <c r="AJ376" s="329">
        <v>1.4423389520342536E-2</v>
      </c>
      <c r="AK376" s="329">
        <v>1.4423389520342536E-2</v>
      </c>
      <c r="AL376" s="329">
        <v>1.4423389520342536E-2</v>
      </c>
      <c r="AM376" s="329">
        <v>1.4423389520342536E-2</v>
      </c>
      <c r="AN376" s="329">
        <v>1.4423389520342536E-2</v>
      </c>
      <c r="AO376" s="329">
        <v>1.4423389520342536E-2</v>
      </c>
      <c r="AP376" s="329">
        <v>1.4423389520342536E-2</v>
      </c>
      <c r="AQ376" s="329">
        <v>1.4423389520342536E-2</v>
      </c>
    </row>
    <row r="377" spans="3:43" s="157" customFormat="1" ht="12.75">
      <c r="E377" s="157" t="str">
        <f>Input!E377</f>
        <v>Non-Load Related - other</v>
      </c>
      <c r="G377" s="157" t="s">
        <v>49</v>
      </c>
      <c r="AJ377" s="329">
        <v>0.57261687853339938</v>
      </c>
      <c r="AK377" s="329">
        <v>0.57261687853339938</v>
      </c>
      <c r="AL377" s="329">
        <v>0.57261687853339938</v>
      </c>
      <c r="AM377" s="329">
        <v>0.57261687853339938</v>
      </c>
      <c r="AN377" s="329">
        <v>0.57261687853339938</v>
      </c>
      <c r="AO377" s="329">
        <v>0.57261687853339938</v>
      </c>
      <c r="AP377" s="329">
        <v>0.57261687853339938</v>
      </c>
      <c r="AQ377" s="329">
        <v>0.57261687853339938</v>
      </c>
    </row>
    <row r="378" spans="3:43" s="157" customFormat="1" ht="12.75">
      <c r="E378" s="157" t="str">
        <f>Input!E378</f>
        <v>Faults</v>
      </c>
      <c r="G378" s="157" t="s">
        <v>49</v>
      </c>
      <c r="AJ378" s="329">
        <v>0</v>
      </c>
      <c r="AK378" s="329">
        <v>0</v>
      </c>
      <c r="AL378" s="329">
        <v>0</v>
      </c>
      <c r="AM378" s="329">
        <v>0</v>
      </c>
      <c r="AN378" s="329">
        <v>0</v>
      </c>
      <c r="AO378" s="329">
        <v>0</v>
      </c>
      <c r="AP378" s="329">
        <v>0</v>
      </c>
      <c r="AQ378" s="329">
        <v>0</v>
      </c>
    </row>
    <row r="379" spans="3:43" s="157" customFormat="1" ht="12.75">
      <c r="E379" s="221" t="s">
        <v>992</v>
      </c>
      <c r="G379" s="157" t="s">
        <v>49</v>
      </c>
      <c r="AJ379" s="329">
        <v>0</v>
      </c>
      <c r="AK379" s="329">
        <v>0</v>
      </c>
      <c r="AL379" s="329">
        <v>0</v>
      </c>
      <c r="AM379" s="329">
        <v>0</v>
      </c>
      <c r="AN379" s="329">
        <v>0</v>
      </c>
      <c r="AO379" s="329">
        <v>0</v>
      </c>
      <c r="AP379" s="329">
        <v>0</v>
      </c>
      <c r="AQ379" s="329">
        <v>0</v>
      </c>
    </row>
    <row r="380" spans="3:43" s="157" customFormat="1" ht="12.75">
      <c r="E380" s="157" t="str">
        <f>Input!E380</f>
        <v>100% ‘revenue pool’ expenditure</v>
      </c>
      <c r="G380" s="157" t="s">
        <v>49</v>
      </c>
      <c r="AJ380" s="329">
        <v>0</v>
      </c>
      <c r="AK380" s="329">
        <v>0</v>
      </c>
      <c r="AL380" s="329">
        <v>0</v>
      </c>
      <c r="AM380" s="329">
        <v>0</v>
      </c>
      <c r="AN380" s="329">
        <v>0</v>
      </c>
      <c r="AO380" s="329">
        <v>0</v>
      </c>
      <c r="AP380" s="329">
        <v>0</v>
      </c>
      <c r="AQ380" s="329">
        <v>0</v>
      </c>
    </row>
    <row r="381" spans="3:43" s="157" customFormat="1" ht="12.75">
      <c r="E381" s="157" t="str">
        <f>Input!E381</f>
        <v>Controllable Opex</v>
      </c>
      <c r="G381" s="157" t="s">
        <v>49</v>
      </c>
      <c r="AJ381" s="329">
        <v>0</v>
      </c>
      <c r="AK381" s="329">
        <v>0</v>
      </c>
      <c r="AL381" s="329">
        <v>0</v>
      </c>
      <c r="AM381" s="329">
        <v>0</v>
      </c>
      <c r="AN381" s="329">
        <v>0</v>
      </c>
      <c r="AO381" s="329">
        <v>0</v>
      </c>
      <c r="AP381" s="329">
        <v>0</v>
      </c>
      <c r="AQ381" s="329">
        <v>0</v>
      </c>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4" s="157" customFormat="1" ht="12.75">
      <c r="E385" s="93" t="str">
        <f>Input!E385</f>
        <v>Load Related</v>
      </c>
      <c r="G385" s="157" t="s">
        <v>49</v>
      </c>
      <c r="AJ385" s="329">
        <v>0.92904298356325765</v>
      </c>
      <c r="AK385" s="329">
        <v>0.92904298356325765</v>
      </c>
      <c r="AL385" s="329">
        <v>0.92904298356325765</v>
      </c>
      <c r="AM385" s="329">
        <v>0.92904298356325765</v>
      </c>
      <c r="AN385" s="329">
        <v>0.92904298356325765</v>
      </c>
      <c r="AO385" s="329">
        <v>0.92904298356325765</v>
      </c>
      <c r="AP385" s="329">
        <v>0.92904298356325765</v>
      </c>
      <c r="AQ385" s="329">
        <v>0.92904298356325765</v>
      </c>
    </row>
    <row r="386" spans="4:44" s="157" customFormat="1" ht="12.75">
      <c r="E386" s="93" t="str">
        <f>Input!E386</f>
        <v>Non-load related capex - asset replacement</v>
      </c>
      <c r="G386" s="157" t="s">
        <v>49</v>
      </c>
      <c r="AJ386" s="329">
        <v>0.58739338786463047</v>
      </c>
      <c r="AK386" s="329">
        <v>0.58739338786463047</v>
      </c>
      <c r="AL386" s="329">
        <v>0.58739338786463047</v>
      </c>
      <c r="AM386" s="329">
        <v>0.58739338786463047</v>
      </c>
      <c r="AN386" s="329">
        <v>0.58739338786463047</v>
      </c>
      <c r="AO386" s="329">
        <v>0.58739338786463047</v>
      </c>
      <c r="AP386" s="329">
        <v>0.58739338786463047</v>
      </c>
      <c r="AQ386" s="329">
        <v>0.58739338786463047</v>
      </c>
    </row>
    <row r="387" spans="4:44" s="157" customFormat="1" ht="12.75">
      <c r="E387" s="157" t="str">
        <f>Input!E387</f>
        <v>Non-Load Related - other</v>
      </c>
      <c r="G387" s="157" t="s">
        <v>49</v>
      </c>
      <c r="AJ387" s="329">
        <v>0.16340464205010874</v>
      </c>
      <c r="AK387" s="329">
        <v>0.16340464205010874</v>
      </c>
      <c r="AL387" s="329">
        <v>0.16340464205010874</v>
      </c>
      <c r="AM387" s="329">
        <v>0.16340464205010874</v>
      </c>
      <c r="AN387" s="329">
        <v>0.16340464205010874</v>
      </c>
      <c r="AO387" s="329">
        <v>0.16340464205010874</v>
      </c>
      <c r="AP387" s="329">
        <v>0.16340464205010874</v>
      </c>
      <c r="AQ387" s="329">
        <v>0.16340464205010874</v>
      </c>
    </row>
    <row r="388" spans="4:44" s="157" customFormat="1" ht="12.75">
      <c r="E388" s="157" t="str">
        <f>Input!E388</f>
        <v>Faults</v>
      </c>
      <c r="G388" s="157" t="s">
        <v>49</v>
      </c>
      <c r="AJ388" s="329">
        <v>0</v>
      </c>
      <c r="AK388" s="329">
        <v>0</v>
      </c>
      <c r="AL388" s="329">
        <v>0</v>
      </c>
      <c r="AM388" s="329">
        <v>0</v>
      </c>
      <c r="AN388" s="329">
        <v>0</v>
      </c>
      <c r="AO388" s="329">
        <v>0</v>
      </c>
      <c r="AP388" s="329">
        <v>0</v>
      </c>
      <c r="AQ388" s="329">
        <v>0</v>
      </c>
    </row>
    <row r="389" spans="4:44" s="157" customFormat="1" ht="12.75">
      <c r="E389" s="221" t="s">
        <v>992</v>
      </c>
      <c r="G389" s="157" t="s">
        <v>49</v>
      </c>
      <c r="AJ389" s="329">
        <v>0</v>
      </c>
      <c r="AK389" s="329">
        <v>0</v>
      </c>
      <c r="AL389" s="329">
        <v>0</v>
      </c>
      <c r="AM389" s="329">
        <v>0</v>
      </c>
      <c r="AN389" s="329">
        <v>0</v>
      </c>
      <c r="AO389" s="329">
        <v>0</v>
      </c>
      <c r="AP389" s="329">
        <v>0</v>
      </c>
      <c r="AQ389" s="329">
        <v>0</v>
      </c>
    </row>
    <row r="390" spans="4:44" s="157" customFormat="1" ht="12.75">
      <c r="E390" s="157" t="str">
        <f>Input!E390</f>
        <v>100% ‘revenue pool’ expenditure</v>
      </c>
      <c r="G390" s="157" t="s">
        <v>49</v>
      </c>
      <c r="AJ390" s="329">
        <v>0</v>
      </c>
      <c r="AK390" s="329">
        <v>0</v>
      </c>
      <c r="AL390" s="329">
        <v>0</v>
      </c>
      <c r="AM390" s="329">
        <v>0</v>
      </c>
      <c r="AN390" s="329">
        <v>0</v>
      </c>
      <c r="AO390" s="329">
        <v>0</v>
      </c>
      <c r="AP390" s="329">
        <v>0</v>
      </c>
      <c r="AQ390" s="329">
        <v>0</v>
      </c>
    </row>
    <row r="391" spans="4:44" s="157" customFormat="1" ht="12.75">
      <c r="E391" s="157" t="str">
        <f>Input!E391</f>
        <v>Controllable Opex</v>
      </c>
      <c r="G391" s="157" t="s">
        <v>49</v>
      </c>
      <c r="AJ391" s="329">
        <v>0.50676523701226872</v>
      </c>
      <c r="AK391" s="329">
        <v>0.50676523701226872</v>
      </c>
      <c r="AL391" s="329">
        <v>0.50676523701226872</v>
      </c>
      <c r="AM391" s="329">
        <v>0.50676523701226872</v>
      </c>
      <c r="AN391" s="329">
        <v>0.50676523701226872</v>
      </c>
      <c r="AO391" s="329">
        <v>0.50676523701226872</v>
      </c>
      <c r="AP391" s="329">
        <v>0.50676523701226872</v>
      </c>
      <c r="AQ391" s="329">
        <v>0.50676523701226872</v>
      </c>
    </row>
    <row r="392" spans="4:44" s="157" customFormat="1" ht="12.75">
      <c r="AJ392" s="239"/>
      <c r="AK392" s="239"/>
      <c r="AL392" s="239"/>
      <c r="AM392" s="239"/>
      <c r="AN392" s="239"/>
      <c r="AO392" s="239"/>
      <c r="AP392" s="239"/>
      <c r="AQ392" s="239"/>
    </row>
    <row r="393" spans="4:44"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4" s="157" customFormat="1" ht="12.75">
      <c r="AJ394" s="241"/>
      <c r="AK394" s="241"/>
      <c r="AL394" s="241"/>
      <c r="AM394" s="241"/>
      <c r="AN394" s="241"/>
      <c r="AO394" s="241"/>
      <c r="AP394" s="241"/>
      <c r="AQ394" s="241"/>
    </row>
    <row r="395" spans="4:44" s="157" customFormat="1" ht="12.75">
      <c r="E395" s="93" t="str">
        <f>Input!E395</f>
        <v>Load Related</v>
      </c>
      <c r="G395" s="157" t="s">
        <v>49</v>
      </c>
      <c r="AJ395" s="329">
        <v>4.5243105801249524E-2</v>
      </c>
      <c r="AK395" s="329">
        <v>4.5243105801249524E-2</v>
      </c>
      <c r="AL395" s="329">
        <v>4.5243105801249524E-2</v>
      </c>
      <c r="AM395" s="329">
        <v>4.5243105801249524E-2</v>
      </c>
      <c r="AN395" s="329">
        <v>4.5243105801249524E-2</v>
      </c>
      <c r="AO395" s="329">
        <v>4.5243105801249524E-2</v>
      </c>
      <c r="AP395" s="329">
        <v>4.5243105801249524E-2</v>
      </c>
      <c r="AQ395" s="329">
        <v>4.5243105801249524E-2</v>
      </c>
      <c r="AR395" s="329">
        <v>0</v>
      </c>
    </row>
    <row r="396" spans="4:44" s="157" customFormat="1" ht="12.75">
      <c r="E396" s="93" t="str">
        <f>Input!E396</f>
        <v>Non-load related capex - asset replacement</v>
      </c>
      <c r="G396" s="157" t="s">
        <v>49</v>
      </c>
      <c r="AJ396" s="329">
        <v>0.34848874042204708</v>
      </c>
      <c r="AK396" s="329">
        <v>0.34848874042204708</v>
      </c>
      <c r="AL396" s="329">
        <v>0.34848874042204708</v>
      </c>
      <c r="AM396" s="329">
        <v>0.34848874042204708</v>
      </c>
      <c r="AN396" s="329">
        <v>0.34848874042204708</v>
      </c>
      <c r="AO396" s="329">
        <v>0.34848874042204708</v>
      </c>
      <c r="AP396" s="329">
        <v>0.34848874042204708</v>
      </c>
      <c r="AQ396" s="329">
        <v>0.34848874042204708</v>
      </c>
    </row>
    <row r="397" spans="4:44" s="157" customFormat="1" ht="12.75">
      <c r="E397" s="157" t="str">
        <f>Input!E397</f>
        <v>Non-Load Related - other</v>
      </c>
      <c r="G397" s="157" t="s">
        <v>49</v>
      </c>
      <c r="AJ397" s="329">
        <v>0.18049609725848487</v>
      </c>
      <c r="AK397" s="329">
        <v>0.18049609725848487</v>
      </c>
      <c r="AL397" s="329">
        <v>0.18049609725848487</v>
      </c>
      <c r="AM397" s="329">
        <v>0.18049609725848487</v>
      </c>
      <c r="AN397" s="329">
        <v>0.18049609725848487</v>
      </c>
      <c r="AO397" s="329">
        <v>0.18049609725848487</v>
      </c>
      <c r="AP397" s="329">
        <v>0.18049609725848487</v>
      </c>
      <c r="AQ397" s="329">
        <v>0.18049609725848487</v>
      </c>
      <c r="AR397" s="329">
        <v>0</v>
      </c>
    </row>
    <row r="398" spans="4:44" s="157" customFormat="1" ht="12.75">
      <c r="E398" s="157" t="str">
        <f>Input!E398</f>
        <v>Faults</v>
      </c>
      <c r="G398" s="157" t="s">
        <v>49</v>
      </c>
      <c r="AJ398" s="329">
        <v>0.7154819942147207</v>
      </c>
      <c r="AK398" s="329">
        <v>0.7154819942147207</v>
      </c>
      <c r="AL398" s="329">
        <v>0.7154819942147207</v>
      </c>
      <c r="AM398" s="329">
        <v>0.7154819942147207</v>
      </c>
      <c r="AN398" s="329">
        <v>0.7154819942147207</v>
      </c>
      <c r="AO398" s="329">
        <v>0.7154819942147207</v>
      </c>
      <c r="AP398" s="329">
        <v>0.7154819942147207</v>
      </c>
      <c r="AQ398" s="329">
        <v>0.7154819942147207</v>
      </c>
    </row>
    <row r="399" spans="4:44" s="157" customFormat="1" ht="12.75">
      <c r="E399" s="221" t="s">
        <v>992</v>
      </c>
      <c r="G399" s="157" t="s">
        <v>49</v>
      </c>
      <c r="AJ399" s="329">
        <v>0</v>
      </c>
      <c r="AK399" s="329">
        <v>0</v>
      </c>
      <c r="AL399" s="329">
        <v>0</v>
      </c>
      <c r="AM399" s="329">
        <v>0</v>
      </c>
      <c r="AN399" s="329">
        <v>0</v>
      </c>
      <c r="AO399" s="329">
        <v>0</v>
      </c>
      <c r="AP399" s="329">
        <v>0</v>
      </c>
      <c r="AQ399" s="329">
        <v>0</v>
      </c>
    </row>
    <row r="400" spans="4:44" s="157" customFormat="1" ht="12.75">
      <c r="E400" s="157" t="str">
        <f>Input!E400</f>
        <v>100% ‘revenue pool’ expenditure</v>
      </c>
      <c r="G400" s="157" t="s">
        <v>49</v>
      </c>
      <c r="AJ400" s="329">
        <v>0</v>
      </c>
      <c r="AK400" s="329">
        <v>0</v>
      </c>
      <c r="AL400" s="329">
        <v>0</v>
      </c>
      <c r="AM400" s="329">
        <v>0</v>
      </c>
      <c r="AN400" s="329">
        <v>0</v>
      </c>
      <c r="AO400" s="329">
        <v>0</v>
      </c>
      <c r="AP400" s="329">
        <v>0</v>
      </c>
      <c r="AQ400" s="329">
        <v>0</v>
      </c>
    </row>
    <row r="401" spans="4:43" s="157" customFormat="1" ht="12.75">
      <c r="E401" s="157" t="str">
        <f>Input!E401</f>
        <v>Controllable Opex</v>
      </c>
      <c r="G401" s="157" t="s">
        <v>49</v>
      </c>
      <c r="AJ401" s="329">
        <v>0.19231285803643366</v>
      </c>
      <c r="AK401" s="329">
        <v>0.19231285803643366</v>
      </c>
      <c r="AL401" s="329">
        <v>0.19231285803643366</v>
      </c>
      <c r="AM401" s="329">
        <v>0.19231285803643366</v>
      </c>
      <c r="AN401" s="329">
        <v>0.19231285803643366</v>
      </c>
      <c r="AO401" s="329">
        <v>0.19231285803643366</v>
      </c>
      <c r="AP401" s="329">
        <v>0.19231285803643366</v>
      </c>
      <c r="AQ401" s="329">
        <v>0.19231285803643366</v>
      </c>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v>0</v>
      </c>
      <c r="AK405" s="329">
        <v>0</v>
      </c>
      <c r="AL405" s="329">
        <v>0</v>
      </c>
      <c r="AM405" s="329">
        <v>0</v>
      </c>
      <c r="AN405" s="329">
        <v>0</v>
      </c>
      <c r="AO405" s="329">
        <v>0</v>
      </c>
      <c r="AP405" s="329">
        <v>0</v>
      </c>
      <c r="AQ405" s="329">
        <v>0</v>
      </c>
    </row>
    <row r="406" spans="4:43" s="157" customFormat="1" ht="12.75">
      <c r="E406" s="93" t="str">
        <f>Input!E406</f>
        <v>Non-load related capex - asset replacement</v>
      </c>
      <c r="G406" s="157" t="s">
        <v>49</v>
      </c>
      <c r="AJ406" s="329">
        <v>0</v>
      </c>
      <c r="AK406" s="329">
        <v>0</v>
      </c>
      <c r="AL406" s="329">
        <v>0</v>
      </c>
      <c r="AM406" s="329">
        <v>0</v>
      </c>
      <c r="AN406" s="329">
        <v>0</v>
      </c>
      <c r="AO406" s="329">
        <v>0</v>
      </c>
      <c r="AP406" s="329">
        <v>0</v>
      </c>
      <c r="AQ406" s="329">
        <v>0</v>
      </c>
    </row>
    <row r="407" spans="4:43" s="157" customFormat="1" ht="12.75">
      <c r="E407" s="157" t="str">
        <f>Input!E407</f>
        <v>Non-Load Related - other</v>
      </c>
      <c r="G407" s="157" t="s">
        <v>49</v>
      </c>
      <c r="AJ407" s="329">
        <v>0</v>
      </c>
      <c r="AK407" s="329">
        <v>0</v>
      </c>
      <c r="AL407" s="329">
        <v>0</v>
      </c>
      <c r="AM407" s="329">
        <v>0</v>
      </c>
      <c r="AN407" s="329">
        <v>0</v>
      </c>
      <c r="AO407" s="329">
        <v>0</v>
      </c>
      <c r="AP407" s="329">
        <v>0</v>
      </c>
      <c r="AQ407" s="329">
        <v>0</v>
      </c>
    </row>
    <row r="408" spans="4:43" s="157" customFormat="1" ht="12.75">
      <c r="E408" s="157" t="str">
        <f>Input!E408</f>
        <v>Faults</v>
      </c>
      <c r="G408" s="157" t="s">
        <v>49</v>
      </c>
      <c r="AJ408" s="329">
        <v>0.2843588047477934</v>
      </c>
      <c r="AK408" s="329">
        <v>0.2843588047477934</v>
      </c>
      <c r="AL408" s="329">
        <v>0.2843588047477934</v>
      </c>
      <c r="AM408" s="329">
        <v>0.2843588047477934</v>
      </c>
      <c r="AN408" s="329">
        <v>0.2843588047477934</v>
      </c>
      <c r="AO408" s="329">
        <v>0.2843588047477934</v>
      </c>
      <c r="AP408" s="329">
        <v>0.2843588047477934</v>
      </c>
      <c r="AQ408" s="329">
        <v>0.2843588047477934</v>
      </c>
    </row>
    <row r="409" spans="4:43" s="157" customFormat="1" ht="12.75">
      <c r="E409" s="221" t="s">
        <v>992</v>
      </c>
      <c r="G409" s="157" t="s">
        <v>49</v>
      </c>
      <c r="AJ409" s="329">
        <v>1</v>
      </c>
      <c r="AK409" s="329">
        <v>1</v>
      </c>
      <c r="AL409" s="329">
        <v>1</v>
      </c>
      <c r="AM409" s="329">
        <v>1</v>
      </c>
      <c r="AN409" s="329">
        <v>1</v>
      </c>
      <c r="AO409" s="329">
        <v>1</v>
      </c>
      <c r="AP409" s="329">
        <v>1</v>
      </c>
      <c r="AQ409" s="329">
        <v>1</v>
      </c>
    </row>
    <row r="410" spans="4:43" s="157" customFormat="1" ht="12.75">
      <c r="E410" s="157" t="str">
        <f>Input!E410</f>
        <v>100% ‘revenue pool’ expenditure</v>
      </c>
      <c r="G410" s="157" t="s">
        <v>49</v>
      </c>
      <c r="AJ410" s="329">
        <v>1</v>
      </c>
      <c r="AK410" s="329">
        <v>1</v>
      </c>
      <c r="AL410" s="329">
        <v>1</v>
      </c>
      <c r="AM410" s="329">
        <v>1</v>
      </c>
      <c r="AN410" s="329">
        <v>1</v>
      </c>
      <c r="AO410" s="329">
        <v>1</v>
      </c>
      <c r="AP410" s="329">
        <v>1</v>
      </c>
      <c r="AQ410" s="329">
        <v>1</v>
      </c>
    </row>
    <row r="411" spans="4:43" s="157" customFormat="1" ht="12.75">
      <c r="E411" s="157" t="str">
        <f>Input!E411</f>
        <v>Controllable Opex</v>
      </c>
      <c r="G411" s="157" t="s">
        <v>49</v>
      </c>
      <c r="AJ411" s="329">
        <v>0.30090270293351112</v>
      </c>
      <c r="AK411" s="329">
        <v>0.30090270293351112</v>
      </c>
      <c r="AL411" s="329">
        <v>0.30090270293351112</v>
      </c>
      <c r="AM411" s="329">
        <v>0.30090270293351112</v>
      </c>
      <c r="AN411" s="329">
        <v>0.30090270293351112</v>
      </c>
      <c r="AO411" s="329">
        <v>0.30090270293351112</v>
      </c>
      <c r="AP411" s="329">
        <v>0.30090270293351112</v>
      </c>
      <c r="AQ411" s="329">
        <v>0.30090270293351112</v>
      </c>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v>1.2869518798191593E-2</v>
      </c>
      <c r="AK415" s="329">
        <v>1.2869518798191593E-2</v>
      </c>
      <c r="AL415" s="329">
        <v>1.2869518798191593E-2</v>
      </c>
      <c r="AM415" s="329">
        <v>1.2869518798191593E-2</v>
      </c>
      <c r="AN415" s="329">
        <v>1.2869518798191593E-2</v>
      </c>
      <c r="AO415" s="329">
        <v>1.2869518798191593E-2</v>
      </c>
      <c r="AP415" s="329">
        <v>1.2869518798191593E-2</v>
      </c>
      <c r="AQ415" s="329">
        <v>1.2869518798191593E-2</v>
      </c>
    </row>
    <row r="416" spans="4:43" s="157" customFormat="1" ht="12.75">
      <c r="E416" s="93" t="str">
        <f>Input!E416</f>
        <v>Non-load related capex - asset replacement</v>
      </c>
      <c r="G416" s="157" t="s">
        <v>49</v>
      </c>
      <c r="AJ416" s="329">
        <v>4.969448219297988E-2</v>
      </c>
      <c r="AK416" s="329">
        <v>4.969448219297988E-2</v>
      </c>
      <c r="AL416" s="329">
        <v>4.969448219297988E-2</v>
      </c>
      <c r="AM416" s="329">
        <v>4.969448219297988E-2</v>
      </c>
      <c r="AN416" s="329">
        <v>4.969448219297988E-2</v>
      </c>
      <c r="AO416" s="329">
        <v>4.969448219297988E-2</v>
      </c>
      <c r="AP416" s="329">
        <v>4.969448219297988E-2</v>
      </c>
      <c r="AQ416" s="329">
        <v>4.969448219297988E-2</v>
      </c>
    </row>
    <row r="417" spans="4:43" s="157" customFormat="1" ht="12.75">
      <c r="E417" s="157" t="str">
        <f>Input!E417</f>
        <v>Non-Load Related - other</v>
      </c>
      <c r="G417" s="157" t="s">
        <v>49</v>
      </c>
      <c r="AG417" s="24"/>
      <c r="AJ417" s="329">
        <v>8.3482382158006935E-2</v>
      </c>
      <c r="AK417" s="329">
        <v>8.3482382158006935E-2</v>
      </c>
      <c r="AL417" s="329">
        <v>8.3482382158006935E-2</v>
      </c>
      <c r="AM417" s="329">
        <v>8.3482382158006935E-2</v>
      </c>
      <c r="AN417" s="329">
        <v>8.3482382158006935E-2</v>
      </c>
      <c r="AO417" s="329">
        <v>8.3482382158006935E-2</v>
      </c>
      <c r="AP417" s="329">
        <v>8.3482382158006935E-2</v>
      </c>
      <c r="AQ417" s="329">
        <v>8.3482382158006935E-2</v>
      </c>
    </row>
    <row r="418" spans="4:43" s="157" customFormat="1" ht="12.75">
      <c r="E418" s="157" t="str">
        <f>Input!E418</f>
        <v>Faults</v>
      </c>
      <c r="G418" s="157" t="s">
        <v>49</v>
      </c>
      <c r="AG418" s="24"/>
      <c r="AJ418" s="329">
        <v>1.5920103748585812E-4</v>
      </c>
      <c r="AK418" s="329">
        <v>1.5920103748585812E-4</v>
      </c>
      <c r="AL418" s="329">
        <v>1.5920103748585812E-4</v>
      </c>
      <c r="AM418" s="329">
        <v>1.5920103748585812E-4</v>
      </c>
      <c r="AN418" s="329">
        <v>1.5920103748585812E-4</v>
      </c>
      <c r="AO418" s="329">
        <v>1.5920103748585812E-4</v>
      </c>
      <c r="AP418" s="329">
        <v>1.5920103748585812E-4</v>
      </c>
      <c r="AQ418" s="329">
        <v>1.5920103748585812E-4</v>
      </c>
    </row>
    <row r="419" spans="4:43" s="157" customFormat="1" ht="12.75">
      <c r="E419" s="221" t="s">
        <v>992</v>
      </c>
      <c r="G419" s="157" t="s">
        <v>49</v>
      </c>
      <c r="AG419" s="24"/>
      <c r="AJ419" s="329">
        <v>0</v>
      </c>
      <c r="AK419" s="329">
        <v>0</v>
      </c>
      <c r="AL419" s="329">
        <v>0</v>
      </c>
      <c r="AM419" s="329">
        <v>0</v>
      </c>
      <c r="AN419" s="329">
        <v>0</v>
      </c>
      <c r="AO419" s="329">
        <v>0</v>
      </c>
      <c r="AP419" s="329">
        <v>0</v>
      </c>
      <c r="AQ419" s="329">
        <v>0</v>
      </c>
    </row>
    <row r="420" spans="4:43" s="157" customFormat="1" ht="12.75">
      <c r="E420" s="157" t="str">
        <f>Input!E420</f>
        <v>100% ‘revenue pool’ expenditure</v>
      </c>
      <c r="G420" s="157" t="s">
        <v>49</v>
      </c>
      <c r="AG420" s="24"/>
      <c r="AJ420" s="329">
        <v>0</v>
      </c>
      <c r="AK420" s="329">
        <v>0</v>
      </c>
      <c r="AL420" s="329">
        <v>0</v>
      </c>
      <c r="AM420" s="329">
        <v>0</v>
      </c>
      <c r="AN420" s="329">
        <v>0</v>
      </c>
      <c r="AO420" s="329">
        <v>0</v>
      </c>
      <c r="AP420" s="329">
        <v>0</v>
      </c>
      <c r="AQ420" s="329">
        <v>0</v>
      </c>
    </row>
    <row r="421" spans="4:43" s="157" customFormat="1" ht="12.75">
      <c r="E421" s="157" t="str">
        <f>Input!E421</f>
        <v>Controllable Opex</v>
      </c>
      <c r="G421" s="157" t="s">
        <v>49</v>
      </c>
      <c r="AG421" s="24"/>
      <c r="AJ421" s="329">
        <v>1.9202017786493232E-5</v>
      </c>
      <c r="AK421" s="329">
        <v>1.9202017786493232E-5</v>
      </c>
      <c r="AL421" s="329">
        <v>1.9202017786493232E-5</v>
      </c>
      <c r="AM421" s="329">
        <v>1.9202017786493232E-5</v>
      </c>
      <c r="AN421" s="329">
        <v>1.9202017786493232E-5</v>
      </c>
      <c r="AO421" s="329">
        <v>1.9202017786493232E-5</v>
      </c>
      <c r="AP421" s="329">
        <v>1.9202017786493232E-5</v>
      </c>
      <c r="AQ421" s="329">
        <v>1.9202017786493232E-5</v>
      </c>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f t="shared" ref="AJ426:AQ432" si="44">AJ375+AJ385+AJ395+AJ405+AJ415</f>
        <v>1</v>
      </c>
      <c r="AK426" s="217">
        <f t="shared" si="44"/>
        <v>1</v>
      </c>
      <c r="AL426" s="217">
        <f t="shared" si="44"/>
        <v>1</v>
      </c>
      <c r="AM426" s="217">
        <f t="shared" si="44"/>
        <v>1</v>
      </c>
      <c r="AN426" s="217">
        <f t="shared" si="44"/>
        <v>1</v>
      </c>
      <c r="AO426" s="217">
        <f t="shared" si="44"/>
        <v>1</v>
      </c>
      <c r="AP426" s="217">
        <f t="shared" si="44"/>
        <v>1</v>
      </c>
      <c r="AQ426" s="217">
        <f t="shared" si="44"/>
        <v>1</v>
      </c>
    </row>
    <row r="427" spans="4:43" s="157" customFormat="1" ht="12.75">
      <c r="E427" s="93" t="str">
        <f>Input!E427</f>
        <v>Non-load related capex - asset replacement</v>
      </c>
      <c r="G427" s="157" t="s">
        <v>49</v>
      </c>
      <c r="AJ427" s="217">
        <f t="shared" si="44"/>
        <v>1</v>
      </c>
      <c r="AK427" s="217">
        <f t="shared" si="44"/>
        <v>1</v>
      </c>
      <c r="AL427" s="217">
        <f t="shared" si="44"/>
        <v>1</v>
      </c>
      <c r="AM427" s="217">
        <f t="shared" si="44"/>
        <v>1</v>
      </c>
      <c r="AN427" s="217">
        <f t="shared" si="44"/>
        <v>1</v>
      </c>
      <c r="AO427" s="217">
        <f t="shared" si="44"/>
        <v>1</v>
      </c>
      <c r="AP427" s="217">
        <f t="shared" si="44"/>
        <v>1</v>
      </c>
      <c r="AQ427" s="217">
        <f t="shared" si="44"/>
        <v>1</v>
      </c>
    </row>
    <row r="428" spans="4:43" s="157" customFormat="1" ht="12.75">
      <c r="E428" s="157" t="str">
        <f>Input!E428</f>
        <v>Non-Load Related - other</v>
      </c>
      <c r="G428" s="157" t="s">
        <v>49</v>
      </c>
      <c r="AJ428" s="217">
        <f t="shared" si="44"/>
        <v>0.99999999999999989</v>
      </c>
      <c r="AK428" s="217">
        <f t="shared" si="44"/>
        <v>0.99999999999999989</v>
      </c>
      <c r="AL428" s="217">
        <f t="shared" si="44"/>
        <v>0.99999999999999989</v>
      </c>
      <c r="AM428" s="217">
        <f t="shared" si="44"/>
        <v>0.99999999999999989</v>
      </c>
      <c r="AN428" s="217">
        <f t="shared" si="44"/>
        <v>0.99999999999999989</v>
      </c>
      <c r="AO428" s="217">
        <f t="shared" si="44"/>
        <v>0.99999999999999989</v>
      </c>
      <c r="AP428" s="217">
        <f t="shared" si="44"/>
        <v>0.99999999999999989</v>
      </c>
      <c r="AQ428" s="217">
        <f t="shared" si="44"/>
        <v>0.99999999999999989</v>
      </c>
    </row>
    <row r="429" spans="4:43" s="157" customFormat="1" ht="12.75">
      <c r="E429" s="157" t="str">
        <f>Input!E429</f>
        <v>Faults</v>
      </c>
      <c r="G429" s="157" t="s">
        <v>49</v>
      </c>
      <c r="AJ429" s="217">
        <f t="shared" si="44"/>
        <v>1</v>
      </c>
      <c r="AK429" s="217">
        <f t="shared" si="44"/>
        <v>1</v>
      </c>
      <c r="AL429" s="217">
        <f t="shared" si="44"/>
        <v>1</v>
      </c>
      <c r="AM429" s="217">
        <f t="shared" si="44"/>
        <v>1</v>
      </c>
      <c r="AN429" s="217">
        <f t="shared" si="44"/>
        <v>1</v>
      </c>
      <c r="AO429" s="217">
        <f t="shared" si="44"/>
        <v>1</v>
      </c>
      <c r="AP429" s="217">
        <f t="shared" si="44"/>
        <v>1</v>
      </c>
      <c r="AQ429" s="217">
        <f t="shared" si="44"/>
        <v>1</v>
      </c>
    </row>
    <row r="430" spans="4:43" s="157" customFormat="1" ht="12.75">
      <c r="E430" s="221" t="s">
        <v>992</v>
      </c>
      <c r="G430" s="157" t="s">
        <v>49</v>
      </c>
      <c r="AJ430" s="217">
        <f t="shared" si="44"/>
        <v>1</v>
      </c>
      <c r="AK430" s="217">
        <f t="shared" si="44"/>
        <v>1</v>
      </c>
      <c r="AL430" s="217">
        <f t="shared" si="44"/>
        <v>1</v>
      </c>
      <c r="AM430" s="217">
        <f t="shared" si="44"/>
        <v>1</v>
      </c>
      <c r="AN430" s="217">
        <f t="shared" si="44"/>
        <v>1</v>
      </c>
      <c r="AO430" s="217">
        <f t="shared" si="44"/>
        <v>1</v>
      </c>
      <c r="AP430" s="217">
        <f t="shared" si="44"/>
        <v>1</v>
      </c>
      <c r="AQ430" s="217">
        <f t="shared" si="44"/>
        <v>1</v>
      </c>
    </row>
    <row r="431" spans="4:43" s="157" customFormat="1" ht="12.75">
      <c r="E431" s="157" t="str">
        <f>Input!E431</f>
        <v>100% ‘revenue pool’ expenditure</v>
      </c>
      <c r="G431" s="157" t="s">
        <v>49</v>
      </c>
      <c r="AJ431" s="217">
        <f t="shared" si="44"/>
        <v>1</v>
      </c>
      <c r="AK431" s="217">
        <f t="shared" si="44"/>
        <v>1</v>
      </c>
      <c r="AL431" s="217">
        <f t="shared" si="44"/>
        <v>1</v>
      </c>
      <c r="AM431" s="217">
        <f t="shared" si="44"/>
        <v>1</v>
      </c>
      <c r="AN431" s="217">
        <f t="shared" si="44"/>
        <v>1</v>
      </c>
      <c r="AO431" s="217">
        <f t="shared" si="44"/>
        <v>1</v>
      </c>
      <c r="AP431" s="217">
        <f t="shared" si="44"/>
        <v>1</v>
      </c>
      <c r="AQ431" s="217">
        <f t="shared" si="44"/>
        <v>1</v>
      </c>
    </row>
    <row r="432" spans="4:43" s="157" customFormat="1" ht="12.75">
      <c r="E432" s="157" t="str">
        <f>Input!E432</f>
        <v>Controllable Opex</v>
      </c>
      <c r="G432" s="157" t="s">
        <v>49</v>
      </c>
      <c r="AJ432" s="217">
        <f t="shared" si="44"/>
        <v>1</v>
      </c>
      <c r="AK432" s="217">
        <f t="shared" si="44"/>
        <v>1</v>
      </c>
      <c r="AL432" s="217">
        <f t="shared" si="44"/>
        <v>1</v>
      </c>
      <c r="AM432" s="217">
        <f t="shared" si="44"/>
        <v>1</v>
      </c>
      <c r="AN432" s="217">
        <f t="shared" si="44"/>
        <v>1</v>
      </c>
      <c r="AO432" s="217">
        <f t="shared" si="44"/>
        <v>1</v>
      </c>
      <c r="AP432" s="217">
        <f t="shared" si="44"/>
        <v>1</v>
      </c>
      <c r="AQ432" s="217">
        <f t="shared" si="44"/>
        <v>1</v>
      </c>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v>86.138872171135091</v>
      </c>
      <c r="AK436" s="227">
        <v>89.569535025302756</v>
      </c>
      <c r="AL436" s="227">
        <v>89.974204392191055</v>
      </c>
      <c r="AM436" s="227">
        <v>92.171103601477967</v>
      </c>
      <c r="AN436" s="227">
        <v>94.391415765772749</v>
      </c>
      <c r="AO436" s="227">
        <v>93.404177875233287</v>
      </c>
      <c r="AP436" s="227">
        <v>95.659235070537861</v>
      </c>
      <c r="AQ436" s="227">
        <v>96.599546991780613</v>
      </c>
    </row>
    <row r="437" spans="1:43" ht="15" customHeight="1">
      <c r="A437" s="400"/>
      <c r="E437" s="149" t="s">
        <v>579</v>
      </c>
      <c r="G437" s="149" t="s">
        <v>844</v>
      </c>
      <c r="H437" s="362"/>
      <c r="AJ437" s="227">
        <v>259.91408395145839</v>
      </c>
      <c r="AK437" s="227">
        <v>272.33833103299082</v>
      </c>
      <c r="AL437" s="227">
        <v>262.66872098684973</v>
      </c>
      <c r="AM437" s="227">
        <v>261.35784668351442</v>
      </c>
      <c r="AN437" s="227">
        <v>264.19948764639503</v>
      </c>
      <c r="AO437" s="227">
        <v>252.20712262437655</v>
      </c>
      <c r="AP437" s="227">
        <v>252.2711219709683</v>
      </c>
      <c r="AQ437" s="227">
        <v>234.81906482686472</v>
      </c>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f>'Revenue Profiling'!AJ249*'Revenue Profiling'!$G$249</f>
        <v>-27.671968623043497</v>
      </c>
      <c r="AK446" s="236">
        <f>'Revenue Profiling'!AK249*'Revenue Profiling'!$G$249</f>
        <v>-28.686368571028101</v>
      </c>
      <c r="AL446" s="236">
        <f>'Revenue Profiling'!AL249*'Revenue Profiling'!$G$249</f>
        <v>-20.8284095848012</v>
      </c>
      <c r="AM446" s="236">
        <f>'Revenue Profiling'!AM249*'Revenue Profiling'!$G$249</f>
        <v>-14.5683618690112</v>
      </c>
      <c r="AN446" s="236">
        <f>'Revenue Profiling'!AN249*'Revenue Profiling'!$G$249</f>
        <v>-3.2461488061929886</v>
      </c>
      <c r="AO446" s="236">
        <f>'Revenue Profiling'!AO249*'Revenue Profiling'!$G$249</f>
        <v>18.1719767318857</v>
      </c>
      <c r="AP446" s="236">
        <f>'Revenue Profiling'!AP249*'Revenue Profiling'!$G$249</f>
        <v>31.770541131162503</v>
      </c>
      <c r="AQ446" s="236">
        <f>'Revenue Profiling'!AQ249*'Revenue Profiling'!$G$249</f>
        <v>45.416705446076122</v>
      </c>
    </row>
    <row r="447" spans="1:43" ht="15" customHeight="1">
      <c r="E447" s="149" t="s">
        <v>816</v>
      </c>
      <c r="G447" s="149" t="s">
        <v>844</v>
      </c>
      <c r="AJ447" s="236">
        <f>'Revenue Profiling'!AJ266*'Revenue Profiling'!$G$249</f>
        <v>0.66958650424876831</v>
      </c>
      <c r="AK447" s="236">
        <f>'Revenue Profiling'!AK266*'Revenue Profiling'!$G$249</f>
        <v>2.0343313319895042</v>
      </c>
      <c r="AL447" s="236">
        <f>'Revenue Profiling'!AL266*'Revenue Profiling'!$G$249</f>
        <v>3.235388774535561</v>
      </c>
      <c r="AM447" s="236">
        <f>'Revenue Profiling'!AM266*'Revenue Profiling'!$G$249</f>
        <v>4.096109652228515</v>
      </c>
      <c r="AN447" s="236">
        <f>'Revenue Profiling'!AN266*'Revenue Profiling'!$G$249</f>
        <v>4.531808773825734</v>
      </c>
      <c r="AO447" s="236">
        <f>'Revenue Profiling'!AO266*'Revenue Profiling'!$G$249</f>
        <v>4.1747995083597083</v>
      </c>
      <c r="AP447" s="236">
        <f>'Revenue Profiling'!AP266*'Revenue Profiling'!$G$249</f>
        <v>2.9686479383997959</v>
      </c>
      <c r="AQ447" s="236">
        <f>'Revenue Profiling'!AQ266*'Revenue Profiling'!$G$249</f>
        <v>1.1001914984321304</v>
      </c>
    </row>
    <row r="448" spans="1:43" ht="15" customHeight="1">
      <c r="E448" s="149" t="s">
        <v>817</v>
      </c>
      <c r="G448" s="149" t="s">
        <v>844</v>
      </c>
      <c r="AJ448" s="149">
        <f>AJ460</f>
        <v>0</v>
      </c>
      <c r="AK448" s="149">
        <f t="shared" ref="AK448:AQ448" si="45">AK460</f>
        <v>0</v>
      </c>
      <c r="AL448" s="149">
        <f t="shared" si="45"/>
        <v>0</v>
      </c>
      <c r="AM448" s="149">
        <f t="shared" si="45"/>
        <v>0</v>
      </c>
      <c r="AN448" s="149">
        <f t="shared" si="45"/>
        <v>0</v>
      </c>
      <c r="AO448" s="149">
        <f t="shared" si="45"/>
        <v>0</v>
      </c>
      <c r="AP448" s="149">
        <f t="shared" si="45"/>
        <v>0</v>
      </c>
      <c r="AQ448" s="149">
        <f t="shared" si="45"/>
        <v>0</v>
      </c>
    </row>
    <row r="450" spans="2:43" ht="15" customHeight="1">
      <c r="E450" s="149" t="s">
        <v>812</v>
      </c>
    </row>
    <row r="452" spans="2:43" ht="15" customHeight="1">
      <c r="E452" s="149" t="s">
        <v>815</v>
      </c>
      <c r="AJ452" s="406">
        <f t="shared" ref="AJ452:AQ452" si="46">AJ453</f>
        <v>3.8679999999999999E-2</v>
      </c>
      <c r="AK452" s="406">
        <f t="shared" si="46"/>
        <v>3.8679999999999999E-2</v>
      </c>
      <c r="AL452" s="406">
        <f t="shared" si="46"/>
        <v>3.8679999999999999E-2</v>
      </c>
      <c r="AM452" s="406">
        <f t="shared" si="46"/>
        <v>3.8679999999999999E-2</v>
      </c>
      <c r="AN452" s="406">
        <f t="shared" si="46"/>
        <v>3.8679999999999999E-2</v>
      </c>
      <c r="AO452" s="406">
        <f t="shared" si="46"/>
        <v>3.8679999999999999E-2</v>
      </c>
      <c r="AP452" s="406">
        <f t="shared" si="46"/>
        <v>3.8679999999999999E-2</v>
      </c>
      <c r="AQ452" s="406">
        <f t="shared" si="46"/>
        <v>3.8679999999999999E-2</v>
      </c>
    </row>
    <row r="453" spans="2:43" ht="15" customHeight="1">
      <c r="E453" s="149" t="s">
        <v>813</v>
      </c>
      <c r="AJ453" s="165">
        <f t="shared" ref="AJ453:AQ453" si="47">AJ51</f>
        <v>3.8679999999999999E-2</v>
      </c>
      <c r="AK453" s="165">
        <f t="shared" si="47"/>
        <v>3.8679999999999999E-2</v>
      </c>
      <c r="AL453" s="165">
        <f t="shared" si="47"/>
        <v>3.8679999999999999E-2</v>
      </c>
      <c r="AM453" s="165">
        <f t="shared" si="47"/>
        <v>3.8679999999999999E-2</v>
      </c>
      <c r="AN453" s="165">
        <f t="shared" si="47"/>
        <v>3.8679999999999999E-2</v>
      </c>
      <c r="AO453" s="165">
        <f t="shared" si="47"/>
        <v>3.8679999999999999E-2</v>
      </c>
      <c r="AP453" s="165">
        <f t="shared" si="47"/>
        <v>3.8679999999999999E-2</v>
      </c>
      <c r="AQ453" s="165">
        <f t="shared" si="47"/>
        <v>3.8679999999999999E-2</v>
      </c>
    </row>
    <row r="455" spans="2:43" ht="15" customHeight="1">
      <c r="E455" s="149" t="s">
        <v>814</v>
      </c>
    </row>
    <row r="456" spans="2:43" ht="15" customHeight="1">
      <c r="E456" s="157" t="s">
        <v>803</v>
      </c>
      <c r="AJ456" s="236">
        <v>0</v>
      </c>
      <c r="AK456" s="236">
        <v>-34.621846134889779</v>
      </c>
      <c r="AL456" s="236">
        <v>-70.565916636025577</v>
      </c>
      <c r="AM456" s="236">
        <v>-96.724092388563577</v>
      </c>
      <c r="AN456" s="236">
        <v>-115.07061558602197</v>
      </c>
      <c r="AO456" s="236">
        <v>-119.25248544402393</v>
      </c>
      <c r="AP456" s="236">
        <v>-96.610984521882642</v>
      </c>
      <c r="AQ456" s="236">
        <v>-56.88684079281154</v>
      </c>
    </row>
    <row r="457" spans="2:43" ht="15" customHeight="1">
      <c r="E457" s="157" t="s">
        <v>805</v>
      </c>
      <c r="AJ457" s="236">
        <v>-34.621846134889779</v>
      </c>
      <c r="AK457" s="236">
        <v>-35.944070501135798</v>
      </c>
      <c r="AL457" s="236">
        <v>-26.158175752538</v>
      </c>
      <c r="AM457" s="236">
        <v>-18.346523197458396</v>
      </c>
      <c r="AN457" s="236">
        <v>-4.18186985800196</v>
      </c>
      <c r="AO457" s="236">
        <v>22.64150092214129</v>
      </c>
      <c r="AP457" s="236">
        <v>39.724143729071102</v>
      </c>
      <c r="AQ457" s="236">
        <v>56.886833882057545</v>
      </c>
    </row>
    <row r="458" spans="2:43" ht="15" customHeight="1">
      <c r="E458" s="195" t="s">
        <v>806</v>
      </c>
      <c r="AJ458" s="236">
        <v>-34.621846134889779</v>
      </c>
      <c r="AK458" s="236">
        <v>-70.565916636025577</v>
      </c>
      <c r="AL458" s="236">
        <v>-96.724092388563577</v>
      </c>
      <c r="AM458" s="236">
        <v>-115.07061558602197</v>
      </c>
      <c r="AN458" s="236">
        <v>-119.25248544402393</v>
      </c>
      <c r="AO458" s="236">
        <v>-96.610984521882642</v>
      </c>
      <c r="AP458" s="236">
        <v>-56.88684079281154</v>
      </c>
      <c r="AQ458" s="236">
        <v>-6.9107539957258268E-6</v>
      </c>
    </row>
    <row r="460" spans="2:43" ht="15" customHeight="1">
      <c r="E460" s="149" t="s">
        <v>811</v>
      </c>
      <c r="AJ460" s="149">
        <f t="shared" ref="AJ460:AQ460" si="48">AVERAGE(AJ456,AJ458)*(AJ453-AJ452)</f>
        <v>0</v>
      </c>
      <c r="AK460" s="149">
        <f t="shared" si="48"/>
        <v>0</v>
      </c>
      <c r="AL460" s="149">
        <f t="shared" si="48"/>
        <v>0</v>
      </c>
      <c r="AM460" s="149">
        <f t="shared" si="48"/>
        <v>0</v>
      </c>
      <c r="AN460" s="149">
        <f t="shared" si="48"/>
        <v>0</v>
      </c>
      <c r="AO460" s="149">
        <f t="shared" si="48"/>
        <v>0</v>
      </c>
      <c r="AP460" s="149">
        <f t="shared" si="48"/>
        <v>0</v>
      </c>
      <c r="AQ460" s="149">
        <f t="shared" si="48"/>
        <v>0</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v>355.98951715884698</v>
      </c>
      <c r="AK464" s="236">
        <v>364.20819462395406</v>
      </c>
      <c r="AL464" s="236">
        <v>350.54603069001729</v>
      </c>
      <c r="AM464" s="236">
        <v>350.74945307168298</v>
      </c>
      <c r="AN464" s="236">
        <v>351.96824825996379</v>
      </c>
      <c r="AO464" s="236">
        <v>339.96594189672999</v>
      </c>
      <c r="AP464" s="236">
        <v>339.12250873188628</v>
      </c>
      <c r="AQ464" s="236">
        <v>326.90722412446581</v>
      </c>
    </row>
    <row r="468" spans="36:43" ht="15" customHeight="1">
      <c r="AK468" s="498"/>
      <c r="AL468" s="498"/>
      <c r="AM468" s="498"/>
      <c r="AN468" s="498"/>
      <c r="AO468" s="498"/>
      <c r="AP468" s="498"/>
      <c r="AQ468" s="498"/>
    </row>
    <row r="469" spans="36:43" ht="15" customHeight="1">
      <c r="AJ469" s="498"/>
      <c r="AK469" s="498"/>
      <c r="AL469" s="498"/>
      <c r="AM469" s="498"/>
      <c r="AN469" s="498"/>
      <c r="AO469" s="498"/>
      <c r="AP469" s="498"/>
      <c r="AQ469" s="498"/>
    </row>
    <row r="470" spans="36:43" ht="15" customHeight="1">
      <c r="AJ470" s="498"/>
      <c r="AK470" s="498"/>
      <c r="AL470" s="498"/>
      <c r="AM470" s="498"/>
      <c r="AN470" s="498"/>
      <c r="AO470" s="498"/>
      <c r="AP470" s="498"/>
      <c r="AQ470" s="498"/>
    </row>
    <row r="471" spans="36:43" ht="15" customHeight="1">
      <c r="AJ471" s="498"/>
      <c r="AK471" s="498"/>
      <c r="AL471" s="498"/>
      <c r="AM471" s="498"/>
      <c r="AN471" s="498"/>
      <c r="AO471" s="498"/>
      <c r="AP471" s="498"/>
      <c r="AQ471" s="498"/>
    </row>
    <row r="472" spans="36:43" ht="15" customHeight="1">
      <c r="AJ472" s="498"/>
      <c r="AK472" s="498"/>
      <c r="AL472" s="498"/>
      <c r="AM472" s="498"/>
      <c r="AN472" s="498"/>
      <c r="AO472" s="498"/>
      <c r="AP472" s="498"/>
      <c r="AQ472" s="498"/>
    </row>
    <row r="473" spans="36:43" ht="15" customHeight="1">
      <c r="AJ473" s="498"/>
      <c r="AK473" s="498"/>
      <c r="AL473" s="498"/>
      <c r="AM473" s="498"/>
      <c r="AN473" s="498"/>
      <c r="AO473" s="498"/>
      <c r="AP473" s="498"/>
      <c r="AQ473" s="498"/>
    </row>
    <row r="474" spans="36:43" ht="15" customHeight="1">
      <c r="AJ474" s="498"/>
      <c r="AK474" s="498"/>
      <c r="AL474" s="498"/>
      <c r="AM474" s="498"/>
      <c r="AN474" s="498"/>
      <c r="AO474" s="498"/>
      <c r="AP474" s="498"/>
      <c r="AQ474" s="498"/>
    </row>
    <row r="476" spans="36:43" s="498" customFormat="1" ht="15" customHeight="1"/>
    <row r="477" spans="36:43" s="498" customFormat="1" ht="15" customHeight="1"/>
    <row r="478" spans="36:43" s="498" customFormat="1" ht="15" customHeight="1"/>
    <row r="479" spans="36:43" s="498" customFormat="1" ht="15" customHeight="1"/>
    <row r="480" spans="36:43" s="498" customFormat="1" ht="15" customHeight="1"/>
    <row r="481" spans="5:43" s="498" customFormat="1" ht="15" customHeight="1"/>
    <row r="482" spans="5:43" s="498" customFormat="1" ht="15" customHeight="1"/>
    <row r="484" spans="5:43" ht="15" customHeight="1">
      <c r="E484" s="557"/>
      <c r="AJ484" s="528"/>
      <c r="AK484" s="528"/>
      <c r="AL484" s="528"/>
      <c r="AM484" s="528"/>
      <c r="AN484" s="528"/>
      <c r="AO484" s="528"/>
      <c r="AP484" s="528"/>
      <c r="AQ484" s="528"/>
    </row>
    <row r="485" spans="5:43" ht="15" customHeight="1">
      <c r="E485" s="557"/>
      <c r="AJ485" s="528"/>
      <c r="AK485" s="528"/>
      <c r="AL485" s="528"/>
      <c r="AM485" s="528"/>
      <c r="AN485" s="528"/>
      <c r="AO485" s="528"/>
      <c r="AP485" s="528"/>
      <c r="AQ485" s="528"/>
    </row>
    <row r="486" spans="5:43" ht="15" customHeight="1">
      <c r="E486" s="557"/>
      <c r="AJ486" s="528"/>
      <c r="AK486" s="528"/>
      <c r="AL486" s="528"/>
      <c r="AM486" s="528"/>
      <c r="AN486" s="528"/>
      <c r="AO486" s="528"/>
      <c r="AP486" s="528"/>
      <c r="AQ486" s="528"/>
    </row>
    <row r="487" spans="5:43" ht="15" customHeight="1">
      <c r="E487" s="557"/>
      <c r="AJ487" s="528"/>
      <c r="AK487" s="528"/>
      <c r="AL487" s="528"/>
      <c r="AM487" s="528"/>
      <c r="AN487" s="528"/>
      <c r="AO487" s="528"/>
      <c r="AP487" s="528"/>
      <c r="AQ487" s="528"/>
    </row>
    <row r="488" spans="5:43" ht="15" customHeight="1">
      <c r="E488" s="557"/>
      <c r="AJ488" s="528"/>
      <c r="AK488" s="528"/>
      <c r="AL488" s="528"/>
      <c r="AM488" s="528"/>
      <c r="AN488" s="528"/>
      <c r="AO488" s="528"/>
      <c r="AP488" s="528"/>
      <c r="AQ488" s="528"/>
    </row>
    <row r="489" spans="5:43" ht="15" customHeight="1">
      <c r="E489" s="557"/>
      <c r="AJ489" s="528"/>
      <c r="AK489" s="528"/>
      <c r="AL489" s="528"/>
      <c r="AM489" s="528"/>
      <c r="AN489" s="528"/>
      <c r="AO489" s="528"/>
      <c r="AP489" s="528"/>
      <c r="AQ489" s="528"/>
    </row>
    <row r="490" spans="5:43" ht="15" customHeight="1">
      <c r="E490" s="557"/>
      <c r="AJ490" s="528"/>
      <c r="AK490" s="528"/>
      <c r="AL490" s="528"/>
      <c r="AM490" s="528"/>
      <c r="AN490" s="528"/>
      <c r="AO490" s="528"/>
      <c r="AP490" s="528"/>
      <c r="AQ490" s="528"/>
    </row>
  </sheetData>
  <conditionalFormatting sqref="AJ426:AQ432">
    <cfRule type="cellIs" dxfId="9" priority="1" operator="lessThan">
      <formula>1</formula>
    </cfRule>
    <cfRule type="cellIs" dxfId="8"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3">
    <tabColor rgb="FF7030A0"/>
    <pageSetUpPr fitToPage="1"/>
  </sheetPr>
  <dimension ref="A1:AR464"/>
  <sheetViews>
    <sheetView zoomScale="70" zoomScaleNormal="70" workbookViewId="0">
      <pane xSplit="10" ySplit="7" topLeftCell="AH8" activePane="bottomRight" state="frozen"/>
      <selection activeCell="K8" sqref="K8:AQ466"/>
      <selection pane="topRight" activeCell="K8" sqref="K8:AQ466"/>
      <selection pane="bottomLeft" activeCell="K8" sqref="K8:AQ466"/>
      <selection pane="bottomRight" activeCell="K8" sqref="K8:AQ466"/>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635</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685</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685</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699</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103"/>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SPMW!I73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SPMW!I74</f>
        <v>#REF!</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20</v>
      </c>
    </row>
    <row r="318" spans="2:43" ht="15" customHeight="1">
      <c r="E318" s="25" t="str">
        <f>Input!E318</f>
        <v>Pre vesting asset depn in first year (mths)</v>
      </c>
      <c r="G318" s="149" t="s">
        <v>670</v>
      </c>
      <c r="I318" s="236">
        <v>12</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E337" s="19"/>
      <c r="AF337" s="19"/>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F340" s="423"/>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236"/>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236"/>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236"/>
      <c r="AI356" s="23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5"/>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5"/>
      <c r="AI364" s="455"/>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455"/>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39"/>
      <c r="AL394" s="239"/>
      <c r="AM394" s="239"/>
      <c r="AN394" s="239"/>
      <c r="AO394" s="239"/>
      <c r="AP394" s="239"/>
      <c r="AQ394" s="239"/>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39"/>
      <c r="AL404" s="239"/>
      <c r="AM404" s="239"/>
      <c r="AN404" s="239"/>
      <c r="AO404" s="239"/>
      <c r="AP404" s="239"/>
      <c r="AQ404" s="239"/>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39"/>
      <c r="AL414" s="239"/>
      <c r="AM414" s="239"/>
      <c r="AN414" s="239"/>
      <c r="AO414" s="239"/>
      <c r="AP414" s="239"/>
      <c r="AQ414" s="239"/>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J417" s="329"/>
      <c r="AK417" s="329"/>
      <c r="AL417" s="329"/>
      <c r="AM417" s="329"/>
      <c r="AN417" s="329"/>
      <c r="AO417" s="329"/>
      <c r="AP417" s="329"/>
      <c r="AQ417" s="329"/>
    </row>
    <row r="418" spans="4:43" s="157" customFormat="1" ht="12.75">
      <c r="E418" s="157" t="str">
        <f>Input!E418</f>
        <v>Faults</v>
      </c>
      <c r="G418" s="157" t="s">
        <v>49</v>
      </c>
      <c r="AJ418" s="329"/>
      <c r="AK418" s="329"/>
      <c r="AL418" s="329"/>
      <c r="AM418" s="329"/>
      <c r="AN418" s="329"/>
      <c r="AO418" s="329"/>
      <c r="AP418" s="329"/>
      <c r="AQ418" s="329"/>
    </row>
    <row r="419" spans="4:43" s="157" customFormat="1" ht="12.75">
      <c r="E419" s="221" t="s">
        <v>992</v>
      </c>
      <c r="G419" s="157" t="s">
        <v>49</v>
      </c>
      <c r="AJ419" s="329"/>
      <c r="AK419" s="329"/>
      <c r="AL419" s="329"/>
      <c r="AM419" s="329"/>
      <c r="AN419" s="329"/>
      <c r="AO419" s="329"/>
      <c r="AP419" s="329"/>
      <c r="AQ419" s="329"/>
    </row>
    <row r="420" spans="4:43" s="157" customFormat="1" ht="12.75">
      <c r="E420" s="157" t="str">
        <f>Input!E420</f>
        <v>100% ‘revenue pool’ expenditure</v>
      </c>
      <c r="G420" s="157" t="s">
        <v>49</v>
      </c>
      <c r="AJ420" s="329"/>
      <c r="AK420" s="329"/>
      <c r="AL420" s="329"/>
      <c r="AM420" s="329"/>
      <c r="AN420" s="329"/>
      <c r="AO420" s="329"/>
      <c r="AP420" s="329"/>
      <c r="AQ420" s="329"/>
    </row>
    <row r="421" spans="4:43" s="157" customFormat="1" ht="12.75">
      <c r="E421" s="157" t="str">
        <f>Input!E421</f>
        <v>Controllable Opex</v>
      </c>
      <c r="G421" s="157" t="s">
        <v>49</v>
      </c>
      <c r="AJ421" s="329"/>
      <c r="AK421" s="329"/>
      <c r="AL421" s="329"/>
      <c r="AM421" s="329"/>
      <c r="AN421" s="329"/>
      <c r="AO421" s="329"/>
      <c r="AP421" s="329"/>
      <c r="AQ421" s="329"/>
    </row>
    <row r="422" spans="4:43" s="157" customFormat="1" ht="12.75">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418"/>
      <c r="AK436" s="418"/>
      <c r="AL436" s="418"/>
      <c r="AM436" s="418"/>
      <c r="AN436" s="418"/>
      <c r="AO436" s="418"/>
      <c r="AP436" s="418"/>
      <c r="AQ436" s="418"/>
    </row>
    <row r="437" spans="1:43" ht="15" customHeight="1">
      <c r="A437" s="400"/>
      <c r="E437" s="149" t="s">
        <v>579</v>
      </c>
      <c r="G437" s="149" t="s">
        <v>844</v>
      </c>
      <c r="H437" s="362"/>
      <c r="AJ437" s="418"/>
      <c r="AK437" s="418"/>
      <c r="AL437" s="418"/>
      <c r="AM437" s="418"/>
      <c r="AN437" s="418"/>
      <c r="AO437" s="418"/>
      <c r="AP437" s="418"/>
      <c r="AQ437" s="418"/>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7" priority="1" operator="lessThan">
      <formula>1</formula>
    </cfRule>
    <cfRule type="cellIs" dxfId="6"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4">
    <tabColor rgb="FF7030A0"/>
    <pageSetUpPr fitToPage="1"/>
  </sheetPr>
  <dimension ref="A1:AR490"/>
  <sheetViews>
    <sheetView zoomScale="70" zoomScaleNormal="70" workbookViewId="0">
      <pane xSplit="10" ySplit="7" topLeftCell="K8" activePane="bottomRight" state="frozen"/>
      <selection activeCell="K8" sqref="K8:AQ466"/>
      <selection pane="topRight" activeCell="K8" sqref="K8:AQ466"/>
      <selection pane="bottomLeft" activeCell="K8" sqref="K8:AQ466"/>
      <selection pane="bottomRight" activeCell="K8" sqref="K8:AQ466"/>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636</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686</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686</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686</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SPD!I73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SPD!I74</f>
        <v>#REF!</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36"/>
      <c r="AI351" s="236"/>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36"/>
      <c r="AI352" s="236"/>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36"/>
      <c r="AI355" s="236"/>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236"/>
      <c r="AI356" s="236"/>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36"/>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36"/>
      <c r="AI360" s="236"/>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455"/>
      <c r="AI363" s="45"/>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455"/>
      <c r="AI364" s="455"/>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39"/>
      <c r="AL394" s="239"/>
      <c r="AM394" s="239"/>
      <c r="AN394" s="239"/>
      <c r="AO394" s="239"/>
      <c r="AP394" s="239"/>
      <c r="AQ394" s="239"/>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39"/>
      <c r="AL404" s="239"/>
      <c r="AM404" s="239"/>
      <c r="AN404" s="239"/>
      <c r="AO404" s="239"/>
      <c r="AP404" s="239"/>
      <c r="AQ404" s="239"/>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39"/>
      <c r="AL414" s="239"/>
      <c r="AM414" s="239"/>
      <c r="AN414" s="239"/>
      <c r="AO414" s="239"/>
      <c r="AP414" s="239"/>
      <c r="AQ414" s="239"/>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J417" s="329"/>
      <c r="AK417" s="329"/>
      <c r="AL417" s="329"/>
      <c r="AM417" s="329"/>
      <c r="AN417" s="329"/>
      <c r="AO417" s="329"/>
      <c r="AP417" s="329"/>
      <c r="AQ417" s="329"/>
    </row>
    <row r="418" spans="4:43" s="157" customFormat="1" ht="12.75">
      <c r="E418" s="157" t="str">
        <f>Input!E418</f>
        <v>Faults</v>
      </c>
      <c r="G418" s="157" t="s">
        <v>49</v>
      </c>
      <c r="AJ418" s="329"/>
      <c r="AK418" s="329"/>
      <c r="AL418" s="329"/>
      <c r="AM418" s="329"/>
      <c r="AN418" s="329"/>
      <c r="AO418" s="329"/>
      <c r="AP418" s="329"/>
      <c r="AQ418" s="329"/>
    </row>
    <row r="419" spans="4:43" s="157" customFormat="1" ht="12.75">
      <c r="E419" s="221" t="s">
        <v>992</v>
      </c>
      <c r="G419" s="157" t="s">
        <v>49</v>
      </c>
      <c r="AJ419" s="329"/>
      <c r="AK419" s="329"/>
      <c r="AL419" s="329"/>
      <c r="AM419" s="329"/>
      <c r="AN419" s="329"/>
      <c r="AO419" s="329"/>
      <c r="AP419" s="329"/>
      <c r="AQ419" s="329"/>
    </row>
    <row r="420" spans="4:43" s="157" customFormat="1" ht="12.75">
      <c r="E420" s="157" t="str">
        <f>Input!E420</f>
        <v>100% ‘revenue pool’ expenditure</v>
      </c>
      <c r="G420" s="157" t="s">
        <v>49</v>
      </c>
      <c r="AJ420" s="329"/>
      <c r="AK420" s="329"/>
      <c r="AL420" s="329"/>
      <c r="AM420" s="329"/>
      <c r="AN420" s="329"/>
      <c r="AO420" s="329"/>
      <c r="AP420" s="329"/>
      <c r="AQ420" s="329"/>
    </row>
    <row r="421" spans="4:43" s="157" customFormat="1" ht="12.75">
      <c r="E421" s="157" t="str">
        <f>Input!E421</f>
        <v>Controllable Opex</v>
      </c>
      <c r="G421" s="157" t="s">
        <v>49</v>
      </c>
      <c r="AJ421" s="329"/>
      <c r="AK421" s="329"/>
      <c r="AL421" s="329"/>
      <c r="AM421" s="329"/>
      <c r="AN421" s="329"/>
      <c r="AO421" s="329"/>
      <c r="AP421" s="329"/>
      <c r="AQ421" s="329"/>
    </row>
    <row r="422" spans="4:43" s="157" customFormat="1" ht="12.75">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418"/>
      <c r="AK436" s="418"/>
      <c r="AL436" s="418"/>
      <c r="AM436" s="418"/>
      <c r="AN436" s="418"/>
      <c r="AO436" s="418"/>
      <c r="AP436" s="418"/>
      <c r="AQ436" s="418"/>
    </row>
    <row r="437" spans="1:43" ht="15" customHeight="1">
      <c r="A437" s="400"/>
      <c r="E437" s="149" t="s">
        <v>579</v>
      </c>
      <c r="G437" s="149" t="s">
        <v>844</v>
      </c>
      <c r="H437" s="362"/>
      <c r="AJ437" s="418"/>
      <c r="AK437" s="418"/>
      <c r="AL437" s="418"/>
      <c r="AM437" s="418"/>
      <c r="AN437" s="418"/>
      <c r="AO437" s="418"/>
      <c r="AP437" s="418"/>
      <c r="AQ437" s="418"/>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row r="468" spans="5:43" ht="15" customHeight="1">
      <c r="E468" s="498"/>
      <c r="F468" s="498"/>
      <c r="G468" s="498"/>
      <c r="H468" s="498"/>
      <c r="I468" s="498"/>
      <c r="J468" s="498"/>
      <c r="K468" s="498"/>
      <c r="L468" s="498"/>
      <c r="M468" s="498"/>
      <c r="N468" s="498"/>
      <c r="O468" s="498"/>
      <c r="P468" s="498"/>
      <c r="Q468" s="498"/>
      <c r="R468" s="498"/>
      <c r="S468" s="498"/>
      <c r="T468" s="498"/>
      <c r="U468" s="498"/>
      <c r="V468" s="498"/>
      <c r="W468" s="498"/>
      <c r="X468" s="498"/>
      <c r="Y468" s="498"/>
      <c r="Z468" s="498"/>
      <c r="AA468" s="498"/>
      <c r="AB468" s="498"/>
      <c r="AC468" s="498"/>
      <c r="AD468" s="498"/>
      <c r="AE468" s="498"/>
      <c r="AF468" s="498"/>
      <c r="AG468" s="498"/>
      <c r="AH468" s="498"/>
      <c r="AI468" s="498"/>
      <c r="AJ468" s="498"/>
      <c r="AK468" s="498"/>
      <c r="AL468" s="498"/>
      <c r="AM468" s="498"/>
      <c r="AN468" s="498"/>
      <c r="AO468" s="498"/>
      <c r="AP468" s="498"/>
      <c r="AQ468" s="498"/>
    </row>
    <row r="469" spans="5:43" ht="15" customHeight="1">
      <c r="E469" s="498"/>
      <c r="F469" s="498"/>
      <c r="G469" s="498"/>
      <c r="H469" s="498"/>
      <c r="I469" s="498"/>
      <c r="J469" s="498"/>
      <c r="K469" s="498"/>
      <c r="L469" s="498"/>
      <c r="M469" s="498"/>
      <c r="N469" s="498"/>
      <c r="O469" s="498"/>
      <c r="P469" s="498"/>
      <c r="Q469" s="498"/>
      <c r="R469" s="498"/>
      <c r="S469" s="498"/>
      <c r="T469" s="498"/>
      <c r="U469" s="498"/>
      <c r="V469" s="498"/>
      <c r="W469" s="498"/>
      <c r="X469" s="498"/>
      <c r="Y469" s="498"/>
      <c r="Z469" s="498"/>
      <c r="AA469" s="498"/>
      <c r="AB469" s="498"/>
      <c r="AC469" s="498"/>
      <c r="AD469" s="498"/>
      <c r="AE469" s="498"/>
      <c r="AF469" s="498"/>
      <c r="AG469" s="498"/>
      <c r="AH469" s="498"/>
      <c r="AI469" s="498"/>
      <c r="AJ469" s="498"/>
      <c r="AK469" s="498"/>
      <c r="AL469" s="498"/>
      <c r="AM469" s="498"/>
      <c r="AN469" s="498"/>
      <c r="AO469" s="498"/>
      <c r="AP469" s="498"/>
      <c r="AQ469" s="498"/>
    </row>
    <row r="470" spans="5:43" ht="15" customHeight="1">
      <c r="E470" s="498"/>
      <c r="F470" s="498"/>
      <c r="G470" s="498"/>
      <c r="H470" s="498"/>
      <c r="I470" s="498"/>
      <c r="J470" s="498"/>
      <c r="K470" s="498"/>
      <c r="L470" s="498"/>
      <c r="M470" s="498"/>
      <c r="N470" s="498"/>
      <c r="O470" s="498"/>
      <c r="P470" s="498"/>
      <c r="Q470" s="498"/>
      <c r="R470" s="498"/>
      <c r="S470" s="498"/>
      <c r="T470" s="498"/>
      <c r="U470" s="498"/>
      <c r="V470" s="498"/>
      <c r="W470" s="498"/>
      <c r="X470" s="498"/>
      <c r="Y470" s="498"/>
      <c r="Z470" s="498"/>
      <c r="AA470" s="498"/>
      <c r="AB470" s="498"/>
      <c r="AC470" s="498"/>
      <c r="AD470" s="498"/>
      <c r="AE470" s="498"/>
      <c r="AF470" s="498"/>
      <c r="AG470" s="498"/>
      <c r="AH470" s="498"/>
      <c r="AI470" s="498"/>
      <c r="AJ470" s="498"/>
      <c r="AK470" s="498"/>
      <c r="AL470" s="498"/>
      <c r="AM470" s="498"/>
      <c r="AN470" s="498"/>
      <c r="AO470" s="498"/>
      <c r="AP470" s="498"/>
      <c r="AQ470" s="498"/>
    </row>
    <row r="471" spans="5:43" ht="15" customHeight="1">
      <c r="E471" s="498"/>
      <c r="F471" s="498"/>
      <c r="G471" s="498"/>
      <c r="H471" s="498"/>
      <c r="I471" s="498"/>
      <c r="J471" s="498"/>
      <c r="K471" s="498"/>
      <c r="L471" s="498"/>
      <c r="M471" s="498"/>
      <c r="N471" s="498"/>
      <c r="O471" s="498"/>
      <c r="P471" s="498"/>
      <c r="Q471" s="498"/>
      <c r="R471" s="498"/>
      <c r="S471" s="498"/>
      <c r="T471" s="498"/>
      <c r="U471" s="498"/>
      <c r="V471" s="498"/>
      <c r="W471" s="498"/>
      <c r="X471" s="498"/>
      <c r="Y471" s="498"/>
      <c r="Z471" s="498"/>
      <c r="AA471" s="498"/>
      <c r="AB471" s="498"/>
      <c r="AC471" s="498"/>
      <c r="AD471" s="498"/>
      <c r="AE471" s="498"/>
      <c r="AF471" s="498"/>
      <c r="AG471" s="498"/>
      <c r="AH471" s="498"/>
      <c r="AI471" s="498"/>
      <c r="AJ471" s="498"/>
      <c r="AK471" s="498"/>
      <c r="AL471" s="498"/>
      <c r="AM471" s="498"/>
      <c r="AN471" s="498"/>
      <c r="AO471" s="498"/>
      <c r="AP471" s="498"/>
      <c r="AQ471" s="498"/>
    </row>
    <row r="472" spans="5:43" ht="15" customHeight="1">
      <c r="E472" s="498"/>
      <c r="F472" s="498"/>
      <c r="G472" s="498"/>
      <c r="H472" s="498"/>
      <c r="I472" s="498"/>
      <c r="J472" s="498"/>
      <c r="K472" s="498"/>
      <c r="L472" s="498"/>
      <c r="M472" s="498"/>
      <c r="N472" s="498"/>
      <c r="O472" s="498"/>
      <c r="P472" s="498"/>
      <c r="Q472" s="498"/>
      <c r="R472" s="498"/>
      <c r="S472" s="498"/>
      <c r="T472" s="498"/>
      <c r="U472" s="498"/>
      <c r="V472" s="498"/>
      <c r="W472" s="498"/>
      <c r="X472" s="498"/>
      <c r="Y472" s="498"/>
      <c r="Z472" s="498"/>
      <c r="AA472" s="498"/>
      <c r="AB472" s="498"/>
      <c r="AC472" s="498"/>
      <c r="AD472" s="498"/>
      <c r="AE472" s="498"/>
      <c r="AF472" s="498"/>
      <c r="AG472" s="498"/>
      <c r="AH472" s="498"/>
      <c r="AI472" s="498"/>
      <c r="AJ472" s="498"/>
      <c r="AK472" s="498"/>
      <c r="AL472" s="498"/>
      <c r="AM472" s="498"/>
      <c r="AN472" s="498"/>
      <c r="AO472" s="498"/>
      <c r="AP472" s="498"/>
      <c r="AQ472" s="498"/>
    </row>
    <row r="473" spans="5:43" ht="15" customHeight="1">
      <c r="E473" s="498"/>
      <c r="F473" s="498"/>
      <c r="G473" s="498"/>
      <c r="H473" s="498"/>
      <c r="I473" s="498"/>
      <c r="J473" s="498"/>
      <c r="K473" s="498"/>
      <c r="L473" s="498"/>
      <c r="M473" s="498"/>
      <c r="N473" s="498"/>
      <c r="O473" s="498"/>
      <c r="P473" s="498"/>
      <c r="Q473" s="498"/>
      <c r="R473" s="498"/>
      <c r="S473" s="498"/>
      <c r="T473" s="498"/>
      <c r="U473" s="498"/>
      <c r="V473" s="498"/>
      <c r="W473" s="498"/>
      <c r="X473" s="498"/>
      <c r="Y473" s="498"/>
      <c r="Z473" s="498"/>
      <c r="AA473" s="498"/>
      <c r="AB473" s="498"/>
      <c r="AC473" s="498"/>
      <c r="AD473" s="498"/>
      <c r="AE473" s="498"/>
      <c r="AF473" s="498"/>
      <c r="AG473" s="498"/>
      <c r="AH473" s="498"/>
      <c r="AI473" s="498"/>
      <c r="AJ473" s="498"/>
      <c r="AK473" s="498"/>
      <c r="AL473" s="498"/>
      <c r="AM473" s="498"/>
      <c r="AN473" s="498"/>
      <c r="AO473" s="498"/>
      <c r="AP473" s="498"/>
      <c r="AQ473" s="498"/>
    </row>
    <row r="474" spans="5:43" ht="15" customHeight="1">
      <c r="E474" s="498"/>
      <c r="F474" s="498"/>
      <c r="G474" s="498"/>
      <c r="H474" s="498"/>
      <c r="I474" s="498"/>
      <c r="J474" s="498"/>
      <c r="K474" s="498"/>
      <c r="L474" s="498"/>
      <c r="M474" s="498"/>
      <c r="N474" s="498"/>
      <c r="O474" s="498"/>
      <c r="P474" s="498"/>
      <c r="Q474" s="498"/>
      <c r="R474" s="498"/>
      <c r="S474" s="498"/>
      <c r="T474" s="498"/>
      <c r="U474" s="498"/>
      <c r="V474" s="498"/>
      <c r="W474" s="498"/>
      <c r="X474" s="498"/>
      <c r="Y474" s="498"/>
      <c r="Z474" s="498"/>
      <c r="AA474" s="498"/>
      <c r="AB474" s="498"/>
      <c r="AC474" s="498"/>
      <c r="AD474" s="498"/>
      <c r="AE474" s="498"/>
      <c r="AF474" s="498"/>
      <c r="AG474" s="498"/>
      <c r="AH474" s="498"/>
      <c r="AI474" s="498"/>
      <c r="AJ474" s="498"/>
      <c r="AK474" s="498"/>
      <c r="AL474" s="498"/>
      <c r="AM474" s="498"/>
      <c r="AN474" s="498"/>
      <c r="AO474" s="498"/>
      <c r="AP474" s="498"/>
      <c r="AQ474" s="498"/>
    </row>
    <row r="475" spans="5:43" ht="15" customHeight="1">
      <c r="E475" s="498"/>
      <c r="F475" s="498"/>
      <c r="G475" s="498"/>
      <c r="H475" s="498"/>
      <c r="I475" s="498"/>
      <c r="J475" s="498"/>
      <c r="K475" s="498"/>
      <c r="L475" s="498"/>
      <c r="M475" s="498"/>
      <c r="N475" s="498"/>
      <c r="O475" s="498"/>
      <c r="P475" s="498"/>
      <c r="Q475" s="498"/>
      <c r="R475" s="498"/>
      <c r="S475" s="498"/>
      <c r="T475" s="498"/>
      <c r="U475" s="498"/>
      <c r="V475" s="498"/>
      <c r="W475" s="498"/>
      <c r="X475" s="498"/>
      <c r="Y475" s="498"/>
      <c r="Z475" s="498"/>
      <c r="AA475" s="498"/>
      <c r="AB475" s="498"/>
      <c r="AC475" s="498"/>
      <c r="AD475" s="498"/>
      <c r="AE475" s="498"/>
      <c r="AF475" s="498"/>
      <c r="AG475" s="498"/>
      <c r="AH475" s="498"/>
      <c r="AI475" s="498"/>
      <c r="AJ475" s="498"/>
      <c r="AK475" s="498"/>
      <c r="AL475" s="498"/>
      <c r="AM475" s="498"/>
      <c r="AN475" s="498"/>
      <c r="AO475" s="498"/>
      <c r="AP475" s="498"/>
      <c r="AQ475" s="498"/>
    </row>
    <row r="476" spans="5:43" ht="15" customHeight="1">
      <c r="E476" s="498"/>
      <c r="F476" s="498"/>
      <c r="G476" s="498"/>
      <c r="H476" s="498"/>
      <c r="I476" s="498"/>
      <c r="J476" s="498"/>
      <c r="K476" s="498"/>
      <c r="L476" s="498"/>
      <c r="M476" s="498"/>
      <c r="N476" s="498"/>
      <c r="O476" s="498"/>
      <c r="P476" s="498"/>
      <c r="Q476" s="498"/>
      <c r="R476" s="498"/>
      <c r="S476" s="498"/>
      <c r="T476" s="498"/>
      <c r="U476" s="498"/>
      <c r="V476" s="498"/>
      <c r="W476" s="498"/>
      <c r="X476" s="498"/>
      <c r="Y476" s="498"/>
      <c r="Z476" s="498"/>
      <c r="AA476" s="498"/>
      <c r="AB476" s="498"/>
      <c r="AC476" s="498"/>
      <c r="AD476" s="498"/>
      <c r="AE476" s="498"/>
      <c r="AF476" s="498"/>
      <c r="AG476" s="498"/>
      <c r="AH476" s="498"/>
      <c r="AI476" s="498"/>
      <c r="AJ476" s="498"/>
      <c r="AK476" s="498"/>
      <c r="AL476" s="498"/>
      <c r="AM476" s="498"/>
      <c r="AN476" s="498"/>
      <c r="AO476" s="498"/>
      <c r="AP476" s="498"/>
      <c r="AQ476" s="498"/>
    </row>
    <row r="477" spans="5:43" ht="15" customHeight="1">
      <c r="E477" s="498"/>
      <c r="F477" s="498"/>
      <c r="G477" s="498"/>
      <c r="H477" s="498"/>
      <c r="I477" s="498"/>
      <c r="J477" s="498"/>
      <c r="K477" s="498"/>
      <c r="L477" s="498"/>
      <c r="M477" s="498"/>
      <c r="N477" s="498"/>
      <c r="O477" s="498"/>
      <c r="P477" s="498"/>
      <c r="Q477" s="498"/>
      <c r="R477" s="498"/>
      <c r="S477" s="498"/>
      <c r="T477" s="498"/>
      <c r="U477" s="498"/>
      <c r="V477" s="498"/>
      <c r="W477" s="498"/>
      <c r="X477" s="498"/>
      <c r="Y477" s="498"/>
      <c r="Z477" s="498"/>
      <c r="AA477" s="498"/>
      <c r="AB477" s="498"/>
      <c r="AC477" s="498"/>
      <c r="AD477" s="498"/>
      <c r="AE477" s="498"/>
      <c r="AF477" s="498"/>
      <c r="AG477" s="498"/>
      <c r="AH477" s="498"/>
      <c r="AI477" s="498"/>
      <c r="AJ477" s="498"/>
      <c r="AK477" s="498"/>
      <c r="AL477" s="498"/>
      <c r="AM477" s="498"/>
      <c r="AN477" s="498"/>
      <c r="AO477" s="498"/>
      <c r="AP477" s="498"/>
      <c r="AQ477" s="498"/>
    </row>
    <row r="478" spans="5:43" ht="15" customHeight="1">
      <c r="E478" s="498"/>
      <c r="F478" s="498"/>
      <c r="G478" s="498"/>
      <c r="H478" s="498"/>
      <c r="I478" s="498"/>
      <c r="J478" s="498"/>
      <c r="K478" s="498"/>
      <c r="L478" s="498"/>
      <c r="M478" s="498"/>
      <c r="N478" s="498"/>
      <c r="O478" s="498"/>
      <c r="P478" s="498"/>
      <c r="Q478" s="498"/>
      <c r="R478" s="498"/>
      <c r="S478" s="498"/>
      <c r="T478" s="498"/>
      <c r="U478" s="498"/>
      <c r="V478" s="498"/>
      <c r="W478" s="498"/>
      <c r="X478" s="498"/>
      <c r="Y478" s="498"/>
      <c r="Z478" s="498"/>
      <c r="AA478" s="498"/>
      <c r="AB478" s="498"/>
      <c r="AC478" s="498"/>
      <c r="AD478" s="498"/>
      <c r="AE478" s="498"/>
      <c r="AF478" s="498"/>
      <c r="AG478" s="498"/>
      <c r="AH478" s="498"/>
      <c r="AI478" s="498"/>
      <c r="AJ478" s="498"/>
      <c r="AK478" s="498"/>
      <c r="AL478" s="498"/>
      <c r="AM478" s="498"/>
      <c r="AN478" s="498"/>
      <c r="AO478" s="498"/>
      <c r="AP478" s="498"/>
      <c r="AQ478" s="498"/>
    </row>
    <row r="479" spans="5:43" ht="15" customHeight="1">
      <c r="E479" s="498"/>
      <c r="F479" s="498"/>
      <c r="G479" s="498"/>
      <c r="H479" s="498"/>
      <c r="I479" s="498"/>
      <c r="J479" s="498"/>
      <c r="K479" s="498"/>
      <c r="L479" s="498"/>
      <c r="M479" s="498"/>
      <c r="N479" s="498"/>
      <c r="O479" s="498"/>
      <c r="P479" s="498"/>
      <c r="Q479" s="498"/>
      <c r="R479" s="498"/>
      <c r="S479" s="498"/>
      <c r="T479" s="498"/>
      <c r="U479" s="498"/>
      <c r="V479" s="498"/>
      <c r="W479" s="498"/>
      <c r="X479" s="498"/>
      <c r="Y479" s="498"/>
      <c r="Z479" s="498"/>
      <c r="AA479" s="498"/>
      <c r="AB479" s="498"/>
      <c r="AC479" s="498"/>
      <c r="AD479" s="498"/>
      <c r="AE479" s="498"/>
      <c r="AF479" s="498"/>
      <c r="AG479" s="498"/>
      <c r="AH479" s="498"/>
      <c r="AI479" s="498"/>
      <c r="AJ479" s="498"/>
      <c r="AK479" s="498"/>
      <c r="AL479" s="498"/>
      <c r="AM479" s="498"/>
      <c r="AN479" s="498"/>
      <c r="AO479" s="498"/>
      <c r="AP479" s="498"/>
      <c r="AQ479" s="498"/>
    </row>
    <row r="480" spans="5:43" ht="15" customHeight="1">
      <c r="E480" s="498"/>
      <c r="F480" s="498"/>
      <c r="G480" s="498"/>
      <c r="H480" s="498"/>
      <c r="I480" s="498"/>
      <c r="J480" s="498"/>
      <c r="K480" s="498"/>
      <c r="L480" s="498"/>
      <c r="M480" s="498"/>
      <c r="N480" s="498"/>
      <c r="O480" s="498"/>
      <c r="P480" s="498"/>
      <c r="Q480" s="498"/>
      <c r="R480" s="498"/>
      <c r="S480" s="498"/>
      <c r="T480" s="498"/>
      <c r="U480" s="498"/>
      <c r="V480" s="498"/>
      <c r="W480" s="498"/>
      <c r="X480" s="498"/>
      <c r="Y480" s="498"/>
      <c r="Z480" s="498"/>
      <c r="AA480" s="498"/>
      <c r="AB480" s="498"/>
      <c r="AC480" s="498"/>
      <c r="AD480" s="498"/>
      <c r="AE480" s="498"/>
      <c r="AF480" s="498"/>
      <c r="AG480" s="498"/>
      <c r="AH480" s="498"/>
      <c r="AI480" s="498"/>
      <c r="AJ480" s="498"/>
      <c r="AK480" s="498"/>
      <c r="AL480" s="498"/>
      <c r="AM480" s="498"/>
      <c r="AN480" s="498"/>
      <c r="AO480" s="498"/>
      <c r="AP480" s="498"/>
      <c r="AQ480" s="498"/>
    </row>
    <row r="481" spans="5:43" ht="15" customHeight="1">
      <c r="E481" s="498"/>
      <c r="F481" s="498"/>
      <c r="G481" s="498"/>
      <c r="H481" s="498"/>
      <c r="I481" s="498"/>
      <c r="J481" s="498"/>
      <c r="K481" s="498"/>
      <c r="L481" s="498"/>
      <c r="M481" s="498"/>
      <c r="N481" s="498"/>
      <c r="O481" s="498"/>
      <c r="P481" s="498"/>
      <c r="Q481" s="498"/>
      <c r="R481" s="498"/>
      <c r="S481" s="498"/>
      <c r="T481" s="498"/>
      <c r="U481" s="498"/>
      <c r="V481" s="498"/>
      <c r="W481" s="498"/>
      <c r="X481" s="498"/>
      <c r="Y481" s="498"/>
      <c r="Z481" s="498"/>
      <c r="AA481" s="498"/>
      <c r="AB481" s="498"/>
      <c r="AC481" s="498"/>
      <c r="AD481" s="498"/>
      <c r="AE481" s="498"/>
      <c r="AF481" s="498"/>
      <c r="AG481" s="498"/>
      <c r="AH481" s="498"/>
      <c r="AI481" s="498"/>
      <c r="AJ481" s="498"/>
      <c r="AK481" s="498"/>
      <c r="AL481" s="498"/>
      <c r="AM481" s="498"/>
      <c r="AN481" s="498"/>
      <c r="AO481" s="498"/>
      <c r="AP481" s="498"/>
      <c r="AQ481" s="498"/>
    </row>
    <row r="482" spans="5:43" ht="15" customHeight="1">
      <c r="E482" s="498"/>
      <c r="F482" s="498"/>
      <c r="G482" s="498"/>
      <c r="H482" s="498"/>
      <c r="I482" s="498"/>
      <c r="J482" s="498"/>
      <c r="K482" s="498"/>
      <c r="L482" s="498"/>
      <c r="M482" s="498"/>
      <c r="N482" s="498"/>
      <c r="O482" s="498"/>
      <c r="P482" s="498"/>
      <c r="Q482" s="498"/>
      <c r="R482" s="498"/>
      <c r="S482" s="498"/>
      <c r="T482" s="498"/>
      <c r="U482" s="498"/>
      <c r="V482" s="498"/>
      <c r="W482" s="498"/>
      <c r="X482" s="498"/>
      <c r="Y482" s="498"/>
      <c r="Z482" s="498"/>
      <c r="AA482" s="498"/>
      <c r="AB482" s="498"/>
      <c r="AC482" s="498"/>
      <c r="AD482" s="498"/>
      <c r="AE482" s="498"/>
      <c r="AF482" s="498"/>
      <c r="AG482" s="498"/>
      <c r="AH482" s="498"/>
      <c r="AI482" s="498"/>
      <c r="AJ482" s="498"/>
      <c r="AK482" s="498"/>
      <c r="AL482" s="498"/>
      <c r="AM482" s="498"/>
      <c r="AN482" s="498"/>
      <c r="AO482" s="498"/>
      <c r="AP482" s="498"/>
      <c r="AQ482" s="498"/>
    </row>
    <row r="483" spans="5:43" ht="15" customHeight="1">
      <c r="E483" s="498"/>
      <c r="F483" s="498"/>
      <c r="G483" s="498"/>
      <c r="H483" s="498"/>
      <c r="I483" s="498"/>
      <c r="J483" s="498"/>
      <c r="K483" s="498"/>
      <c r="L483" s="498"/>
      <c r="M483" s="498"/>
      <c r="N483" s="498"/>
      <c r="O483" s="498"/>
      <c r="P483" s="498"/>
      <c r="Q483" s="498"/>
      <c r="R483" s="498"/>
      <c r="S483" s="498"/>
      <c r="T483" s="498"/>
      <c r="U483" s="498"/>
      <c r="V483" s="498"/>
      <c r="W483" s="498"/>
      <c r="X483" s="498"/>
      <c r="Y483" s="498"/>
      <c r="Z483" s="498"/>
      <c r="AA483" s="498"/>
      <c r="AB483" s="498"/>
      <c r="AC483" s="498"/>
      <c r="AD483" s="498"/>
      <c r="AE483" s="498"/>
      <c r="AF483" s="498"/>
      <c r="AG483" s="498"/>
      <c r="AH483" s="498"/>
      <c r="AI483" s="498"/>
      <c r="AJ483" s="498"/>
      <c r="AK483" s="498"/>
      <c r="AL483" s="498"/>
      <c r="AM483" s="498"/>
      <c r="AN483" s="498"/>
      <c r="AO483" s="498"/>
      <c r="AP483" s="498"/>
      <c r="AQ483" s="498"/>
    </row>
    <row r="484" spans="5:43" ht="15" customHeight="1">
      <c r="E484" s="557"/>
      <c r="F484" s="498"/>
      <c r="G484" s="498"/>
      <c r="H484" s="498"/>
      <c r="I484" s="498"/>
      <c r="J484" s="498"/>
      <c r="K484" s="498"/>
      <c r="L484" s="498"/>
      <c r="M484" s="498"/>
      <c r="N484" s="498"/>
      <c r="O484" s="498"/>
      <c r="P484" s="498"/>
      <c r="Q484" s="498"/>
      <c r="R484" s="498"/>
      <c r="S484" s="498"/>
      <c r="T484" s="498"/>
      <c r="U484" s="498"/>
      <c r="V484" s="498"/>
      <c r="W484" s="498"/>
      <c r="X484" s="498"/>
      <c r="Y484" s="498"/>
      <c r="Z484" s="498"/>
      <c r="AA484" s="498"/>
      <c r="AB484" s="498"/>
      <c r="AC484" s="498"/>
      <c r="AD484" s="498"/>
      <c r="AE484" s="498"/>
      <c r="AF484" s="498"/>
      <c r="AG484" s="498"/>
      <c r="AH484" s="498"/>
      <c r="AI484" s="498"/>
      <c r="AJ484" s="528"/>
      <c r="AK484" s="528"/>
      <c r="AL484" s="528"/>
      <c r="AM484" s="528"/>
      <c r="AN484" s="528"/>
      <c r="AO484" s="528"/>
      <c r="AP484" s="528"/>
      <c r="AQ484" s="528"/>
    </row>
    <row r="485" spans="5:43" ht="15" customHeight="1">
      <c r="E485" s="557"/>
      <c r="F485" s="498"/>
      <c r="G485" s="498"/>
      <c r="H485" s="498"/>
      <c r="I485" s="498"/>
      <c r="J485" s="498"/>
      <c r="K485" s="498"/>
      <c r="L485" s="498"/>
      <c r="M485" s="498"/>
      <c r="N485" s="498"/>
      <c r="O485" s="498"/>
      <c r="P485" s="498"/>
      <c r="Q485" s="498"/>
      <c r="R485" s="498"/>
      <c r="S485" s="498"/>
      <c r="T485" s="498"/>
      <c r="U485" s="498"/>
      <c r="V485" s="498"/>
      <c r="W485" s="498"/>
      <c r="X485" s="498"/>
      <c r="Y485" s="498"/>
      <c r="Z485" s="498"/>
      <c r="AA485" s="498"/>
      <c r="AB485" s="498"/>
      <c r="AC485" s="498"/>
      <c r="AD485" s="498"/>
      <c r="AE485" s="498"/>
      <c r="AF485" s="498"/>
      <c r="AG485" s="498"/>
      <c r="AH485" s="498"/>
      <c r="AI485" s="498"/>
      <c r="AJ485" s="528"/>
      <c r="AK485" s="528"/>
      <c r="AL485" s="528"/>
      <c r="AM485" s="528"/>
      <c r="AN485" s="528"/>
      <c r="AO485" s="528"/>
      <c r="AP485" s="528"/>
      <c r="AQ485" s="528"/>
    </row>
    <row r="486" spans="5:43" ht="15" customHeight="1">
      <c r="E486" s="557"/>
      <c r="F486" s="498"/>
      <c r="G486" s="498"/>
      <c r="H486" s="498"/>
      <c r="I486" s="498"/>
      <c r="J486" s="498"/>
      <c r="K486" s="498"/>
      <c r="L486" s="498"/>
      <c r="M486" s="498"/>
      <c r="N486" s="498"/>
      <c r="O486" s="498"/>
      <c r="P486" s="498"/>
      <c r="Q486" s="498"/>
      <c r="R486" s="498"/>
      <c r="S486" s="498"/>
      <c r="T486" s="498"/>
      <c r="U486" s="498"/>
      <c r="V486" s="498"/>
      <c r="W486" s="498"/>
      <c r="X486" s="498"/>
      <c r="Y486" s="498"/>
      <c r="Z486" s="498"/>
      <c r="AA486" s="498"/>
      <c r="AB486" s="498"/>
      <c r="AC486" s="498"/>
      <c r="AD486" s="498"/>
      <c r="AE486" s="498"/>
      <c r="AF486" s="498"/>
      <c r="AG486" s="498"/>
      <c r="AH486" s="498"/>
      <c r="AI486" s="498"/>
      <c r="AJ486" s="528"/>
      <c r="AK486" s="528"/>
      <c r="AL486" s="528"/>
      <c r="AM486" s="528"/>
      <c r="AN486" s="528"/>
      <c r="AO486" s="528"/>
      <c r="AP486" s="528"/>
      <c r="AQ486" s="528"/>
    </row>
    <row r="487" spans="5:43" ht="15" customHeight="1">
      <c r="E487" s="557"/>
      <c r="F487" s="498"/>
      <c r="G487" s="498"/>
      <c r="H487" s="498"/>
      <c r="I487" s="498"/>
      <c r="J487" s="498"/>
      <c r="K487" s="498"/>
      <c r="L487" s="498"/>
      <c r="M487" s="498"/>
      <c r="N487" s="498"/>
      <c r="O487" s="498"/>
      <c r="P487" s="498"/>
      <c r="Q487" s="498"/>
      <c r="R487" s="498"/>
      <c r="S487" s="498"/>
      <c r="T487" s="498"/>
      <c r="U487" s="498"/>
      <c r="V487" s="498"/>
      <c r="W487" s="498"/>
      <c r="X487" s="498"/>
      <c r="Y487" s="498"/>
      <c r="Z487" s="498"/>
      <c r="AA487" s="498"/>
      <c r="AB487" s="498"/>
      <c r="AC487" s="498"/>
      <c r="AD487" s="498"/>
      <c r="AE487" s="498"/>
      <c r="AF487" s="498"/>
      <c r="AG487" s="498"/>
      <c r="AH487" s="498"/>
      <c r="AI487" s="498"/>
      <c r="AJ487" s="528"/>
      <c r="AK487" s="528"/>
      <c r="AL487" s="528"/>
      <c r="AM487" s="528"/>
      <c r="AN487" s="528"/>
      <c r="AO487" s="528"/>
      <c r="AP487" s="528"/>
      <c r="AQ487" s="528"/>
    </row>
    <row r="488" spans="5:43" ht="15" customHeight="1">
      <c r="E488" s="557"/>
      <c r="F488" s="498"/>
      <c r="G488" s="498"/>
      <c r="H488" s="498"/>
      <c r="I488" s="498"/>
      <c r="J488" s="498"/>
      <c r="K488" s="498"/>
      <c r="L488" s="498"/>
      <c r="M488" s="498"/>
      <c r="N488" s="498"/>
      <c r="O488" s="498"/>
      <c r="P488" s="498"/>
      <c r="Q488" s="498"/>
      <c r="R488" s="498"/>
      <c r="S488" s="498"/>
      <c r="T488" s="498"/>
      <c r="U488" s="498"/>
      <c r="V488" s="498"/>
      <c r="W488" s="498"/>
      <c r="X488" s="498"/>
      <c r="Y488" s="498"/>
      <c r="Z488" s="498"/>
      <c r="AA488" s="498"/>
      <c r="AB488" s="498"/>
      <c r="AC488" s="498"/>
      <c r="AD488" s="498"/>
      <c r="AE488" s="498"/>
      <c r="AF488" s="498"/>
      <c r="AG488" s="498"/>
      <c r="AH488" s="498"/>
      <c r="AI488" s="498"/>
      <c r="AJ488" s="528"/>
      <c r="AK488" s="528"/>
      <c r="AL488" s="528"/>
      <c r="AM488" s="528"/>
      <c r="AN488" s="528"/>
      <c r="AO488" s="528"/>
      <c r="AP488" s="528"/>
      <c r="AQ488" s="528"/>
    </row>
    <row r="489" spans="5:43" ht="15" customHeight="1">
      <c r="E489" s="557"/>
      <c r="F489" s="498"/>
      <c r="G489" s="498"/>
      <c r="H489" s="498"/>
      <c r="I489" s="498"/>
      <c r="J489" s="498"/>
      <c r="K489" s="498"/>
      <c r="L489" s="498"/>
      <c r="M489" s="498"/>
      <c r="N489" s="498"/>
      <c r="O489" s="498"/>
      <c r="P489" s="498"/>
      <c r="Q489" s="498"/>
      <c r="R489" s="498"/>
      <c r="S489" s="498"/>
      <c r="T489" s="498"/>
      <c r="U489" s="498"/>
      <c r="V489" s="498"/>
      <c r="W489" s="498"/>
      <c r="X489" s="498"/>
      <c r="Y489" s="498"/>
      <c r="Z489" s="498"/>
      <c r="AA489" s="498"/>
      <c r="AB489" s="498"/>
      <c r="AC489" s="498"/>
      <c r="AD489" s="498"/>
      <c r="AE489" s="498"/>
      <c r="AF489" s="498"/>
      <c r="AG489" s="498"/>
      <c r="AH489" s="498"/>
      <c r="AI489" s="498"/>
      <c r="AJ489" s="528"/>
      <c r="AK489" s="528"/>
      <c r="AL489" s="528"/>
      <c r="AM489" s="528"/>
      <c r="AN489" s="528"/>
      <c r="AO489" s="528"/>
      <c r="AP489" s="528"/>
      <c r="AQ489" s="528"/>
    </row>
    <row r="490" spans="5:43" ht="15" customHeight="1">
      <c r="E490" s="557"/>
      <c r="F490" s="498"/>
      <c r="G490" s="498"/>
      <c r="H490" s="498"/>
      <c r="I490" s="498"/>
      <c r="J490" s="498"/>
      <c r="K490" s="498"/>
      <c r="L490" s="498"/>
      <c r="M490" s="498"/>
      <c r="N490" s="498"/>
      <c r="O490" s="498"/>
      <c r="P490" s="498"/>
      <c r="Q490" s="498"/>
      <c r="R490" s="498"/>
      <c r="S490" s="498"/>
      <c r="T490" s="498"/>
      <c r="U490" s="498"/>
      <c r="V490" s="498"/>
      <c r="W490" s="498"/>
      <c r="X490" s="498"/>
      <c r="Y490" s="498"/>
      <c r="Z490" s="498"/>
      <c r="AA490" s="498"/>
      <c r="AB490" s="498"/>
      <c r="AC490" s="498"/>
      <c r="AD490" s="498"/>
      <c r="AE490" s="498"/>
      <c r="AF490" s="498"/>
      <c r="AG490" s="498"/>
      <c r="AH490" s="498"/>
      <c r="AI490" s="498"/>
      <c r="AJ490" s="528"/>
      <c r="AK490" s="528"/>
      <c r="AL490" s="528"/>
      <c r="AM490" s="528"/>
      <c r="AN490" s="528"/>
      <c r="AO490" s="528"/>
      <c r="AP490" s="528"/>
      <c r="AQ490" s="528"/>
    </row>
  </sheetData>
  <conditionalFormatting sqref="AJ426:AQ432">
    <cfRule type="cellIs" dxfId="5" priority="1" operator="lessThan">
      <formula>1</formula>
    </cfRule>
    <cfRule type="cellIs" dxfId="4"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5">
    <tabColor rgb="FF7030A0"/>
    <pageSetUpPr fitToPage="1"/>
  </sheetPr>
  <dimension ref="A1:AR464"/>
  <sheetViews>
    <sheetView zoomScale="70" zoomScaleNormal="70" workbookViewId="0">
      <pane xSplit="10" ySplit="7" topLeftCell="K8" activePane="bottomRight" state="frozen"/>
      <selection activeCell="K8" sqref="K8:AQ466"/>
      <selection pane="topRight" activeCell="K8" sqref="K8:AQ466"/>
      <selection pane="bottomLeft" activeCell="K8" sqref="K8:AQ466"/>
      <selection pane="bottomRight" activeCell="K8" sqref="K8:AQ466"/>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637</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687</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687</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687</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SSES!I73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SSES!I74</f>
        <v>#REF!</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20</v>
      </c>
    </row>
    <row r="318" spans="2:43" ht="15" customHeight="1">
      <c r="E318" s="25" t="str">
        <f>Input!E318</f>
        <v>Pre vesting asset depn in first year (mths)</v>
      </c>
      <c r="G318" s="149" t="s">
        <v>670</v>
      </c>
      <c r="I318" s="236">
        <v>12</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227"/>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27"/>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27"/>
      <c r="AI352" s="227"/>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27"/>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227"/>
      <c r="AI356" s="227"/>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27"/>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27"/>
      <c r="AI360" s="227"/>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227"/>
      <c r="AI363" s="157"/>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227"/>
      <c r="AI364" s="227"/>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c r="AK436" s="227"/>
      <c r="AL436" s="227"/>
      <c r="AM436" s="227"/>
      <c r="AN436" s="227"/>
      <c r="AO436" s="227"/>
      <c r="AP436" s="227"/>
      <c r="AQ436" s="227"/>
    </row>
    <row r="437" spans="1:43" ht="15" customHeight="1">
      <c r="A437" s="400"/>
      <c r="E437" s="149" t="s">
        <v>579</v>
      </c>
      <c r="G437" s="149" t="s">
        <v>844</v>
      </c>
      <c r="H437" s="362"/>
      <c r="AJ437" s="227"/>
      <c r="AK437" s="227"/>
      <c r="AL437" s="227"/>
      <c r="AM437" s="227"/>
      <c r="AN437" s="227"/>
      <c r="AO437" s="227"/>
      <c r="AP437" s="227"/>
      <c r="AQ437" s="227"/>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3" priority="1" operator="lessThan">
      <formula>1</formula>
    </cfRule>
    <cfRule type="cellIs" dxfId="2" priority="2" operator="greaterThan">
      <formula>1</formula>
    </cfRule>
  </conditionalFormatting>
  <pageMargins left="0.23622047244094491" right="0.23622047244094491" top="0.74803149606299213" bottom="0.74803149606299213" header="0.31496062992125984" footer="0.31496062992125984"/>
  <pageSetup paperSize="8" scale="29" fitToHeight="0" orientation="portrait" r:id="rId1"/>
  <headerFooter>
    <oddFooter>&amp;LDraft at &amp;D&amp;C&amp;P of &amp;N&amp;R"&amp;A" sheet</oddFooter>
  </headerFooter>
  <legacyDrawing r:id="rId2"/>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6">
    <tabColor rgb="FF7030A0"/>
    <pageSetUpPr fitToPage="1"/>
  </sheetPr>
  <dimension ref="A1:AR464"/>
  <sheetViews>
    <sheetView zoomScale="70" zoomScaleNormal="70" workbookViewId="0">
      <pane xSplit="10" ySplit="7" topLeftCell="K8" activePane="bottomRight" state="frozen"/>
      <selection activeCell="K8" sqref="K8:AQ466"/>
      <selection pane="topRight" activeCell="K8" sqref="K8:AQ466"/>
      <selection pane="bottomLeft" activeCell="K8" sqref="K8:AQ466"/>
      <selection pane="bottomRight" activeCell="R17" sqref="R17"/>
    </sheetView>
  </sheetViews>
  <sheetFormatPr defaultColWidth="9" defaultRowHeight="15" customHeight="1" outlineLevelCol="1"/>
  <cols>
    <col min="1" max="4" width="1.625" style="149" customWidth="1"/>
    <col min="5" max="5" width="73" style="149" customWidth="1"/>
    <col min="6" max="6" width="8.875" style="149" customWidth="1"/>
    <col min="7" max="7" width="12.625" style="149" customWidth="1"/>
    <col min="8" max="8" width="9.625" style="149" customWidth="1"/>
    <col min="9" max="9" width="10.625" style="149" customWidth="1"/>
    <col min="10" max="10" width="1.625" style="149" customWidth="1"/>
    <col min="11" max="35" width="10.625" style="149" customWidth="1" outlineLevel="1"/>
    <col min="36" max="42" width="10.625" style="149" customWidth="1"/>
    <col min="43" max="43" width="11" style="149" customWidth="1"/>
    <col min="44" max="44" width="1.625" style="149" customWidth="1"/>
    <col min="45" max="16384" width="9" style="149"/>
  </cols>
  <sheetData>
    <row r="1" spans="1:44" s="351" customFormat="1">
      <c r="A1" s="349" t="s">
        <v>78</v>
      </c>
      <c r="B1" s="10"/>
      <c r="C1" s="10"/>
      <c r="D1" s="10"/>
      <c r="E1" s="10"/>
      <c r="F1" s="10"/>
      <c r="G1" s="10"/>
      <c r="H1" s="10"/>
      <c r="I1" s="10"/>
      <c r="J1" s="350"/>
      <c r="K1" s="350"/>
      <c r="L1" s="350"/>
      <c r="M1" s="350"/>
      <c r="N1" s="350"/>
      <c r="O1" s="350"/>
      <c r="P1" s="350"/>
      <c r="Q1" s="350"/>
      <c r="R1" s="350"/>
      <c r="S1" s="350"/>
      <c r="T1" s="350"/>
      <c r="U1" s="350"/>
      <c r="V1" s="350"/>
      <c r="W1" s="350"/>
      <c r="X1" s="350"/>
      <c r="Y1" s="350"/>
      <c r="Z1" s="350"/>
      <c r="AA1" s="10"/>
      <c r="AB1" s="10"/>
      <c r="AC1" s="10"/>
      <c r="AD1" s="10"/>
      <c r="AE1" s="10"/>
      <c r="AF1" s="10"/>
      <c r="AG1" s="10"/>
      <c r="AH1" s="10"/>
      <c r="AI1" s="10"/>
      <c r="AJ1" s="10"/>
      <c r="AK1" s="10"/>
      <c r="AL1" s="10"/>
      <c r="AM1" s="10"/>
      <c r="AN1" s="10"/>
      <c r="AO1" s="10"/>
      <c r="AP1" s="10"/>
      <c r="AQ1" s="10"/>
    </row>
    <row r="2" spans="1:44" s="351" customFormat="1" ht="15" customHeight="1">
      <c r="A2" s="10"/>
      <c r="B2" s="10" t="s">
        <v>638</v>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s="351" customFormat="1" ht="15" customHeight="1">
      <c r="A3" s="10"/>
      <c r="B3" s="10" t="s">
        <v>688</v>
      </c>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44" s="351" customFormat="1" ht="15" customHeight="1">
      <c r="A4" s="10"/>
      <c r="B4" s="10" t="s">
        <v>688</v>
      </c>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row>
    <row r="5" spans="1:44" s="351" customFormat="1" ht="15" customHeight="1">
      <c r="A5" s="10"/>
      <c r="B5" s="10" t="s">
        <v>688</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row>
    <row r="6" spans="1:44" s="351" customFormat="1" ht="15" customHeight="1">
      <c r="A6" s="10"/>
      <c r="C6" s="10"/>
      <c r="D6" s="10"/>
      <c r="E6" s="9" t="s">
        <v>44</v>
      </c>
      <c r="F6" s="9" t="s">
        <v>554</v>
      </c>
      <c r="G6" s="9" t="s">
        <v>40</v>
      </c>
      <c r="H6" s="9" t="s">
        <v>555</v>
      </c>
      <c r="I6" s="9" t="s">
        <v>43</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9" t="s">
        <v>41</v>
      </c>
      <c r="AK6" s="10"/>
      <c r="AL6" s="10"/>
      <c r="AM6" s="10"/>
      <c r="AN6" s="10"/>
      <c r="AO6" s="10"/>
      <c r="AP6" s="10"/>
      <c r="AQ6" s="10"/>
      <c r="AR6" s="10"/>
    </row>
    <row r="7" spans="1:44" s="351" customFormat="1" ht="15" customHeight="1">
      <c r="A7" s="10"/>
      <c r="B7" s="10"/>
      <c r="C7" s="10"/>
      <c r="D7" s="10"/>
      <c r="E7" s="10" t="s">
        <v>236</v>
      </c>
      <c r="F7" s="10" t="str">
        <f ca="1">Cover!C3</f>
        <v>UKPN_PCFM_Model_2014.xlsm</v>
      </c>
      <c r="G7" s="7"/>
      <c r="H7" s="7"/>
      <c r="I7" s="352">
        <f>UserInterface!$G$17</f>
        <v>42460</v>
      </c>
      <c r="J7" s="7"/>
      <c r="K7" s="352">
        <v>33328</v>
      </c>
      <c r="L7" s="352">
        <v>33694</v>
      </c>
      <c r="M7" s="352">
        <v>34059</v>
      </c>
      <c r="N7" s="352">
        <v>34424</v>
      </c>
      <c r="O7" s="352">
        <v>34789</v>
      </c>
      <c r="P7" s="352">
        <v>35155</v>
      </c>
      <c r="Q7" s="352">
        <v>35520</v>
      </c>
      <c r="R7" s="352">
        <v>35885</v>
      </c>
      <c r="S7" s="352">
        <v>36250</v>
      </c>
      <c r="T7" s="352">
        <v>36616</v>
      </c>
      <c r="U7" s="352">
        <v>36981</v>
      </c>
      <c r="V7" s="352">
        <v>37346</v>
      </c>
      <c r="W7" s="352">
        <v>37711</v>
      </c>
      <c r="X7" s="352">
        <v>38077</v>
      </c>
      <c r="Y7" s="352">
        <v>38442</v>
      </c>
      <c r="Z7" s="352">
        <v>38807</v>
      </c>
      <c r="AA7" s="352">
        <v>39172</v>
      </c>
      <c r="AB7" s="352">
        <v>39538</v>
      </c>
      <c r="AC7" s="352">
        <v>39903</v>
      </c>
      <c r="AD7" s="352">
        <v>40268</v>
      </c>
      <c r="AE7" s="352">
        <v>40633</v>
      </c>
      <c r="AF7" s="352">
        <v>40999</v>
      </c>
      <c r="AG7" s="352">
        <v>41364</v>
      </c>
      <c r="AH7" s="352">
        <v>41729</v>
      </c>
      <c r="AI7" s="352">
        <v>42094</v>
      </c>
      <c r="AJ7" s="352">
        <v>42460</v>
      </c>
      <c r="AK7" s="352">
        <v>42825</v>
      </c>
      <c r="AL7" s="352">
        <v>43190</v>
      </c>
      <c r="AM7" s="352">
        <v>43555</v>
      </c>
      <c r="AN7" s="352">
        <v>43921</v>
      </c>
      <c r="AO7" s="352">
        <v>44286</v>
      </c>
      <c r="AP7" s="352">
        <v>44651</v>
      </c>
      <c r="AQ7" s="352">
        <v>45016</v>
      </c>
      <c r="AR7" s="10"/>
    </row>
    <row r="9" spans="1:44" ht="15" customHeight="1">
      <c r="B9" s="334" t="s">
        <v>424</v>
      </c>
      <c r="C9" s="334"/>
      <c r="D9" s="334"/>
      <c r="E9" s="334"/>
      <c r="F9" s="334"/>
      <c r="G9" s="334"/>
      <c r="H9" s="334"/>
      <c r="I9" s="334"/>
      <c r="J9" s="334"/>
      <c r="K9" s="334"/>
      <c r="L9" s="334"/>
      <c r="M9" s="334"/>
      <c r="N9" s="334"/>
      <c r="O9" s="334"/>
      <c r="P9" s="334"/>
      <c r="Q9" s="334"/>
      <c r="R9" s="334"/>
      <c r="S9" s="334"/>
      <c r="T9" s="334"/>
      <c r="U9" s="334"/>
      <c r="V9" s="334"/>
      <c r="W9" s="334"/>
      <c r="X9" s="334"/>
      <c r="Y9" s="334"/>
      <c r="Z9" s="334"/>
      <c r="AA9" s="334"/>
      <c r="AB9" s="334"/>
      <c r="AC9" s="334"/>
      <c r="AD9" s="334"/>
      <c r="AE9" s="334"/>
      <c r="AF9" s="334"/>
      <c r="AG9" s="334"/>
      <c r="AH9" s="334"/>
      <c r="AI9" s="334"/>
      <c r="AJ9" s="334"/>
      <c r="AK9" s="334"/>
      <c r="AL9" s="334"/>
      <c r="AM9" s="334"/>
      <c r="AN9" s="334"/>
      <c r="AO9" s="334"/>
      <c r="AP9" s="334"/>
      <c r="AQ9" s="334"/>
    </row>
    <row r="11" spans="1:44" ht="15" customHeight="1">
      <c r="E11" s="157" t="str">
        <f>Input!E11</f>
        <v xml:space="preserve">Allowed percentage cost of corporate debt                                                                                                                         </v>
      </c>
      <c r="F11" s="157" t="str">
        <f>Input!F11</f>
        <v xml:space="preserve">CRC3C </v>
      </c>
      <c r="G11" s="157" t="str">
        <f>Input!G11</f>
        <v>annual real %</v>
      </c>
      <c r="H11" s="157" t="str">
        <f>Input!H11</f>
        <v>CDE  </v>
      </c>
      <c r="AJ11" s="230"/>
      <c r="AK11" s="230"/>
      <c r="AL11" s="230"/>
      <c r="AM11" s="230"/>
      <c r="AN11" s="230"/>
      <c r="AO11" s="230"/>
      <c r="AP11" s="230"/>
      <c r="AQ11" s="230"/>
    </row>
    <row r="12" spans="1:44" ht="15" customHeight="1">
      <c r="E12" s="157" t="str">
        <f>Input!E12</f>
        <v>Actual load related capex</v>
      </c>
      <c r="F12" s="157" t="str">
        <f>Input!F12</f>
        <v>CRC3B</v>
      </c>
      <c r="G12" s="157" t="str">
        <f>Input!G12</f>
        <v>£m 12/13 prices</v>
      </c>
      <c r="H12" s="157" t="str">
        <f>Input!H12</f>
        <v>ALC</v>
      </c>
      <c r="AJ12" s="224"/>
      <c r="AK12" s="224"/>
      <c r="AL12" s="224"/>
      <c r="AM12" s="224"/>
      <c r="AN12" s="224"/>
      <c r="AO12" s="224"/>
      <c r="AP12" s="224"/>
      <c r="AQ12" s="224"/>
    </row>
    <row r="13" spans="1:44" ht="15" customHeight="1">
      <c r="E13" s="157" t="str">
        <f>Input!E13</f>
        <v>Actual non-load related capex - asset replacement</v>
      </c>
      <c r="F13" s="157" t="str">
        <f>Input!F13</f>
        <v>CRC3B</v>
      </c>
      <c r="G13" s="157" t="str">
        <f>Input!G13</f>
        <v>£m 12/13 prices</v>
      </c>
      <c r="H13" s="157" t="str">
        <f>Input!H13</f>
        <v>ARE</v>
      </c>
      <c r="AJ13" s="224"/>
      <c r="AK13" s="224"/>
      <c r="AL13" s="224"/>
      <c r="AM13" s="224"/>
      <c r="AN13" s="224"/>
      <c r="AO13" s="224"/>
      <c r="AP13" s="224"/>
      <c r="AQ13" s="224"/>
    </row>
    <row r="14" spans="1:44" ht="15" customHeight="1">
      <c r="E14" s="157" t="str">
        <f>Input!E14</f>
        <v>Actual non-load related capex - other</v>
      </c>
      <c r="F14" s="157" t="str">
        <f>Input!F14</f>
        <v>CRC3B</v>
      </c>
      <c r="G14" s="157" t="str">
        <f>Input!G14</f>
        <v>£m 12/13 prices</v>
      </c>
      <c r="H14" s="157" t="str">
        <f>Input!H14</f>
        <v>AOC</v>
      </c>
      <c r="AJ14" s="224"/>
      <c r="AK14" s="224"/>
      <c r="AL14" s="224"/>
      <c r="AM14" s="224"/>
      <c r="AN14" s="224"/>
      <c r="AO14" s="224"/>
      <c r="AP14" s="224"/>
      <c r="AQ14" s="224"/>
    </row>
    <row r="15" spans="1:44" ht="15" customHeight="1">
      <c r="E15" s="157" t="str">
        <f>Input!E15</f>
        <v>Actual faults</v>
      </c>
      <c r="F15" s="157" t="str">
        <f>Input!F15</f>
        <v>CRC3B</v>
      </c>
      <c r="G15" s="157" t="str">
        <f>Input!G15</f>
        <v>£m 12/13 prices</v>
      </c>
      <c r="H15" s="157" t="str">
        <f>Input!H15</f>
        <v>AFE</v>
      </c>
      <c r="AJ15" s="224"/>
      <c r="AK15" s="224"/>
      <c r="AL15" s="224"/>
      <c r="AM15" s="224"/>
      <c r="AN15" s="224"/>
      <c r="AO15" s="224"/>
      <c r="AP15" s="224"/>
      <c r="AQ15" s="224"/>
    </row>
    <row r="16" spans="1:44" s="498" customFormat="1" ht="15" customHeight="1">
      <c r="E16" s="221" t="s">
        <v>996</v>
      </c>
      <c r="F16" s="157"/>
      <c r="G16" s="157"/>
      <c r="H16" s="157"/>
      <c r="AJ16" s="224"/>
      <c r="AK16" s="224"/>
      <c r="AL16" s="224"/>
      <c r="AM16" s="224"/>
      <c r="AN16" s="224"/>
      <c r="AO16" s="224"/>
      <c r="AP16" s="224"/>
      <c r="AQ16" s="224"/>
    </row>
    <row r="17" spans="5:43" ht="15" customHeight="1">
      <c r="E17" s="157" t="str">
        <f>Input!E17</f>
        <v>Actual 100% ‘revenue pool’ expenditure</v>
      </c>
      <c r="F17" s="157" t="str">
        <f>Input!F17</f>
        <v>CRC3B</v>
      </c>
      <c r="G17" s="157" t="str">
        <f>Input!G17</f>
        <v>£m 12/13 prices</v>
      </c>
      <c r="H17" s="157" t="str">
        <f>Input!H17</f>
        <v xml:space="preserve">ATC   </v>
      </c>
      <c r="AJ17" s="224"/>
      <c r="AK17" s="224"/>
      <c r="AL17" s="224"/>
      <c r="AM17" s="224"/>
      <c r="AN17" s="224"/>
      <c r="AO17" s="224"/>
      <c r="AP17" s="224"/>
      <c r="AQ17" s="224"/>
    </row>
    <row r="18" spans="5:43" ht="15" customHeight="1">
      <c r="E18" s="157" t="str">
        <f>Input!E18</f>
        <v>Actual controllable opex</v>
      </c>
      <c r="F18" s="157" t="str">
        <f>Input!F18</f>
        <v>CRC3B</v>
      </c>
      <c r="G18" s="157" t="str">
        <f>Input!G18</f>
        <v>£m 12/13 prices</v>
      </c>
      <c r="H18" s="157" t="str">
        <f>Input!H18</f>
        <v xml:space="preserve">ACONO </v>
      </c>
      <c r="AJ18" s="224"/>
      <c r="AK18" s="224"/>
      <c r="AL18" s="224"/>
      <c r="AM18" s="224"/>
      <c r="AN18" s="224"/>
      <c r="AO18" s="224"/>
      <c r="AP18" s="224"/>
      <c r="AQ18" s="224"/>
    </row>
    <row r="19" spans="5:43" ht="15" customHeight="1">
      <c r="E19" s="157" t="str">
        <f>Input!E19</f>
        <v xml:space="preserve">Allowed Expenditure - Enhanced Physical Site Security                                                                                                   </v>
      </c>
      <c r="F19" s="157" t="str">
        <f>Input!F19</f>
        <v>CRC3F</v>
      </c>
      <c r="G19" s="157" t="str">
        <f>Input!G19</f>
        <v>£m 12/13 prices</v>
      </c>
      <c r="H19" s="157" t="str">
        <f>Input!H19</f>
        <v xml:space="preserve">UCEPD        </v>
      </c>
      <c r="AJ19" s="421"/>
      <c r="AK19" s="421"/>
      <c r="AL19" s="421"/>
      <c r="AM19" s="421"/>
      <c r="AN19" s="421"/>
      <c r="AO19" s="421"/>
      <c r="AP19" s="421"/>
      <c r="AQ19" s="421"/>
    </row>
    <row r="20" spans="5:43" ht="15" customHeight="1">
      <c r="E20" s="157" t="str">
        <f>Input!E20</f>
        <v>Allowed Expenditure - High Value Projects</v>
      </c>
      <c r="F20" s="157" t="str">
        <f>Input!F20</f>
        <v>CRC3F</v>
      </c>
      <c r="G20" s="157" t="str">
        <f>Input!G20</f>
        <v>£m 12/13 prices</v>
      </c>
      <c r="H20" s="157" t="str">
        <f>Input!H20</f>
        <v>UCHVP</v>
      </c>
      <c r="AJ20" s="421"/>
      <c r="AK20" s="421"/>
      <c r="AL20" s="421"/>
      <c r="AM20" s="421"/>
      <c r="AN20" s="421"/>
      <c r="AO20" s="421"/>
      <c r="AP20" s="421"/>
      <c r="AQ20" s="421"/>
    </row>
    <row r="21" spans="5:43" ht="15" customHeight="1">
      <c r="E21" s="157" t="str">
        <f>Input!E21</f>
        <v xml:space="preserve">Allowed Expenditure - Visual Amenity Allowed (TIM neutral)                                                                                                      </v>
      </c>
      <c r="F21" s="157" t="str">
        <f>Input!F21</f>
        <v>CRC3I</v>
      </c>
      <c r="G21" s="157" t="str">
        <f>Input!G21</f>
        <v>£m 12/13 prices</v>
      </c>
      <c r="H21" s="157" t="str">
        <f>Input!H21</f>
        <v>VAA</v>
      </c>
      <c r="AJ21" s="421"/>
      <c r="AK21" s="421"/>
      <c r="AL21" s="421"/>
      <c r="AM21" s="421"/>
      <c r="AN21" s="421"/>
      <c r="AO21" s="421"/>
      <c r="AP21" s="421"/>
      <c r="AQ21" s="421"/>
    </row>
    <row r="22" spans="5:43" ht="15" customHeight="1">
      <c r="E22" s="157" t="str">
        <f>Input!E22</f>
        <v>Allowed Expenditure - Worst Served Customers Allowed (TIM neutral)</v>
      </c>
      <c r="F22" s="157" t="str">
        <f>Input!F22</f>
        <v>CRC3H</v>
      </c>
      <c r="G22" s="157" t="str">
        <f>Input!G22</f>
        <v>£m 12/13 prices</v>
      </c>
      <c r="H22" s="157" t="str">
        <f>Input!H22</f>
        <v xml:space="preserve">WSCC   </v>
      </c>
      <c r="AJ22" s="421"/>
      <c r="AK22" s="421"/>
      <c r="AL22" s="421"/>
      <c r="AM22" s="421"/>
      <c r="AN22" s="421"/>
      <c r="AO22" s="421"/>
      <c r="AP22" s="421"/>
      <c r="AQ22" s="421"/>
    </row>
    <row r="23" spans="5:43" ht="15" customHeight="1">
      <c r="E23" s="157" t="str">
        <f>Input!E23</f>
        <v xml:space="preserve">Allowed Expenditure - Smart Meter Allowed Expenditure                                                                                                                                          </v>
      </c>
      <c r="F23" s="157" t="str">
        <f>Input!F23</f>
        <v>CRC3E</v>
      </c>
      <c r="G23" s="157" t="str">
        <f>Input!G23</f>
        <v>£m 12/13 prices</v>
      </c>
      <c r="H23" s="157" t="str">
        <f>Input!H23</f>
        <v>SAME</v>
      </c>
      <c r="AJ23" s="421"/>
      <c r="AK23" s="421"/>
      <c r="AL23" s="421"/>
      <c r="AM23" s="421"/>
      <c r="AN23" s="421"/>
      <c r="AO23" s="421"/>
      <c r="AP23" s="421"/>
      <c r="AQ23" s="421"/>
    </row>
    <row r="24" spans="5:43" ht="15" customHeight="1">
      <c r="E24" s="157" t="str">
        <f>Input!E24</f>
        <v>Allowed Expenditure - Specified Street Works</v>
      </c>
      <c r="F24" s="157" t="str">
        <f>Input!F24</f>
        <v>CRC3F</v>
      </c>
      <c r="G24" s="157" t="str">
        <f>Input!G24</f>
        <v>£m 12/13 prices</v>
      </c>
      <c r="H24" s="157" t="str">
        <f>Input!H24</f>
        <v>UCSSW</v>
      </c>
      <c r="AJ24" s="421"/>
      <c r="AK24" s="421"/>
      <c r="AL24" s="421"/>
      <c r="AM24" s="421"/>
      <c r="AN24" s="421"/>
      <c r="AO24" s="421"/>
      <c r="AP24" s="421"/>
      <c r="AQ24" s="421"/>
    </row>
    <row r="25" spans="5:43" s="147" customFormat="1" ht="15" customHeight="1">
      <c r="E25" s="157" t="str">
        <f>Input!E25</f>
        <v>Allowed Expenditure - Load Related</v>
      </c>
      <c r="F25" s="157" t="str">
        <f>Input!F25</f>
        <v>CRC3G</v>
      </c>
      <c r="G25" s="157" t="str">
        <f>Input!G25</f>
        <v>£m 12/13 prices</v>
      </c>
      <c r="H25" s="157" t="str">
        <f>Input!H25</f>
        <v xml:space="preserve">LRRC   </v>
      </c>
      <c r="J25" s="31"/>
      <c r="K25" s="31"/>
      <c r="L25" s="31"/>
      <c r="M25" s="31"/>
      <c r="N25" s="31"/>
      <c r="O25" s="31"/>
      <c r="P25" s="31"/>
      <c r="Q25" s="31"/>
      <c r="R25" s="31"/>
      <c r="S25" s="31"/>
      <c r="T25" s="31"/>
      <c r="U25" s="31"/>
      <c r="V25" s="31"/>
      <c r="W25" s="31"/>
      <c r="X25" s="31"/>
      <c r="Y25" s="31"/>
      <c r="Z25" s="31"/>
      <c r="AJ25" s="421"/>
      <c r="AK25" s="421"/>
      <c r="AL25" s="421"/>
      <c r="AM25" s="421"/>
      <c r="AN25" s="421"/>
      <c r="AO25" s="421"/>
      <c r="AP25" s="421"/>
      <c r="AQ25" s="421"/>
    </row>
    <row r="26" spans="5:43" s="147" customFormat="1" ht="15" customHeight="1">
      <c r="E26" s="157" t="str">
        <f>Input!E26</f>
        <v>Allowed Expenditure - Rail Electrification</v>
      </c>
      <c r="F26" s="157">
        <f>Input!F26</f>
        <v>0</v>
      </c>
      <c r="G26" s="157" t="str">
        <f>Input!G26</f>
        <v>£m 12/13 prices</v>
      </c>
      <c r="H26" s="157" t="str">
        <f>Input!H26</f>
        <v>RE</v>
      </c>
      <c r="J26" s="31"/>
      <c r="K26" s="31"/>
      <c r="L26" s="31"/>
      <c r="M26" s="31"/>
      <c r="N26" s="31"/>
      <c r="O26" s="31"/>
      <c r="P26" s="31"/>
      <c r="Q26" s="31"/>
      <c r="R26" s="31"/>
      <c r="S26" s="31"/>
      <c r="T26" s="31"/>
      <c r="U26" s="31"/>
      <c r="V26" s="31"/>
      <c r="W26" s="31"/>
      <c r="X26" s="31"/>
      <c r="Y26" s="31"/>
      <c r="Z26" s="31"/>
      <c r="AJ26" s="421"/>
      <c r="AK26" s="421"/>
      <c r="AL26" s="421"/>
      <c r="AM26" s="421"/>
      <c r="AN26" s="421"/>
      <c r="AO26" s="421"/>
      <c r="AP26" s="421"/>
      <c r="AQ26" s="421"/>
    </row>
    <row r="27" spans="5:43" ht="15" customHeight="1">
      <c r="E27" s="157" t="str">
        <f>Input!E27</f>
        <v>Spare 1</v>
      </c>
      <c r="F27" s="157" t="str">
        <f>Input!F27</f>
        <v>XX</v>
      </c>
      <c r="G27" s="157" t="str">
        <f>Input!G27</f>
        <v>£m 12/13 prices</v>
      </c>
      <c r="H27" s="157" t="str">
        <f>Input!H27</f>
        <v>YY</v>
      </c>
      <c r="AJ27" s="421"/>
      <c r="AK27" s="421"/>
      <c r="AL27" s="421"/>
      <c r="AM27" s="421"/>
      <c r="AN27" s="421"/>
      <c r="AO27" s="421"/>
      <c r="AP27" s="421"/>
      <c r="AQ27" s="421"/>
    </row>
    <row r="28" spans="5:43" ht="15" customHeight="1">
      <c r="E28" s="157" t="str">
        <f>Input!E28</f>
        <v>Spare 2</v>
      </c>
      <c r="F28" s="157" t="str">
        <f>Input!F28</f>
        <v>XX</v>
      </c>
      <c r="G28" s="157" t="str">
        <f>Input!G28</f>
        <v>£m 12/13 prices</v>
      </c>
      <c r="H28" s="157" t="str">
        <f>Input!H28</f>
        <v>YY</v>
      </c>
      <c r="AJ28" s="421"/>
      <c r="AK28" s="421"/>
      <c r="AL28" s="421"/>
      <c r="AM28" s="421"/>
      <c r="AN28" s="421"/>
      <c r="AO28" s="421"/>
      <c r="AP28" s="421"/>
      <c r="AQ28" s="421"/>
    </row>
    <row r="29" spans="5:43" ht="15" customHeight="1">
      <c r="E29" s="157" t="str">
        <f>Input!E29</f>
        <v>Spare 3</v>
      </c>
      <c r="F29" s="157" t="str">
        <f>Input!F29</f>
        <v>XX</v>
      </c>
      <c r="G29" s="157" t="str">
        <f>Input!G29</f>
        <v>£m 12/13 prices</v>
      </c>
      <c r="H29" s="157" t="str">
        <f>Input!H29</f>
        <v>YY</v>
      </c>
      <c r="AJ29" s="421"/>
      <c r="AK29" s="421"/>
      <c r="AL29" s="421"/>
      <c r="AM29" s="421"/>
      <c r="AN29" s="421"/>
      <c r="AO29" s="421"/>
      <c r="AP29" s="421"/>
      <c r="AQ29" s="421"/>
    </row>
    <row r="30" spans="5:43" ht="15" customHeight="1">
      <c r="E30" s="157" t="str">
        <f>Input!E30</f>
        <v xml:space="preserve">Allowed Expenditure - Innovation Roll-out </v>
      </c>
      <c r="F30" s="157" t="str">
        <f>Input!F30</f>
        <v>CRC3D</v>
      </c>
      <c r="G30" s="157" t="str">
        <f>Input!G30</f>
        <v>£m 12/13 prices</v>
      </c>
      <c r="H30" s="157" t="str">
        <f>Input!H30</f>
        <v>IRM</v>
      </c>
      <c r="AJ30" s="224"/>
      <c r="AK30" s="224"/>
      <c r="AL30" s="224"/>
      <c r="AM30" s="224"/>
      <c r="AN30" s="224"/>
      <c r="AO30" s="224"/>
      <c r="AP30" s="224"/>
      <c r="AQ30" s="224"/>
    </row>
    <row r="31" spans="5:43" ht="15" customHeight="1">
      <c r="E31" s="157" t="str">
        <f>Input!E31</f>
        <v xml:space="preserve">Pension Scheme Established Deficit revenue allowances                                                                                               </v>
      </c>
      <c r="F31" s="157" t="str">
        <f>Input!F31</f>
        <v>CRC3C</v>
      </c>
      <c r="G31" s="157" t="str">
        <f>Input!G31</f>
        <v>£m 12/13 prices</v>
      </c>
      <c r="H31" s="157" t="str">
        <f>Input!H31</f>
        <v xml:space="preserve">EDE   </v>
      </c>
      <c r="AJ31" s="224"/>
      <c r="AK31" s="224"/>
      <c r="AL31" s="224"/>
      <c r="AM31" s="224"/>
      <c r="AN31" s="224"/>
      <c r="AO31" s="224"/>
      <c r="AP31" s="224"/>
      <c r="AQ31" s="224"/>
    </row>
    <row r="32" spans="5:43" ht="15" customHeight="1">
      <c r="E32" s="157" t="str">
        <f>Input!E32</f>
        <v xml:space="preserve">Other legacy adjustments' price control allowed revenue adjustment                                                                                                            </v>
      </c>
      <c r="F32" s="157" t="str">
        <f>Input!F32</f>
        <v>CRC3A</v>
      </c>
      <c r="G32" s="157" t="str">
        <f>Input!G32</f>
        <v>£m 12/13 prices</v>
      </c>
      <c r="H32" s="157" t="str">
        <f>Input!H32</f>
        <v>OLREV</v>
      </c>
      <c r="AJ32" s="224"/>
      <c r="AK32" s="93"/>
      <c r="AL32" s="93"/>
      <c r="AM32" s="93"/>
      <c r="AN32" s="93"/>
      <c r="AO32" s="93"/>
      <c r="AP32" s="93"/>
      <c r="AQ32" s="93"/>
    </row>
    <row r="33" spans="2:43" ht="15" customHeight="1">
      <c r="E33" s="157" t="str">
        <f>Input!E33</f>
        <v xml:space="preserve">Other legacy adjustments' price control RAV additions adjustment                                                                                                                  </v>
      </c>
      <c r="F33" s="157" t="str">
        <f>Input!F33</f>
        <v>CRC3A</v>
      </c>
      <c r="G33" s="157" t="str">
        <f>Input!G33</f>
        <v>£m 12/13 prices</v>
      </c>
      <c r="H33" s="157" t="str">
        <f>Input!H33</f>
        <v>OLRAV</v>
      </c>
      <c r="AH33" s="224"/>
      <c r="AI33" s="224"/>
      <c r="AJ33" s="93"/>
      <c r="AK33" s="93"/>
      <c r="AL33" s="93"/>
      <c r="AM33" s="93"/>
      <c r="AN33" s="93"/>
      <c r="AO33" s="93"/>
      <c r="AP33" s="93"/>
      <c r="AQ33" s="93"/>
    </row>
    <row r="34" spans="2:43" ht="15" customHeight="1">
      <c r="E34" s="157" t="str">
        <f>Input!E34</f>
        <v>RAV Rolling Incentive legacy adjustments' price control allowed revenue adjustment</v>
      </c>
      <c r="F34" s="157" t="str">
        <f>Input!F34</f>
        <v>CRC3A</v>
      </c>
      <c r="G34" s="157" t="str">
        <f>Input!G34</f>
        <v>£m 12/13 prices</v>
      </c>
      <c r="H34" s="157" t="str">
        <f>Input!H34</f>
        <v>RIREV</v>
      </c>
      <c r="AH34" s="498"/>
      <c r="AI34" s="498"/>
      <c r="AJ34" s="224"/>
      <c r="AK34" s="93"/>
      <c r="AL34" s="93"/>
      <c r="AM34" s="93"/>
      <c r="AN34" s="93"/>
      <c r="AO34" s="93"/>
      <c r="AP34" s="93"/>
      <c r="AQ34" s="93"/>
    </row>
    <row r="35" spans="2:43" ht="15" customHeight="1">
      <c r="E35" s="157" t="str">
        <f>Input!E35</f>
        <v>RAV Rolling Incentive legacy adjustments' price control RAV additions adjustment</v>
      </c>
      <c r="F35" s="157" t="str">
        <f>Input!F35</f>
        <v>CRC3A</v>
      </c>
      <c r="G35" s="157" t="str">
        <f>Input!G35</f>
        <v>£m 12/13 prices</v>
      </c>
      <c r="H35" s="157" t="str">
        <f>Input!H35</f>
        <v>RIRAV</v>
      </c>
      <c r="AH35" s="224"/>
      <c r="AI35" s="224"/>
      <c r="AJ35" s="93"/>
      <c r="AK35" s="93"/>
      <c r="AL35" s="93"/>
      <c r="AM35" s="93"/>
      <c r="AN35" s="93"/>
      <c r="AO35" s="93"/>
      <c r="AP35" s="93"/>
      <c r="AQ35" s="93"/>
    </row>
    <row r="36" spans="2:43" ht="15" customHeight="1">
      <c r="E36" s="157" t="str">
        <f>Input!E36</f>
        <v>Tax liability revenue allowance adjustments - gearing / debt interest costs</v>
      </c>
      <c r="F36" s="157" t="str">
        <f>Input!F36</f>
        <v>CRC3C</v>
      </c>
      <c r="G36" s="157" t="str">
        <f>Input!G36</f>
        <v>£m nominal</v>
      </c>
      <c r="H36" s="157" t="str">
        <f>Input!H36</f>
        <v>TGIE</v>
      </c>
      <c r="AJ36" s="224"/>
      <c r="AK36" s="224"/>
      <c r="AL36" s="224"/>
      <c r="AM36" s="224"/>
      <c r="AN36" s="224"/>
      <c r="AO36" s="224"/>
      <c r="AP36" s="224"/>
      <c r="AQ36" s="224"/>
    </row>
    <row r="37" spans="2:43" ht="15" customHeight="1">
      <c r="E37" s="157" t="str">
        <f>Input!E37</f>
        <v xml:space="preserve">Tax liability revenue allowance adjustments in respect of tax trigger events                                                       </v>
      </c>
      <c r="F37" s="157" t="str">
        <f>Input!F37</f>
        <v>CRC3C</v>
      </c>
      <c r="G37" s="157" t="str">
        <f>Input!G37</f>
        <v>£m 12/13 prices</v>
      </c>
      <c r="H37" s="157" t="str">
        <f>Input!H37</f>
        <v>TTE</v>
      </c>
      <c r="AJ37" s="224"/>
      <c r="AK37" s="224"/>
      <c r="AL37" s="224"/>
      <c r="AM37" s="224"/>
      <c r="AN37" s="224"/>
      <c r="AO37" s="224"/>
      <c r="AP37" s="224"/>
      <c r="AQ37" s="224"/>
    </row>
    <row r="38" spans="2:43" ht="15" customHeight="1">
      <c r="E38" s="157" t="str">
        <f>Input!E38</f>
        <v>Legacy general tax pool adjustment</v>
      </c>
      <c r="F38" s="157" t="str">
        <f>Input!F38</f>
        <v>CRC3A</v>
      </c>
      <c r="G38" s="157" t="str">
        <f>Input!G38</f>
        <v>Nominal</v>
      </c>
      <c r="H38" s="157" t="str">
        <f>Input!H38</f>
        <v>LTPG</v>
      </c>
      <c r="AH38" s="224"/>
      <c r="AI38" s="224"/>
      <c r="AJ38" s="93"/>
      <c r="AK38" s="93"/>
      <c r="AL38" s="93"/>
      <c r="AM38" s="93"/>
      <c r="AN38" s="93"/>
      <c r="AO38" s="93"/>
      <c r="AP38" s="93"/>
      <c r="AQ38" s="93"/>
    </row>
    <row r="39" spans="2:43" ht="15" customHeight="1">
      <c r="E39" s="157" t="str">
        <f>Input!E39</f>
        <v>Legacy special tax pool adjustment</v>
      </c>
      <c r="F39" s="157" t="str">
        <f>Input!F39</f>
        <v>CRC3A</v>
      </c>
      <c r="G39" s="157" t="str">
        <f>Input!G39</f>
        <v>Nominal</v>
      </c>
      <c r="H39" s="157" t="str">
        <f>Input!H39</f>
        <v>LTPS</v>
      </c>
      <c r="AH39" s="224"/>
      <c r="AI39" s="224"/>
      <c r="AJ39" s="93"/>
      <c r="AK39" s="93"/>
      <c r="AL39" s="93"/>
      <c r="AM39" s="93"/>
      <c r="AN39" s="93"/>
      <c r="AO39" s="93"/>
      <c r="AP39" s="93"/>
      <c r="AQ39" s="93"/>
    </row>
    <row r="40" spans="2:43" ht="15" customHeight="1">
      <c r="E40" s="157" t="str">
        <f>Input!E40</f>
        <v>Deferred Revenue Expenditure pre-RIIO movement adjustment</v>
      </c>
      <c r="F40" s="157" t="str">
        <f>Input!F40</f>
        <v>CRC3A</v>
      </c>
      <c r="G40" s="157" t="str">
        <f>Input!G40</f>
        <v>Nominal</v>
      </c>
      <c r="H40" s="157" t="str">
        <f>Input!H40</f>
        <v>LTPD</v>
      </c>
      <c r="AH40" s="224"/>
      <c r="AI40" s="224"/>
      <c r="AJ40" s="93"/>
      <c r="AK40" s="93"/>
      <c r="AL40" s="93"/>
      <c r="AM40" s="93"/>
      <c r="AN40" s="93"/>
      <c r="AO40" s="93"/>
      <c r="AP40" s="93"/>
      <c r="AQ40" s="93"/>
    </row>
    <row r="41" spans="2:43" ht="15" customHeight="1">
      <c r="E41" s="157" t="str">
        <f>Input!E41</f>
        <v>DRE: Gross capex adjustment</v>
      </c>
      <c r="F41" s="157" t="str">
        <f>Input!F41</f>
        <v>CRC3A</v>
      </c>
      <c r="G41" s="157" t="str">
        <f>Input!G41</f>
        <v>Nominal</v>
      </c>
      <c r="H41" s="157" t="str">
        <f>Input!H41</f>
        <v>LTPC</v>
      </c>
      <c r="AH41" s="224"/>
      <c r="AI41" s="224"/>
      <c r="AJ41" s="93"/>
      <c r="AK41" s="93"/>
      <c r="AL41" s="93"/>
      <c r="AM41" s="93"/>
      <c r="AN41" s="93"/>
      <c r="AO41" s="93"/>
      <c r="AP41" s="93"/>
      <c r="AQ41" s="93"/>
    </row>
    <row r="42" spans="2:43" ht="15" customHeight="1">
      <c r="E42" s="362"/>
      <c r="G42" s="309"/>
      <c r="AJ42" s="147"/>
      <c r="AK42" s="147"/>
      <c r="AL42" s="147"/>
      <c r="AM42" s="147"/>
      <c r="AN42" s="147"/>
      <c r="AO42" s="147"/>
      <c r="AP42" s="147"/>
      <c r="AQ42" s="147"/>
    </row>
    <row r="43" spans="2:43" ht="15" customHeight="1">
      <c r="B43" s="334" t="s">
        <v>132</v>
      </c>
      <c r="C43" s="334"/>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row>
    <row r="45" spans="2:43" s="157" customFormat="1" ht="15" customHeight="1">
      <c r="C45" s="332" t="s">
        <v>129</v>
      </c>
      <c r="D45" s="332"/>
      <c r="E45" s="332"/>
      <c r="F45" s="332"/>
      <c r="G45" s="332"/>
      <c r="H45" s="332"/>
      <c r="I45" s="332"/>
      <c r="J45" s="345"/>
      <c r="K45" s="345"/>
      <c r="L45" s="345"/>
      <c r="M45" s="345"/>
      <c r="N45" s="345"/>
      <c r="O45" s="345"/>
      <c r="P45" s="345"/>
      <c r="Q45" s="345"/>
      <c r="R45" s="345"/>
      <c r="S45" s="345"/>
      <c r="T45" s="345"/>
      <c r="U45" s="345"/>
      <c r="V45" s="345"/>
      <c r="W45" s="345"/>
      <c r="X45" s="345"/>
      <c r="Y45" s="345"/>
      <c r="Z45" s="345"/>
      <c r="AA45" s="332"/>
      <c r="AB45" s="332"/>
      <c r="AC45" s="332"/>
      <c r="AD45" s="332"/>
      <c r="AE45" s="332"/>
      <c r="AF45" s="332"/>
      <c r="AG45" s="332"/>
      <c r="AH45" s="332"/>
      <c r="AI45" s="332"/>
      <c r="AJ45" s="332"/>
      <c r="AK45" s="332"/>
      <c r="AL45" s="332"/>
      <c r="AM45" s="332"/>
      <c r="AN45" s="332"/>
      <c r="AO45" s="332"/>
      <c r="AP45" s="332"/>
      <c r="AQ45" s="332"/>
    </row>
    <row r="46" spans="2:43" s="157" customFormat="1" ht="15" customHeight="1">
      <c r="J46" s="33"/>
      <c r="K46" s="33"/>
      <c r="L46" s="33"/>
      <c r="M46" s="33"/>
      <c r="N46" s="33"/>
      <c r="O46" s="33"/>
      <c r="P46" s="33"/>
      <c r="Q46" s="33"/>
      <c r="R46" s="33"/>
      <c r="S46" s="33"/>
      <c r="T46" s="33"/>
      <c r="U46" s="33"/>
      <c r="V46" s="33"/>
      <c r="W46" s="33"/>
      <c r="X46" s="33"/>
      <c r="Y46" s="33"/>
      <c r="Z46" s="33"/>
    </row>
    <row r="47" spans="2:43" s="157" customFormat="1" ht="15" customHeight="1">
      <c r="E47" s="157" t="s">
        <v>34</v>
      </c>
      <c r="G47" s="157" t="s">
        <v>42</v>
      </c>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405"/>
      <c r="AK47" s="405"/>
      <c r="AL47" s="405"/>
      <c r="AM47" s="405"/>
      <c r="AN47" s="405"/>
      <c r="AO47" s="405"/>
      <c r="AP47" s="405"/>
      <c r="AQ47" s="405"/>
    </row>
    <row r="48" spans="2:43" s="157" customFormat="1" ht="15" customHeight="1">
      <c r="E48" s="157" t="s">
        <v>32</v>
      </c>
      <c r="G48" s="157" t="s">
        <v>42</v>
      </c>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238"/>
      <c r="AK48" s="238"/>
      <c r="AL48" s="238"/>
      <c r="AM48" s="238"/>
      <c r="AN48" s="238"/>
      <c r="AO48" s="238"/>
      <c r="AP48" s="238"/>
      <c r="AQ48" s="238"/>
    </row>
    <row r="49" spans="3:43" s="157" customFormat="1" ht="15" customHeight="1">
      <c r="E49" s="157" t="s">
        <v>415</v>
      </c>
      <c r="G49" s="157" t="s">
        <v>49</v>
      </c>
      <c r="J49" s="33" t="s">
        <v>56</v>
      </c>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38"/>
      <c r="AJ49" s="238"/>
      <c r="AK49" s="238"/>
      <c r="AL49" s="238"/>
      <c r="AM49" s="238"/>
      <c r="AN49" s="238"/>
      <c r="AO49" s="238"/>
      <c r="AP49" s="238"/>
      <c r="AQ49" s="238"/>
    </row>
    <row r="50" spans="3:43" s="157" customFormat="1" ht="15" customHeight="1">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165"/>
      <c r="AJ50" s="165"/>
      <c r="AK50" s="165"/>
      <c r="AL50" s="165"/>
      <c r="AM50" s="165"/>
      <c r="AN50" s="165"/>
      <c r="AO50" s="165"/>
      <c r="AP50" s="165"/>
      <c r="AQ50" s="165"/>
    </row>
    <row r="51" spans="3:43" s="157" customFormat="1" ht="15" customHeight="1">
      <c r="E51" s="157" t="s">
        <v>9</v>
      </c>
      <c r="G51" s="157" t="s">
        <v>42</v>
      </c>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407"/>
      <c r="AK51" s="407"/>
      <c r="AL51" s="407"/>
      <c r="AM51" s="407"/>
      <c r="AN51" s="407"/>
      <c r="AO51" s="407"/>
      <c r="AP51" s="407"/>
      <c r="AQ51" s="407"/>
    </row>
    <row r="52" spans="3:43" s="157" customFormat="1" ht="15" customHeight="1">
      <c r="J52" s="33"/>
      <c r="K52" s="33"/>
      <c r="L52" s="33"/>
      <c r="M52" s="33"/>
      <c r="N52" s="33"/>
      <c r="O52" s="33"/>
      <c r="P52" s="33"/>
      <c r="Q52" s="33"/>
      <c r="R52" s="33"/>
      <c r="S52" s="33"/>
      <c r="T52" s="33"/>
      <c r="U52" s="33"/>
      <c r="V52" s="33"/>
      <c r="W52" s="33"/>
      <c r="X52" s="33"/>
      <c r="Y52" s="33"/>
      <c r="Z52" s="33"/>
      <c r="AA52" s="41"/>
      <c r="AB52" s="41"/>
      <c r="AC52" s="41"/>
      <c r="AD52" s="41"/>
      <c r="AE52" s="41"/>
      <c r="AF52" s="41"/>
      <c r="AG52" s="41"/>
      <c r="AH52" s="41"/>
      <c r="AI52" s="41"/>
      <c r="AJ52" s="41"/>
      <c r="AK52" s="41"/>
      <c r="AL52" s="41"/>
      <c r="AM52" s="41"/>
      <c r="AN52" s="41"/>
      <c r="AO52" s="41"/>
      <c r="AP52" s="41"/>
      <c r="AQ52" s="41"/>
    </row>
    <row r="53" spans="3:43" s="157" customFormat="1" ht="15" customHeight="1">
      <c r="J53" s="33"/>
      <c r="K53" s="33"/>
      <c r="L53" s="33"/>
      <c r="M53" s="33"/>
      <c r="N53" s="33"/>
      <c r="O53" s="33"/>
      <c r="P53" s="33"/>
      <c r="Q53" s="33"/>
      <c r="R53" s="33"/>
      <c r="S53" s="33"/>
      <c r="T53" s="33"/>
      <c r="U53" s="33"/>
      <c r="V53" s="33"/>
      <c r="W53" s="33"/>
      <c r="X53" s="33"/>
      <c r="Y53" s="33"/>
      <c r="Z53" s="33"/>
      <c r="AA53" s="41"/>
      <c r="AB53" s="41"/>
      <c r="AC53" s="41"/>
      <c r="AD53" s="41"/>
      <c r="AE53" s="41"/>
      <c r="AF53" s="41"/>
      <c r="AG53" s="41"/>
      <c r="AH53" s="41"/>
      <c r="AJ53" s="41"/>
      <c r="AK53" s="41"/>
      <c r="AL53" s="41"/>
      <c r="AM53" s="41"/>
      <c r="AN53" s="41"/>
      <c r="AO53" s="41"/>
      <c r="AP53" s="41"/>
      <c r="AQ53" s="41"/>
    </row>
    <row r="54" spans="3:43" s="157" customFormat="1" ht="15" customHeight="1">
      <c r="J54" s="33"/>
      <c r="K54" s="33"/>
      <c r="L54" s="33"/>
      <c r="M54" s="33"/>
      <c r="N54" s="33"/>
      <c r="O54" s="33"/>
      <c r="P54" s="33"/>
      <c r="Q54" s="33"/>
      <c r="R54" s="33"/>
      <c r="S54" s="33"/>
      <c r="T54" s="33"/>
      <c r="U54" s="33"/>
      <c r="V54" s="33"/>
      <c r="W54" s="33"/>
      <c r="X54" s="33"/>
      <c r="Y54" s="33"/>
      <c r="Z54" s="33"/>
      <c r="AA54" s="41"/>
      <c r="AB54" s="41"/>
      <c r="AC54" s="41"/>
      <c r="AD54" s="41"/>
      <c r="AE54" s="41"/>
      <c r="AF54" s="41"/>
      <c r="AG54" s="41"/>
      <c r="AH54" s="41"/>
      <c r="AI54" s="41"/>
      <c r="AJ54" s="41"/>
      <c r="AK54" s="41"/>
      <c r="AL54" s="41"/>
      <c r="AM54" s="41"/>
      <c r="AN54" s="41"/>
      <c r="AO54" s="41"/>
      <c r="AP54" s="41"/>
      <c r="AQ54" s="41"/>
    </row>
    <row r="55" spans="3:43" ht="15" customHeight="1">
      <c r="C55" s="331" t="s">
        <v>673</v>
      </c>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row>
    <row r="56" spans="3:43" s="157" customFormat="1" ht="15" customHeight="1">
      <c r="J56" s="33"/>
      <c r="K56" s="33"/>
      <c r="L56" s="33"/>
      <c r="M56" s="33"/>
      <c r="N56" s="33"/>
      <c r="O56" s="33"/>
      <c r="P56" s="33"/>
      <c r="Q56" s="33"/>
      <c r="R56" s="33"/>
      <c r="S56" s="33"/>
      <c r="T56" s="33"/>
      <c r="U56" s="33"/>
      <c r="V56" s="33"/>
      <c r="W56" s="33"/>
      <c r="X56" s="33"/>
      <c r="Y56" s="33"/>
      <c r="Z56" s="33"/>
      <c r="AA56" s="41"/>
      <c r="AB56" s="41"/>
      <c r="AC56" s="41"/>
      <c r="AD56" s="41"/>
      <c r="AE56" s="41"/>
      <c r="AF56" s="41"/>
      <c r="AG56" s="41"/>
      <c r="AH56" s="41"/>
      <c r="AI56" s="41"/>
      <c r="AJ56" s="41"/>
      <c r="AK56" s="41"/>
      <c r="AL56" s="41"/>
      <c r="AM56" s="41"/>
      <c r="AN56" s="41"/>
      <c r="AO56" s="41"/>
      <c r="AP56" s="41"/>
      <c r="AQ56" s="41"/>
    </row>
    <row r="57" spans="3:43" s="157" customFormat="1" ht="15" customHeight="1">
      <c r="E57" s="157" t="s">
        <v>420</v>
      </c>
      <c r="G57" s="157" t="s">
        <v>54</v>
      </c>
      <c r="J57" s="33" t="s">
        <v>56</v>
      </c>
      <c r="K57" s="33"/>
      <c r="L57" s="33"/>
      <c r="M57" s="33"/>
      <c r="N57" s="33"/>
      <c r="O57" s="33"/>
      <c r="P57" s="33"/>
      <c r="Q57" s="33"/>
      <c r="R57" s="33"/>
      <c r="S57" s="33"/>
      <c r="T57" s="33"/>
      <c r="U57" s="33"/>
      <c r="V57" s="33"/>
      <c r="W57" s="33"/>
      <c r="X57" s="41"/>
      <c r="Y57" s="41"/>
      <c r="Z57" s="41"/>
      <c r="AA57" s="41"/>
      <c r="AB57" s="41"/>
      <c r="AC57" s="41"/>
      <c r="AD57" s="41"/>
      <c r="AE57" s="41"/>
      <c r="AF57" s="41"/>
      <c r="AG57" s="236"/>
      <c r="AH57" s="236"/>
      <c r="AI57" s="236"/>
      <c r="AJ57" s="236"/>
      <c r="AK57" s="236"/>
      <c r="AL57" s="236"/>
      <c r="AM57" s="236"/>
      <c r="AN57" s="236"/>
      <c r="AO57" s="236"/>
      <c r="AP57" s="236"/>
      <c r="AQ57" s="236"/>
    </row>
    <row r="58" spans="3:43" s="157" customFormat="1" ht="15" customHeight="1">
      <c r="E58" s="157" t="s">
        <v>562</v>
      </c>
      <c r="G58" s="157" t="s">
        <v>54</v>
      </c>
      <c r="J58" s="33" t="s">
        <v>56</v>
      </c>
      <c r="K58" s="33"/>
      <c r="L58" s="33"/>
      <c r="M58" s="33"/>
      <c r="N58" s="33"/>
      <c r="O58" s="33"/>
      <c r="P58" s="33"/>
      <c r="Q58" s="33"/>
      <c r="R58" s="33"/>
      <c r="S58" s="33"/>
      <c r="T58" s="33"/>
      <c r="U58" s="33"/>
      <c r="V58" s="33"/>
      <c r="W58" s="33"/>
      <c r="X58" s="41"/>
      <c r="Y58" s="41"/>
      <c r="Z58" s="41"/>
      <c r="AA58" s="41"/>
      <c r="AB58" s="41"/>
      <c r="AC58" s="41"/>
      <c r="AD58" s="41"/>
      <c r="AE58" s="41"/>
      <c r="AF58" s="41"/>
      <c r="AG58" s="236"/>
      <c r="AH58" s="236"/>
      <c r="AI58" s="236"/>
      <c r="AJ58" s="236"/>
      <c r="AK58" s="236"/>
      <c r="AL58" s="236"/>
      <c r="AM58" s="236"/>
      <c r="AN58" s="236"/>
      <c r="AO58" s="236"/>
      <c r="AP58" s="236"/>
      <c r="AQ58" s="236"/>
    </row>
    <row r="59" spans="3:43" s="157" customFormat="1" ht="15" customHeight="1">
      <c r="J59" s="33"/>
      <c r="K59" s="33"/>
      <c r="L59" s="33"/>
      <c r="M59" s="33"/>
      <c r="N59" s="33"/>
      <c r="O59" s="33"/>
      <c r="P59" s="33"/>
      <c r="Q59" s="33"/>
      <c r="R59" s="33"/>
      <c r="S59" s="33"/>
      <c r="T59" s="33"/>
      <c r="U59" s="33"/>
      <c r="V59" s="33"/>
      <c r="W59" s="33"/>
      <c r="X59" s="41"/>
      <c r="Y59" s="41"/>
      <c r="Z59" s="41"/>
      <c r="AA59" s="41"/>
      <c r="AB59" s="41"/>
      <c r="AC59" s="41"/>
      <c r="AD59" s="41"/>
      <c r="AE59" s="41"/>
      <c r="AF59" s="408"/>
    </row>
    <row r="60" spans="3:43" ht="15" customHeight="1">
      <c r="C60" s="331" t="s">
        <v>218</v>
      </c>
      <c r="D60" s="331"/>
      <c r="E60" s="331"/>
      <c r="F60" s="331"/>
      <c r="G60" s="331"/>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row>
    <row r="62" spans="3:43" ht="15" customHeight="1">
      <c r="E62" s="149" t="s">
        <v>197</v>
      </c>
      <c r="G62" s="149" t="s">
        <v>51</v>
      </c>
      <c r="I62" s="326">
        <v>2</v>
      </c>
    </row>
    <row r="63" spans="3:43" ht="15" customHeight="1">
      <c r="AI63" s="147"/>
    </row>
    <row r="64" spans="3:43" ht="15" customHeight="1">
      <c r="E64" s="149" t="str">
        <f>Input!E64</f>
        <v>Capitalised share of totex</v>
      </c>
      <c r="G64" s="149" t="s">
        <v>49</v>
      </c>
      <c r="AI64" s="147"/>
      <c r="AJ64" s="406"/>
      <c r="AK64" s="406"/>
      <c r="AL64" s="406"/>
      <c r="AM64" s="406"/>
      <c r="AN64" s="406"/>
      <c r="AO64" s="406"/>
      <c r="AP64" s="406"/>
      <c r="AQ64" s="406"/>
    </row>
    <row r="65" spans="1:43" ht="15" customHeight="1">
      <c r="AI65" s="147"/>
      <c r="AJ65" s="147"/>
      <c r="AK65" s="147"/>
      <c r="AL65" s="147"/>
      <c r="AM65" s="147"/>
      <c r="AN65" s="147"/>
      <c r="AO65" s="147"/>
      <c r="AP65" s="147"/>
      <c r="AQ65" s="260"/>
    </row>
    <row r="66" spans="1:43" s="147" customFormat="1" ht="15" customHeight="1">
      <c r="E66" s="149" t="s">
        <v>737</v>
      </c>
      <c r="F66" s="149"/>
      <c r="G66" s="53" t="s">
        <v>49</v>
      </c>
      <c r="H66" s="149"/>
      <c r="I66" s="433"/>
      <c r="J66" s="31"/>
      <c r="K66" s="31"/>
      <c r="L66" s="31"/>
      <c r="M66" s="31"/>
      <c r="N66" s="31"/>
      <c r="O66" s="31"/>
      <c r="P66" s="31"/>
      <c r="Q66" s="31"/>
      <c r="R66" s="31"/>
      <c r="S66" s="31"/>
      <c r="T66" s="31"/>
      <c r="U66" s="31"/>
      <c r="V66" s="31"/>
      <c r="W66" s="31"/>
      <c r="X66" s="31"/>
      <c r="Y66" s="31"/>
      <c r="Z66" s="31"/>
      <c r="AQ66" s="260"/>
    </row>
    <row r="67" spans="1:43" s="147" customFormat="1" ht="15" customHeight="1">
      <c r="G67" s="195"/>
      <c r="J67" s="31"/>
      <c r="K67" s="31"/>
      <c r="L67" s="31"/>
      <c r="M67" s="31"/>
      <c r="N67" s="31"/>
      <c r="O67" s="31"/>
      <c r="P67" s="31"/>
      <c r="Q67" s="31"/>
      <c r="R67" s="31"/>
      <c r="S67" s="31"/>
      <c r="T67" s="31"/>
      <c r="U67" s="31"/>
      <c r="V67" s="31"/>
      <c r="W67" s="31"/>
      <c r="X67" s="31"/>
      <c r="Y67" s="31"/>
      <c r="Z67" s="31"/>
    </row>
    <row r="68" spans="1:43" s="147" customFormat="1" ht="15" customHeight="1">
      <c r="E68" s="147" t="s">
        <v>738</v>
      </c>
      <c r="G68" s="53" t="s">
        <v>49</v>
      </c>
      <c r="I68" s="433"/>
      <c r="J68" s="31"/>
      <c r="K68" s="31"/>
      <c r="L68" s="31"/>
      <c r="M68" s="31"/>
      <c r="N68" s="31"/>
      <c r="O68" s="31"/>
      <c r="P68" s="31"/>
      <c r="Q68" s="31"/>
      <c r="R68" s="31"/>
      <c r="S68" s="31"/>
      <c r="T68" s="31"/>
      <c r="U68" s="31"/>
      <c r="V68" s="31"/>
      <c r="W68" s="31"/>
      <c r="X68" s="31"/>
      <c r="Y68" s="31"/>
      <c r="Z68" s="31"/>
      <c r="AQ68" s="260"/>
    </row>
    <row r="69" spans="1:43" s="147" customFormat="1" ht="15" customHeight="1">
      <c r="J69" s="31"/>
      <c r="K69" s="31"/>
      <c r="L69" s="31"/>
      <c r="M69" s="31"/>
      <c r="N69" s="31"/>
      <c r="O69" s="31"/>
      <c r="P69" s="31"/>
      <c r="Q69" s="31"/>
      <c r="R69" s="31"/>
      <c r="S69" s="31"/>
      <c r="T69" s="31"/>
      <c r="U69" s="31"/>
      <c r="V69" s="31"/>
      <c r="W69" s="31"/>
      <c r="X69" s="31"/>
      <c r="Y69" s="31"/>
      <c r="Z69" s="31"/>
      <c r="AQ69" s="260"/>
    </row>
    <row r="70" spans="1:43" s="19" customFormat="1" ht="15" customHeight="1">
      <c r="D70" s="149"/>
      <c r="E70" s="53" t="s">
        <v>427</v>
      </c>
      <c r="F70" s="53"/>
      <c r="G70" s="53" t="s">
        <v>49</v>
      </c>
      <c r="H70" s="53"/>
      <c r="I70" s="73">
        <v>0.75</v>
      </c>
      <c r="J70" s="88"/>
      <c r="K70" s="88"/>
      <c r="L70" s="88"/>
      <c r="M70" s="88"/>
      <c r="N70" s="88"/>
      <c r="O70" s="88"/>
      <c r="P70" s="88"/>
      <c r="Q70" s="88"/>
      <c r="R70" s="88"/>
      <c r="S70" s="88"/>
      <c r="T70" s="88"/>
      <c r="U70" s="88"/>
      <c r="V70" s="88"/>
      <c r="W70" s="88"/>
      <c r="X70" s="88"/>
      <c r="Y70" s="88"/>
      <c r="Z70" s="88"/>
      <c r="AJ70" s="89"/>
    </row>
    <row r="71" spans="1:43" s="19" customFormat="1" ht="15" customHeight="1">
      <c r="D71" s="149"/>
      <c r="E71" s="53" t="s">
        <v>428</v>
      </c>
      <c r="F71" s="53"/>
      <c r="G71" s="53" t="s">
        <v>49</v>
      </c>
      <c r="H71" s="53"/>
      <c r="I71" s="73">
        <v>0.25</v>
      </c>
      <c r="J71" s="88"/>
      <c r="K71" s="88"/>
      <c r="L71" s="88"/>
      <c r="M71" s="88"/>
      <c r="N71" s="88"/>
      <c r="O71" s="88"/>
      <c r="P71" s="88"/>
      <c r="Q71" s="88"/>
      <c r="R71" s="88"/>
      <c r="S71" s="88"/>
      <c r="T71" s="88"/>
      <c r="U71" s="88"/>
      <c r="V71" s="88"/>
      <c r="W71" s="88"/>
      <c r="X71" s="88"/>
      <c r="Y71" s="88"/>
      <c r="Z71" s="88"/>
      <c r="AJ71" s="89"/>
    </row>
    <row r="72" spans="1:43" s="19" customFormat="1" ht="15" customHeight="1">
      <c r="D72" s="149"/>
      <c r="E72" s="53"/>
      <c r="F72" s="53"/>
      <c r="G72" s="53"/>
      <c r="H72" s="53"/>
      <c r="I72" s="89"/>
      <c r="J72" s="88"/>
      <c r="K72" s="88"/>
      <c r="L72" s="88"/>
      <c r="M72" s="88"/>
      <c r="N72" s="88"/>
      <c r="O72" s="88"/>
      <c r="P72" s="88"/>
      <c r="Q72" s="88"/>
      <c r="R72" s="88"/>
      <c r="S72" s="88"/>
      <c r="T72" s="88"/>
      <c r="U72" s="88"/>
      <c r="V72" s="88"/>
      <c r="W72" s="88"/>
      <c r="X72" s="88"/>
      <c r="Y72" s="88"/>
      <c r="Z72" s="88"/>
      <c r="AJ72" s="89"/>
    </row>
    <row r="73" spans="1:43" s="19" customFormat="1" ht="15" customHeight="1">
      <c r="D73" s="149"/>
      <c r="E73" s="149" t="s">
        <v>869</v>
      </c>
      <c r="G73" s="195" t="s">
        <v>844</v>
      </c>
      <c r="I73" s="236" t="e">
        <f>I74</f>
        <v>#REF!</v>
      </c>
      <c r="J73" s="88"/>
      <c r="K73" s="88"/>
      <c r="L73" s="88"/>
      <c r="M73" s="88"/>
      <c r="N73" s="88"/>
      <c r="O73" s="88"/>
      <c r="P73" s="88"/>
      <c r="Q73" s="88"/>
      <c r="R73" s="88"/>
      <c r="S73" s="88"/>
      <c r="T73" s="88"/>
      <c r="U73" s="88"/>
      <c r="V73" s="88"/>
      <c r="W73" s="88"/>
      <c r="X73" s="88"/>
      <c r="Y73" s="88"/>
      <c r="Z73" s="88"/>
      <c r="AJ73" s="89"/>
    </row>
    <row r="74" spans="1:43" s="19" customFormat="1" ht="15" customHeight="1">
      <c r="D74" s="149"/>
      <c r="E74" s="149" t="s">
        <v>870</v>
      </c>
      <c r="G74" s="195" t="s">
        <v>844</v>
      </c>
      <c r="I74" s="236" t="e">
        <v>#REF!</v>
      </c>
      <c r="J74" s="88"/>
      <c r="K74" s="88"/>
      <c r="L74" s="88"/>
      <c r="M74" s="88"/>
      <c r="N74" s="88"/>
      <c r="O74" s="88"/>
      <c r="P74" s="88"/>
      <c r="Q74" s="88"/>
      <c r="R74" s="88"/>
      <c r="S74" s="88"/>
      <c r="T74" s="88"/>
      <c r="U74" s="88"/>
      <c r="V74" s="88"/>
      <c r="W74" s="88"/>
      <c r="X74" s="88"/>
      <c r="Y74" s="88"/>
      <c r="Z74" s="88"/>
      <c r="AJ74" s="89"/>
    </row>
    <row r="75" spans="1:43" s="19" customFormat="1" ht="15" customHeight="1">
      <c r="D75" s="149"/>
      <c r="E75" s="53"/>
      <c r="F75" s="53"/>
      <c r="G75" s="53"/>
      <c r="H75" s="53"/>
      <c r="I75" s="89"/>
      <c r="J75" s="88"/>
      <c r="K75" s="88"/>
      <c r="L75" s="88"/>
      <c r="M75" s="88"/>
      <c r="N75" s="88"/>
      <c r="O75" s="88"/>
      <c r="P75" s="88"/>
      <c r="Q75" s="88"/>
      <c r="R75" s="88"/>
      <c r="S75" s="88"/>
      <c r="T75" s="88"/>
      <c r="U75" s="88"/>
      <c r="V75" s="88"/>
      <c r="W75" s="88"/>
      <c r="X75" s="88"/>
      <c r="Y75" s="88"/>
      <c r="Z75" s="88"/>
      <c r="AJ75" s="89"/>
    </row>
    <row r="76" spans="1:43" s="19" customFormat="1" ht="15" customHeight="1">
      <c r="E76" s="149" t="s">
        <v>871</v>
      </c>
      <c r="G76" s="195" t="s">
        <v>844</v>
      </c>
      <c r="I76" s="236" t="e">
        <f>I73 + SSEH!I73</f>
        <v>#REF!</v>
      </c>
      <c r="J76" s="88"/>
      <c r="K76" s="88"/>
      <c r="L76" s="88"/>
      <c r="M76" s="88"/>
      <c r="N76" s="88"/>
      <c r="O76" s="88"/>
      <c r="P76" s="88"/>
      <c r="Q76" s="88"/>
      <c r="R76" s="88"/>
      <c r="S76" s="88"/>
      <c r="T76" s="88"/>
      <c r="U76" s="88"/>
      <c r="V76" s="88"/>
      <c r="W76" s="88"/>
      <c r="X76" s="88"/>
      <c r="Y76" s="88"/>
      <c r="Z76" s="88"/>
      <c r="AJ76" s="89"/>
    </row>
    <row r="77" spans="1:43" s="19" customFormat="1" ht="15" customHeight="1">
      <c r="E77" s="149" t="s">
        <v>872</v>
      </c>
      <c r="G77" s="195" t="s">
        <v>844</v>
      </c>
      <c r="I77" s="236" t="e">
        <f>I74 + SSEH!I74</f>
        <v>#REF!</v>
      </c>
      <c r="J77" s="88"/>
      <c r="K77" s="88"/>
      <c r="L77" s="88"/>
      <c r="M77" s="88"/>
      <c r="N77" s="88"/>
      <c r="O77" s="88"/>
      <c r="P77" s="88"/>
      <c r="Q77" s="88"/>
      <c r="R77" s="88"/>
      <c r="S77" s="88"/>
      <c r="T77" s="88"/>
      <c r="U77" s="88"/>
      <c r="V77" s="88"/>
      <c r="W77" s="88"/>
      <c r="X77" s="88"/>
      <c r="Y77" s="88"/>
      <c r="Z77" s="88"/>
      <c r="AJ77" s="89"/>
      <c r="AK77" s="218"/>
    </row>
    <row r="78" spans="1:43" s="19" customFormat="1" ht="15" customHeight="1">
      <c r="E78" s="149"/>
      <c r="G78" s="195"/>
      <c r="I78" s="195"/>
      <c r="J78" s="88"/>
      <c r="K78" s="88"/>
      <c r="L78" s="88"/>
      <c r="M78" s="88"/>
      <c r="N78" s="88"/>
      <c r="O78" s="88"/>
      <c r="P78" s="88"/>
      <c r="Q78" s="88"/>
      <c r="R78" s="88"/>
      <c r="S78" s="88"/>
      <c r="T78" s="88"/>
      <c r="U78" s="88"/>
      <c r="V78" s="88"/>
      <c r="W78" s="88"/>
      <c r="X78" s="88"/>
      <c r="Y78" s="88"/>
      <c r="Z78" s="88"/>
      <c r="AJ78" s="89"/>
    </row>
    <row r="79" spans="1:43" s="157" customFormat="1" ht="15" customHeight="1">
      <c r="A79" s="149"/>
      <c r="B79" s="149"/>
      <c r="C79" s="331" t="s">
        <v>219</v>
      </c>
      <c r="D79" s="331"/>
      <c r="E79" s="331"/>
      <c r="F79" s="331"/>
      <c r="G79" s="331"/>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row>
    <row r="80" spans="1:43" s="157" customFormat="1" ht="15" customHeight="1">
      <c r="J80" s="33"/>
      <c r="K80" s="33"/>
      <c r="L80" s="33"/>
      <c r="M80" s="33"/>
      <c r="N80" s="33"/>
      <c r="O80" s="33"/>
      <c r="P80" s="33"/>
      <c r="Q80" s="33"/>
      <c r="R80" s="33"/>
      <c r="S80" s="33"/>
      <c r="T80" s="33"/>
      <c r="U80" s="33"/>
      <c r="V80" s="33"/>
      <c r="W80" s="33"/>
      <c r="X80" s="33"/>
      <c r="Y80" s="33"/>
      <c r="Z80" s="33"/>
      <c r="AA80" s="41"/>
      <c r="AB80" s="41"/>
      <c r="AC80" s="41"/>
      <c r="AD80" s="41"/>
      <c r="AE80" s="41"/>
      <c r="AF80" s="41"/>
      <c r="AG80" s="41"/>
      <c r="AH80" s="41"/>
      <c r="AI80" s="41"/>
      <c r="AJ80" s="41"/>
      <c r="AK80" s="41"/>
      <c r="AL80" s="41"/>
      <c r="AM80" s="41"/>
      <c r="AN80" s="41"/>
      <c r="AO80" s="41"/>
      <c r="AP80" s="41"/>
      <c r="AQ80" s="41"/>
    </row>
    <row r="81" spans="2:43" s="157" customFormat="1" ht="15" customHeight="1">
      <c r="E81" s="157" t="s">
        <v>425</v>
      </c>
      <c r="G81" s="157" t="s">
        <v>49</v>
      </c>
      <c r="I81" s="406"/>
      <c r="J81" s="33"/>
      <c r="K81" s="33"/>
      <c r="L81" s="33"/>
      <c r="M81" s="33"/>
      <c r="N81" s="33"/>
      <c r="O81" s="33"/>
      <c r="P81" s="33"/>
      <c r="Q81" s="33"/>
      <c r="R81" s="33"/>
      <c r="S81" s="33"/>
      <c r="T81" s="33"/>
      <c r="U81" s="33"/>
      <c r="V81" s="33"/>
      <c r="W81" s="33"/>
      <c r="X81" s="33"/>
      <c r="Y81" s="33"/>
      <c r="Z81" s="33"/>
    </row>
    <row r="82" spans="2:43" s="157" customFormat="1" ht="15" customHeight="1">
      <c r="E82" s="157" t="s">
        <v>33</v>
      </c>
      <c r="G82" s="157" t="s">
        <v>49</v>
      </c>
      <c r="I82" s="406"/>
      <c r="J82" s="33"/>
      <c r="K82" s="33"/>
      <c r="L82" s="33"/>
      <c r="M82" s="33"/>
      <c r="N82" s="33"/>
      <c r="O82" s="33"/>
      <c r="P82" s="33"/>
      <c r="Q82" s="33"/>
      <c r="R82" s="33"/>
      <c r="S82" s="33"/>
      <c r="T82" s="33"/>
      <c r="U82" s="33"/>
      <c r="V82" s="33"/>
      <c r="W82" s="33"/>
      <c r="X82" s="33"/>
      <c r="Y82" s="33"/>
      <c r="Z82" s="33"/>
    </row>
    <row r="83" spans="2:43" s="157" customFormat="1" ht="15" customHeight="1">
      <c r="E83" s="195" t="s">
        <v>50</v>
      </c>
      <c r="F83" s="195"/>
      <c r="G83" s="195" t="s">
        <v>49</v>
      </c>
      <c r="H83" s="195"/>
      <c r="I83" s="238"/>
      <c r="J83" s="33"/>
      <c r="K83" s="33"/>
      <c r="L83" s="33"/>
      <c r="M83" s="33"/>
      <c r="N83" s="33"/>
      <c r="O83" s="33"/>
      <c r="P83" s="33"/>
      <c r="Q83" s="33"/>
      <c r="R83" s="33"/>
      <c r="S83" s="33"/>
      <c r="T83" s="33"/>
      <c r="U83" s="33"/>
      <c r="V83" s="33"/>
      <c r="W83" s="33"/>
      <c r="X83" s="33"/>
      <c r="Y83" s="33"/>
      <c r="Z83" s="33"/>
      <c r="AJ83" s="217"/>
    </row>
    <row r="84" spans="2:43" s="157" customFormat="1" ht="15" customHeight="1">
      <c r="J84" s="33"/>
      <c r="K84" s="33"/>
      <c r="L84" s="33"/>
      <c r="M84" s="33"/>
      <c r="N84" s="33"/>
      <c r="O84" s="33"/>
      <c r="P84" s="33"/>
      <c r="Q84" s="33"/>
      <c r="R84" s="33"/>
      <c r="S84" s="33"/>
      <c r="T84" s="33"/>
      <c r="U84" s="33"/>
      <c r="V84" s="33"/>
      <c r="W84" s="33"/>
      <c r="X84" s="33"/>
      <c r="Y84" s="33"/>
      <c r="Z84" s="33"/>
      <c r="AL84" s="103"/>
      <c r="AM84" s="103"/>
      <c r="AN84" s="103"/>
      <c r="AO84" s="103"/>
      <c r="AP84" s="103"/>
      <c r="AQ84" s="103"/>
    </row>
    <row r="85" spans="2:43" s="157" customFormat="1" ht="15" customHeight="1">
      <c r="E85" s="157" t="s">
        <v>169</v>
      </c>
      <c r="G85" s="195" t="s">
        <v>49</v>
      </c>
      <c r="I85" s="150"/>
      <c r="J85" s="33"/>
      <c r="K85" s="33"/>
      <c r="L85" s="33"/>
      <c r="M85" s="33"/>
      <c r="N85" s="33"/>
      <c r="O85" s="33"/>
      <c r="P85" s="33"/>
      <c r="Q85" s="33"/>
      <c r="R85" s="33"/>
      <c r="S85" s="33"/>
      <c r="T85" s="33"/>
      <c r="U85" s="33"/>
      <c r="V85" s="33"/>
      <c r="W85" s="33"/>
      <c r="X85" s="33"/>
      <c r="Y85" s="33"/>
      <c r="Z85" s="33"/>
      <c r="AJ85" s="238"/>
      <c r="AK85" s="238"/>
      <c r="AL85" s="238"/>
      <c r="AM85" s="238"/>
      <c r="AN85" s="238"/>
      <c r="AO85" s="238"/>
      <c r="AP85" s="238"/>
      <c r="AQ85" s="238"/>
    </row>
    <row r="86" spans="2:43" s="157" customFormat="1" ht="15" customHeight="1">
      <c r="J86" s="33"/>
      <c r="K86" s="33"/>
      <c r="L86" s="33"/>
      <c r="M86" s="33"/>
      <c r="N86" s="33"/>
      <c r="O86" s="33"/>
      <c r="P86" s="33"/>
      <c r="Q86" s="33"/>
      <c r="R86" s="33"/>
      <c r="S86" s="33"/>
      <c r="T86" s="33"/>
      <c r="U86" s="33"/>
      <c r="V86" s="33"/>
      <c r="W86" s="33"/>
      <c r="X86" s="33"/>
      <c r="Y86" s="33"/>
      <c r="Z86" s="33"/>
      <c r="AL86" s="103"/>
      <c r="AM86" s="103"/>
      <c r="AN86" s="103"/>
      <c r="AO86" s="103"/>
      <c r="AP86" s="103"/>
      <c r="AQ86" s="103"/>
    </row>
    <row r="87" spans="2:43" s="157" customFormat="1" ht="15" customHeight="1">
      <c r="E87" s="157" t="s">
        <v>256</v>
      </c>
      <c r="G87" s="195" t="s">
        <v>49</v>
      </c>
      <c r="J87" s="33"/>
      <c r="K87" s="33"/>
      <c r="L87" s="33"/>
      <c r="M87" s="33"/>
      <c r="N87" s="33"/>
      <c r="O87" s="33"/>
      <c r="P87" s="33"/>
      <c r="Q87" s="33"/>
      <c r="R87" s="33"/>
      <c r="S87" s="33"/>
      <c r="T87" s="33"/>
      <c r="U87" s="33"/>
      <c r="V87" s="33"/>
      <c r="W87" s="33"/>
      <c r="X87" s="33"/>
      <c r="Y87" s="33"/>
      <c r="Z87" s="33"/>
      <c r="AJ87" s="238"/>
      <c r="AK87" s="238"/>
      <c r="AL87" s="238"/>
      <c r="AM87" s="238"/>
      <c r="AN87" s="238"/>
      <c r="AO87" s="238"/>
      <c r="AP87" s="238"/>
      <c r="AQ87" s="238"/>
    </row>
    <row r="88" spans="2:43" s="157" customFormat="1" ht="15" customHeight="1">
      <c r="J88" s="33"/>
      <c r="K88" s="33"/>
      <c r="L88" s="33"/>
      <c r="M88" s="33"/>
      <c r="N88" s="33"/>
      <c r="O88" s="33"/>
      <c r="P88" s="33"/>
      <c r="Q88" s="33"/>
      <c r="R88" s="33"/>
      <c r="S88" s="33"/>
      <c r="T88" s="33"/>
      <c r="U88" s="33"/>
      <c r="V88" s="33"/>
      <c r="W88" s="33"/>
      <c r="X88" s="33"/>
      <c r="Y88" s="33"/>
      <c r="Z88" s="33"/>
      <c r="AL88" s="103"/>
      <c r="AM88" s="103"/>
      <c r="AN88" s="103"/>
      <c r="AO88" s="103"/>
      <c r="AP88" s="103"/>
      <c r="AQ88" s="103"/>
    </row>
    <row r="89" spans="2:43" s="147" customFormat="1" ht="15" customHeight="1">
      <c r="B89" s="343" t="s">
        <v>195</v>
      </c>
      <c r="C89" s="343"/>
      <c r="D89" s="343"/>
      <c r="E89" s="343"/>
      <c r="F89" s="343"/>
      <c r="G89" s="343"/>
      <c r="H89" s="343"/>
      <c r="I89" s="343"/>
      <c r="J89" s="343"/>
      <c r="K89" s="343"/>
      <c r="L89" s="343"/>
      <c r="M89" s="343"/>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row>
    <row r="90" spans="2:43" s="147" customFormat="1" ht="15" customHeight="1">
      <c r="J90" s="31"/>
      <c r="K90" s="31"/>
      <c r="L90" s="31"/>
      <c r="M90" s="31"/>
      <c r="N90" s="31"/>
      <c r="O90" s="31"/>
      <c r="P90" s="31"/>
      <c r="Q90" s="31"/>
      <c r="R90" s="31"/>
      <c r="S90" s="31"/>
      <c r="T90" s="31"/>
      <c r="U90" s="31"/>
      <c r="V90" s="31"/>
      <c r="W90" s="31"/>
      <c r="X90" s="31"/>
      <c r="Y90" s="31"/>
      <c r="Z90" s="31"/>
    </row>
    <row r="91" spans="2:43" s="147" customFormat="1" ht="15" customHeight="1">
      <c r="C91" s="332" t="s">
        <v>69</v>
      </c>
      <c r="D91" s="332"/>
      <c r="E91" s="332"/>
      <c r="F91" s="332"/>
      <c r="G91" s="332"/>
      <c r="H91" s="332"/>
      <c r="I91" s="332"/>
      <c r="J91" s="332"/>
      <c r="K91" s="332"/>
      <c r="L91" s="332"/>
      <c r="M91" s="332"/>
      <c r="N91" s="332"/>
      <c r="O91" s="332"/>
      <c r="P91" s="332"/>
      <c r="Q91" s="332"/>
      <c r="R91" s="332"/>
      <c r="S91" s="332"/>
      <c r="T91" s="332"/>
      <c r="U91" s="332"/>
      <c r="V91" s="332"/>
      <c r="W91" s="332"/>
      <c r="X91" s="332"/>
      <c r="Y91" s="332"/>
      <c r="Z91" s="332"/>
      <c r="AA91" s="332"/>
      <c r="AB91" s="332"/>
      <c r="AC91" s="332"/>
      <c r="AD91" s="332"/>
      <c r="AE91" s="332"/>
      <c r="AF91" s="332"/>
      <c r="AG91" s="332"/>
      <c r="AH91" s="332"/>
      <c r="AI91" s="332"/>
      <c r="AJ91" s="332"/>
      <c r="AK91" s="332"/>
      <c r="AL91" s="332"/>
      <c r="AM91" s="332"/>
      <c r="AN91" s="332"/>
      <c r="AO91" s="332"/>
      <c r="AP91" s="332"/>
      <c r="AQ91" s="332"/>
    </row>
    <row r="92" spans="2:43" s="147" customFormat="1" ht="15" customHeight="1">
      <c r="J92" s="31"/>
      <c r="K92" s="31"/>
      <c r="L92" s="31"/>
      <c r="M92" s="31"/>
      <c r="N92" s="31"/>
      <c r="O92" s="31"/>
      <c r="P92" s="31"/>
      <c r="Q92" s="31"/>
      <c r="R92" s="31"/>
      <c r="S92" s="31"/>
      <c r="T92" s="31"/>
      <c r="U92" s="31"/>
      <c r="V92" s="31"/>
      <c r="W92" s="31"/>
      <c r="X92" s="31"/>
      <c r="Y92" s="31"/>
      <c r="Z92" s="31"/>
    </row>
    <row r="93" spans="2:43" s="147" customFormat="1" ht="15" customHeight="1">
      <c r="D93" s="198" t="s">
        <v>430</v>
      </c>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row>
    <row r="94" spans="2:43" s="147" customFormat="1" ht="15" customHeight="1">
      <c r="J94" s="31"/>
      <c r="K94" s="31"/>
      <c r="L94" s="31"/>
      <c r="M94" s="31"/>
      <c r="N94" s="31"/>
      <c r="O94" s="31"/>
      <c r="P94" s="31"/>
      <c r="Q94" s="31"/>
      <c r="R94" s="31"/>
      <c r="S94" s="31"/>
      <c r="T94" s="31"/>
      <c r="U94" s="31"/>
      <c r="V94" s="31"/>
      <c r="W94" s="31"/>
      <c r="X94" s="31"/>
      <c r="Y94" s="31"/>
      <c r="Z94" s="31"/>
    </row>
    <row r="95" spans="2:43" s="309" customFormat="1" ht="15" customHeight="1">
      <c r="E95" s="163" t="str">
        <f>Input!E95</f>
        <v>Non-variant allowed load related capex</v>
      </c>
      <c r="F95" s="19"/>
      <c r="G95" s="309" t="s">
        <v>844</v>
      </c>
      <c r="H95" s="19"/>
      <c r="I95" s="57"/>
      <c r="J95" s="19"/>
      <c r="K95" s="19"/>
      <c r="L95" s="19"/>
      <c r="M95" s="19"/>
      <c r="N95" s="19"/>
      <c r="O95" s="19"/>
      <c r="P95" s="19"/>
      <c r="Q95" s="19"/>
      <c r="R95" s="19"/>
      <c r="S95" s="19"/>
      <c r="T95" s="19"/>
      <c r="U95" s="19"/>
      <c r="V95" s="19"/>
      <c r="W95" s="19"/>
      <c r="X95" s="19"/>
      <c r="Y95" s="19"/>
      <c r="Z95" s="19"/>
      <c r="AA95" s="19"/>
      <c r="AB95" s="19"/>
      <c r="AC95" s="19"/>
      <c r="AD95" s="19"/>
      <c r="AE95" s="149"/>
      <c r="AJ95" s="236"/>
      <c r="AK95" s="236"/>
      <c r="AL95" s="236"/>
      <c r="AM95" s="236"/>
      <c r="AN95" s="236"/>
      <c r="AO95" s="236"/>
      <c r="AP95" s="236"/>
      <c r="AQ95" s="236"/>
    </row>
    <row r="96" spans="2:43" s="309" customFormat="1" ht="15" customHeight="1">
      <c r="E96" s="163" t="str">
        <f>Input!E96</f>
        <v>Non-variant allowed non-load related capex - asset replacement</v>
      </c>
      <c r="G96" s="309" t="s">
        <v>844</v>
      </c>
      <c r="I96" s="409"/>
      <c r="AE96" s="149"/>
      <c r="AJ96" s="236"/>
      <c r="AK96" s="236"/>
      <c r="AL96" s="236"/>
      <c r="AM96" s="236"/>
      <c r="AN96" s="236"/>
      <c r="AO96" s="236"/>
      <c r="AP96" s="236"/>
      <c r="AQ96" s="236"/>
    </row>
    <row r="97" spans="4:43" s="309" customFormat="1" ht="15" customHeight="1">
      <c r="E97" s="163" t="str">
        <f>Input!E97</f>
        <v>Non-variant allowed non-load related capex - other</v>
      </c>
      <c r="G97" s="309" t="s">
        <v>844</v>
      </c>
      <c r="I97" s="409"/>
      <c r="AJ97" s="236"/>
      <c r="AK97" s="236"/>
      <c r="AL97" s="236"/>
      <c r="AM97" s="236"/>
      <c r="AN97" s="236"/>
      <c r="AO97" s="236"/>
      <c r="AP97" s="236"/>
      <c r="AQ97" s="236"/>
    </row>
    <row r="98" spans="4:43" s="309" customFormat="1" ht="15" customHeight="1">
      <c r="E98" s="163" t="str">
        <f>Input!E98</f>
        <v>Non-variant allowed faults</v>
      </c>
      <c r="G98" s="309" t="s">
        <v>844</v>
      </c>
      <c r="I98" s="409"/>
      <c r="AJ98" s="236"/>
      <c r="AK98" s="236"/>
      <c r="AL98" s="236"/>
      <c r="AM98" s="236"/>
      <c r="AN98" s="236"/>
      <c r="AO98" s="236"/>
      <c r="AP98" s="236"/>
      <c r="AQ98" s="236"/>
    </row>
    <row r="99" spans="4:43" s="309" customFormat="1" ht="15" customHeight="1">
      <c r="E99" s="551" t="s">
        <v>999</v>
      </c>
      <c r="G99" s="309" t="s">
        <v>844</v>
      </c>
      <c r="I99" s="409"/>
      <c r="AJ99" s="236"/>
      <c r="AK99" s="236"/>
      <c r="AL99" s="236"/>
      <c r="AM99" s="236"/>
      <c r="AN99" s="236"/>
      <c r="AO99" s="236"/>
      <c r="AP99" s="236"/>
      <c r="AQ99" s="236"/>
    </row>
    <row r="100" spans="4:43" s="309" customFormat="1" ht="15" customHeight="1">
      <c r="E100" s="163" t="str">
        <f>Input!E100</f>
        <v>Non-variant allowed 100% ‘revenue pool’ expenditure</v>
      </c>
      <c r="G100" s="309" t="s">
        <v>844</v>
      </c>
      <c r="I100" s="409"/>
      <c r="AJ100" s="236"/>
      <c r="AK100" s="236"/>
      <c r="AL100" s="236"/>
      <c r="AM100" s="236"/>
      <c r="AN100" s="236"/>
      <c r="AO100" s="236"/>
      <c r="AP100" s="236"/>
      <c r="AQ100" s="236"/>
    </row>
    <row r="101" spans="4:43" s="309" customFormat="1" ht="15" customHeight="1">
      <c r="E101" s="163" t="str">
        <f>Input!E101</f>
        <v>Non-variant allowed controllable opex</v>
      </c>
      <c r="G101" s="309" t="s">
        <v>844</v>
      </c>
      <c r="I101" s="409"/>
      <c r="AJ101" s="236"/>
      <c r="AK101" s="236"/>
      <c r="AL101" s="236"/>
      <c r="AM101" s="236"/>
      <c r="AN101" s="236"/>
      <c r="AO101" s="236"/>
      <c r="AP101" s="236"/>
      <c r="AQ101" s="236"/>
    </row>
    <row r="102" spans="4:43" s="309" customFormat="1" ht="15" customHeight="1">
      <c r="E102" s="163"/>
      <c r="I102" s="409"/>
      <c r="AJ102" s="147"/>
      <c r="AK102" s="147"/>
      <c r="AL102" s="147"/>
      <c r="AM102" s="147"/>
      <c r="AN102" s="147"/>
      <c r="AO102" s="147"/>
      <c r="AP102" s="147"/>
      <c r="AQ102" s="147"/>
    </row>
    <row r="103" spans="4:43" s="309" customFormat="1" ht="15" customHeight="1">
      <c r="D103" s="198" t="s">
        <v>398</v>
      </c>
      <c r="E103" s="198"/>
      <c r="F103" s="198"/>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row>
    <row r="104" spans="4:43" s="309" customFormat="1" ht="15" customHeight="1">
      <c r="E104" s="163"/>
      <c r="I104" s="409"/>
      <c r="AJ104" s="147"/>
      <c r="AK104" s="147"/>
      <c r="AL104" s="147"/>
      <c r="AM104" s="147"/>
      <c r="AN104" s="147"/>
      <c r="AO104" s="147"/>
      <c r="AP104" s="147"/>
      <c r="AQ104" s="147"/>
    </row>
    <row r="105" spans="4:43" s="309" customFormat="1" ht="15" customHeight="1">
      <c r="E105" s="149" t="str">
        <f>Input!E105</f>
        <v xml:space="preserve">Allowed Expenditure - Enhanced Physical Site Security                                                                                                   </v>
      </c>
      <c r="G105" s="309" t="s">
        <v>844</v>
      </c>
      <c r="I105" s="409"/>
      <c r="AJ105" s="221"/>
      <c r="AK105" s="221"/>
      <c r="AL105" s="221"/>
      <c r="AM105" s="221"/>
      <c r="AN105" s="221"/>
      <c r="AO105" s="221"/>
      <c r="AP105" s="221"/>
      <c r="AQ105" s="221"/>
    </row>
    <row r="106" spans="4:43" s="309" customFormat="1" ht="15" customHeight="1">
      <c r="E106" s="410" t="str">
        <f>Input!E106</f>
        <v>Allocation to load related capex</v>
      </c>
      <c r="G106" s="309" t="s">
        <v>49</v>
      </c>
      <c r="I106" s="149"/>
      <c r="AJ106" s="238"/>
      <c r="AK106" s="238"/>
      <c r="AL106" s="238"/>
      <c r="AM106" s="238"/>
      <c r="AN106" s="238"/>
      <c r="AO106" s="238"/>
      <c r="AP106" s="238"/>
      <c r="AQ106" s="238"/>
    </row>
    <row r="107" spans="4:43" s="309" customFormat="1" ht="15" customHeight="1">
      <c r="E107" s="410" t="str">
        <f>Input!E107</f>
        <v>Allocation to non-load related capex - asset replacement</v>
      </c>
      <c r="G107" s="309" t="s">
        <v>49</v>
      </c>
      <c r="I107" s="149"/>
      <c r="AJ107" s="238"/>
      <c r="AK107" s="238"/>
      <c r="AL107" s="238"/>
      <c r="AM107" s="238"/>
      <c r="AN107" s="238"/>
      <c r="AO107" s="238"/>
      <c r="AP107" s="238"/>
      <c r="AQ107" s="238"/>
    </row>
    <row r="108" spans="4:43" s="309" customFormat="1" ht="15" customHeight="1">
      <c r="E108" s="410" t="str">
        <f>Input!E108</f>
        <v>Allocation to non-load related capex - other</v>
      </c>
      <c r="G108" s="309" t="s">
        <v>49</v>
      </c>
      <c r="I108" s="149"/>
      <c r="AJ108" s="238"/>
      <c r="AK108" s="238"/>
      <c r="AL108" s="238"/>
      <c r="AM108" s="238"/>
      <c r="AN108" s="238"/>
      <c r="AO108" s="238"/>
      <c r="AP108" s="238"/>
      <c r="AQ108" s="238"/>
    </row>
    <row r="109" spans="4:43" s="309" customFormat="1" ht="15" customHeight="1">
      <c r="E109" s="410" t="str">
        <f>Input!E109</f>
        <v>Allocation to faults</v>
      </c>
      <c r="G109" s="309" t="s">
        <v>49</v>
      </c>
      <c r="I109" s="149"/>
      <c r="AJ109" s="238"/>
      <c r="AK109" s="238"/>
      <c r="AL109" s="238"/>
      <c r="AM109" s="238"/>
      <c r="AN109" s="238"/>
      <c r="AO109" s="238"/>
      <c r="AP109" s="238"/>
      <c r="AQ109" s="238"/>
    </row>
    <row r="110" spans="4:43" s="309" customFormat="1" ht="15" customHeight="1">
      <c r="E110" s="553" t="s">
        <v>994</v>
      </c>
      <c r="G110" s="309" t="s">
        <v>49</v>
      </c>
      <c r="I110" s="498"/>
      <c r="AJ110" s="238"/>
      <c r="AK110" s="238"/>
      <c r="AL110" s="238"/>
      <c r="AM110" s="238"/>
      <c r="AN110" s="238"/>
      <c r="AO110" s="238"/>
      <c r="AP110" s="238"/>
      <c r="AQ110" s="238"/>
    </row>
    <row r="111" spans="4:43" s="309" customFormat="1" ht="15" customHeight="1">
      <c r="E111" s="410" t="str">
        <f>Input!E111</f>
        <v>Allocation to 100% ‘revenue pool’ expenditure</v>
      </c>
      <c r="G111" s="309" t="s">
        <v>49</v>
      </c>
      <c r="I111" s="149"/>
      <c r="AJ111" s="238"/>
      <c r="AK111" s="238"/>
      <c r="AL111" s="238"/>
      <c r="AM111" s="238"/>
      <c r="AN111" s="238"/>
      <c r="AO111" s="238"/>
      <c r="AP111" s="238"/>
      <c r="AQ111" s="238"/>
    </row>
    <row r="112" spans="4:43" s="309" customFormat="1" ht="15" customHeight="1">
      <c r="E112" s="410" t="str">
        <f>Input!E112</f>
        <v>Allocation to controllable opex</v>
      </c>
      <c r="G112" s="309" t="s">
        <v>49</v>
      </c>
      <c r="I112" s="149"/>
      <c r="AJ112" s="238"/>
      <c r="AK112" s="238"/>
      <c r="AL112" s="238"/>
      <c r="AM112" s="238"/>
      <c r="AN112" s="238"/>
      <c r="AO112" s="238"/>
      <c r="AP112" s="238"/>
      <c r="AQ112" s="238"/>
    </row>
    <row r="114" spans="5:43" s="309" customFormat="1" ht="15" customHeight="1">
      <c r="E114" s="149" t="str">
        <f>Input!E114</f>
        <v>Allowed Expenditure - High Value Projects</v>
      </c>
      <c r="G114" s="309" t="s">
        <v>844</v>
      </c>
      <c r="I114" s="409"/>
      <c r="AJ114" s="221"/>
      <c r="AK114" s="221"/>
      <c r="AL114" s="221"/>
      <c r="AM114" s="221"/>
      <c r="AN114" s="221"/>
      <c r="AO114" s="221"/>
      <c r="AP114" s="221"/>
      <c r="AQ114" s="221"/>
    </row>
    <row r="115" spans="5:43" s="309" customFormat="1" ht="15" customHeight="1">
      <c r="E115" s="410" t="str">
        <f>Input!E115</f>
        <v>Allocation to load related capex</v>
      </c>
      <c r="G115" s="309" t="s">
        <v>49</v>
      </c>
      <c r="I115" s="149"/>
      <c r="AJ115" s="238"/>
      <c r="AK115" s="238"/>
      <c r="AL115" s="238"/>
      <c r="AM115" s="238"/>
      <c r="AN115" s="238"/>
      <c r="AO115" s="238"/>
      <c r="AP115" s="238"/>
      <c r="AQ115" s="238"/>
    </row>
    <row r="116" spans="5:43" s="309" customFormat="1" ht="15" customHeight="1">
      <c r="E116" s="410" t="str">
        <f>Input!E116</f>
        <v>Allocation to non-load related capex - asset replacement</v>
      </c>
      <c r="G116" s="309" t="s">
        <v>49</v>
      </c>
      <c r="I116" s="149"/>
      <c r="AJ116" s="238"/>
      <c r="AK116" s="238"/>
      <c r="AL116" s="238"/>
      <c r="AM116" s="238"/>
      <c r="AN116" s="238"/>
      <c r="AO116" s="238"/>
      <c r="AP116" s="238"/>
      <c r="AQ116" s="238"/>
    </row>
    <row r="117" spans="5:43" s="309" customFormat="1" ht="15" customHeight="1">
      <c r="E117" s="410" t="str">
        <f>Input!E117</f>
        <v>Allocation to non-load related capex - other</v>
      </c>
      <c r="G117" s="309" t="s">
        <v>49</v>
      </c>
      <c r="I117" s="149"/>
      <c r="AJ117" s="238"/>
      <c r="AK117" s="238"/>
      <c r="AL117" s="238"/>
      <c r="AM117" s="238"/>
      <c r="AN117" s="238"/>
      <c r="AO117" s="238"/>
      <c r="AP117" s="238"/>
      <c r="AQ117" s="238"/>
    </row>
    <row r="118" spans="5:43" s="309" customFormat="1" ht="15" customHeight="1">
      <c r="E118" s="410" t="str">
        <f>Input!E118</f>
        <v>Allocation to faults</v>
      </c>
      <c r="G118" s="309" t="s">
        <v>49</v>
      </c>
      <c r="I118" s="149"/>
      <c r="AJ118" s="238"/>
      <c r="AK118" s="238"/>
      <c r="AL118" s="238"/>
      <c r="AM118" s="238"/>
      <c r="AN118" s="238"/>
      <c r="AO118" s="238"/>
      <c r="AP118" s="238"/>
      <c r="AQ118" s="238"/>
    </row>
    <row r="119" spans="5:43" s="309" customFormat="1" ht="15" customHeight="1">
      <c r="E119" s="553" t="s">
        <v>994</v>
      </c>
      <c r="G119" s="309" t="s">
        <v>49</v>
      </c>
      <c r="I119" s="498"/>
      <c r="AJ119" s="238"/>
      <c r="AK119" s="238"/>
      <c r="AL119" s="238"/>
      <c r="AM119" s="238"/>
      <c r="AN119" s="238"/>
      <c r="AO119" s="238"/>
      <c r="AP119" s="238"/>
      <c r="AQ119" s="238"/>
    </row>
    <row r="120" spans="5:43" s="309" customFormat="1" ht="15" customHeight="1">
      <c r="E120" s="410" t="str">
        <f>Input!E120</f>
        <v>Allocation to 100% ‘revenue pool’ expenditure</v>
      </c>
      <c r="G120" s="309" t="s">
        <v>49</v>
      </c>
      <c r="I120" s="149"/>
      <c r="AJ120" s="238"/>
      <c r="AK120" s="238"/>
      <c r="AL120" s="238"/>
      <c r="AM120" s="238"/>
      <c r="AN120" s="238"/>
      <c r="AO120" s="238"/>
      <c r="AP120" s="238"/>
      <c r="AQ120" s="238"/>
    </row>
    <row r="121" spans="5:43" s="309" customFormat="1" ht="15" customHeight="1">
      <c r="E121" s="410" t="str">
        <f>Input!E121</f>
        <v>Allocation to controllable opex</v>
      </c>
      <c r="G121" s="309" t="s">
        <v>49</v>
      </c>
      <c r="I121" s="149"/>
      <c r="AJ121" s="238"/>
      <c r="AK121" s="238"/>
      <c r="AL121" s="238"/>
      <c r="AM121" s="238"/>
      <c r="AN121" s="238"/>
      <c r="AO121" s="238"/>
      <c r="AP121" s="238"/>
      <c r="AQ121" s="238"/>
    </row>
    <row r="123" spans="5:43" s="309" customFormat="1" ht="15" customHeight="1">
      <c r="E123" s="149" t="str">
        <f>Input!E123</f>
        <v xml:space="preserve">Allowed Expenditure - Visual Amenity Allowed (TIM neutral)                                                                                                      </v>
      </c>
      <c r="G123" s="309" t="s">
        <v>844</v>
      </c>
      <c r="I123" s="409"/>
      <c r="AJ123" s="221"/>
      <c r="AK123" s="221"/>
      <c r="AL123" s="221"/>
      <c r="AM123" s="221"/>
      <c r="AN123" s="221"/>
      <c r="AO123" s="221"/>
      <c r="AP123" s="221"/>
      <c r="AQ123" s="221"/>
    </row>
    <row r="124" spans="5:43" s="309" customFormat="1" ht="15" customHeight="1">
      <c r="E124" s="410" t="str">
        <f>Input!E124</f>
        <v>Allocation to load related capex</v>
      </c>
      <c r="G124" s="309" t="s">
        <v>49</v>
      </c>
      <c r="I124" s="149"/>
      <c r="AJ124" s="238"/>
      <c r="AK124" s="238"/>
      <c r="AL124" s="238"/>
      <c r="AM124" s="238"/>
      <c r="AN124" s="238"/>
      <c r="AO124" s="238"/>
      <c r="AP124" s="238"/>
      <c r="AQ124" s="238"/>
    </row>
    <row r="125" spans="5:43" s="309" customFormat="1" ht="15" customHeight="1">
      <c r="E125" s="410" t="str">
        <f>Input!E125</f>
        <v>Allocation to non-load related capex - asset replacement</v>
      </c>
      <c r="G125" s="309" t="s">
        <v>49</v>
      </c>
      <c r="I125" s="149"/>
      <c r="AJ125" s="238"/>
      <c r="AK125" s="238"/>
      <c r="AL125" s="238"/>
      <c r="AM125" s="238"/>
      <c r="AN125" s="238"/>
      <c r="AO125" s="238"/>
      <c r="AP125" s="238"/>
      <c r="AQ125" s="238"/>
    </row>
    <row r="126" spans="5:43" s="309" customFormat="1" ht="15" customHeight="1">
      <c r="E126" s="410" t="str">
        <f>Input!E126</f>
        <v>Allocation to non-load related capex - other</v>
      </c>
      <c r="G126" s="309" t="s">
        <v>49</v>
      </c>
      <c r="I126" s="149"/>
      <c r="AJ126" s="238"/>
      <c r="AK126" s="238"/>
      <c r="AL126" s="238"/>
      <c r="AM126" s="238"/>
      <c r="AN126" s="238"/>
      <c r="AO126" s="238"/>
      <c r="AP126" s="238"/>
      <c r="AQ126" s="238"/>
    </row>
    <row r="127" spans="5:43" s="309" customFormat="1" ht="15" customHeight="1">
      <c r="E127" s="410" t="str">
        <f>Input!E127</f>
        <v>Allocation to faults</v>
      </c>
      <c r="G127" s="309" t="s">
        <v>49</v>
      </c>
      <c r="I127" s="149"/>
      <c r="AJ127" s="238"/>
      <c r="AK127" s="238"/>
      <c r="AL127" s="238"/>
      <c r="AM127" s="238"/>
      <c r="AN127" s="238"/>
      <c r="AO127" s="238"/>
      <c r="AP127" s="238"/>
      <c r="AQ127" s="238"/>
    </row>
    <row r="128" spans="5:43" s="309" customFormat="1" ht="15" customHeight="1">
      <c r="E128" s="553" t="s">
        <v>994</v>
      </c>
      <c r="G128" s="309" t="s">
        <v>49</v>
      </c>
      <c r="I128" s="498"/>
      <c r="AJ128" s="238"/>
      <c r="AK128" s="238"/>
      <c r="AL128" s="238"/>
      <c r="AM128" s="238"/>
      <c r="AN128" s="238"/>
      <c r="AO128" s="238"/>
      <c r="AP128" s="238"/>
      <c r="AQ128" s="238"/>
    </row>
    <row r="129" spans="5:43" s="309" customFormat="1" ht="15" customHeight="1">
      <c r="E129" s="410" t="str">
        <f>Input!E129</f>
        <v>Allocation to 100% ‘revenue pool’ expenditure</v>
      </c>
      <c r="G129" s="309" t="s">
        <v>49</v>
      </c>
      <c r="I129" s="149"/>
      <c r="AJ129" s="238"/>
      <c r="AK129" s="238"/>
      <c r="AL129" s="238"/>
      <c r="AM129" s="238"/>
      <c r="AN129" s="238"/>
      <c r="AO129" s="238"/>
      <c r="AP129" s="238"/>
      <c r="AQ129" s="238"/>
    </row>
    <row r="130" spans="5:43" s="309" customFormat="1" ht="15" customHeight="1">
      <c r="E130" s="410" t="str">
        <f>Input!E130</f>
        <v>Allocation to controllable opex</v>
      </c>
      <c r="G130" s="309" t="s">
        <v>49</v>
      </c>
      <c r="I130" s="149"/>
      <c r="AJ130" s="238"/>
      <c r="AK130" s="238"/>
      <c r="AL130" s="238"/>
      <c r="AM130" s="238"/>
      <c r="AN130" s="238"/>
      <c r="AO130" s="238"/>
      <c r="AP130" s="238"/>
      <c r="AQ130" s="238"/>
    </row>
    <row r="132" spans="5:43" s="309" customFormat="1" ht="15" customHeight="1">
      <c r="E132" s="149" t="str">
        <f>Input!E132</f>
        <v>Allowed Expenditure - Worst Served Customers Allowed (TIM neutral)</v>
      </c>
      <c r="G132" s="309" t="s">
        <v>844</v>
      </c>
      <c r="I132" s="409"/>
      <c r="AJ132" s="221"/>
      <c r="AK132" s="221"/>
      <c r="AL132" s="221"/>
      <c r="AM132" s="221"/>
      <c r="AN132" s="221"/>
      <c r="AO132" s="221"/>
      <c r="AP132" s="221"/>
      <c r="AQ132" s="221"/>
    </row>
    <row r="133" spans="5:43" s="309" customFormat="1" ht="15" customHeight="1">
      <c r="E133" s="410" t="str">
        <f>Input!E133</f>
        <v>Allocation to load related capex</v>
      </c>
      <c r="G133" s="309" t="s">
        <v>49</v>
      </c>
      <c r="I133" s="149"/>
      <c r="AJ133" s="238"/>
      <c r="AK133" s="238"/>
      <c r="AL133" s="238"/>
      <c r="AM133" s="238"/>
      <c r="AN133" s="238"/>
      <c r="AO133" s="238"/>
      <c r="AP133" s="238"/>
      <c r="AQ133" s="238"/>
    </row>
    <row r="134" spans="5:43" s="309" customFormat="1" ht="15" customHeight="1">
      <c r="E134" s="410" t="str">
        <f>Input!E134</f>
        <v>Allocation to non-load related capex - asset replacement</v>
      </c>
      <c r="G134" s="309" t="s">
        <v>49</v>
      </c>
      <c r="I134" s="149"/>
      <c r="AJ134" s="238"/>
      <c r="AK134" s="238"/>
      <c r="AL134" s="238"/>
      <c r="AM134" s="238"/>
      <c r="AN134" s="238"/>
      <c r="AO134" s="238"/>
      <c r="AP134" s="238"/>
      <c r="AQ134" s="238"/>
    </row>
    <row r="135" spans="5:43" s="309" customFormat="1" ht="15" customHeight="1">
      <c r="E135" s="410" t="str">
        <f>Input!E135</f>
        <v>Allocation to non-load related capex - other</v>
      </c>
      <c r="G135" s="309" t="s">
        <v>49</v>
      </c>
      <c r="I135" s="149"/>
      <c r="AJ135" s="238"/>
      <c r="AK135" s="238"/>
      <c r="AL135" s="238"/>
      <c r="AM135" s="238"/>
      <c r="AN135" s="238"/>
      <c r="AO135" s="238"/>
      <c r="AP135" s="238"/>
      <c r="AQ135" s="238"/>
    </row>
    <row r="136" spans="5:43" s="309" customFormat="1" ht="15" customHeight="1">
      <c r="E136" s="410" t="str">
        <f>Input!E136</f>
        <v>Allocation to faults</v>
      </c>
      <c r="G136" s="309" t="s">
        <v>49</v>
      </c>
      <c r="I136" s="149"/>
      <c r="AJ136" s="238"/>
      <c r="AK136" s="238"/>
      <c r="AL136" s="238"/>
      <c r="AM136" s="238"/>
      <c r="AN136" s="238"/>
      <c r="AO136" s="238"/>
      <c r="AP136" s="238"/>
      <c r="AQ136" s="238"/>
    </row>
    <row r="137" spans="5:43" s="309" customFormat="1" ht="15" customHeight="1">
      <c r="E137" s="553" t="s">
        <v>994</v>
      </c>
      <c r="G137" s="309" t="s">
        <v>49</v>
      </c>
      <c r="I137" s="498"/>
      <c r="AJ137" s="238"/>
      <c r="AK137" s="238"/>
      <c r="AL137" s="238"/>
      <c r="AM137" s="238"/>
      <c r="AN137" s="238"/>
      <c r="AO137" s="238"/>
      <c r="AP137" s="238"/>
      <c r="AQ137" s="238"/>
    </row>
    <row r="138" spans="5:43" s="309" customFormat="1" ht="15" customHeight="1">
      <c r="E138" s="410" t="str">
        <f>Input!E138</f>
        <v>Allocation to 100% ‘revenue pool’ expenditure</v>
      </c>
      <c r="G138" s="309" t="s">
        <v>49</v>
      </c>
      <c r="I138" s="149"/>
      <c r="AJ138" s="238"/>
      <c r="AK138" s="238"/>
      <c r="AL138" s="238"/>
      <c r="AM138" s="238"/>
      <c r="AN138" s="238"/>
      <c r="AO138" s="238"/>
      <c r="AP138" s="238"/>
      <c r="AQ138" s="238"/>
    </row>
    <row r="139" spans="5:43" s="309" customFormat="1" ht="15" customHeight="1">
      <c r="E139" s="410" t="str">
        <f>Input!E139</f>
        <v>Allocation to controllable opex</v>
      </c>
      <c r="G139" s="309" t="s">
        <v>49</v>
      </c>
      <c r="I139" s="149"/>
      <c r="AJ139" s="238"/>
      <c r="AK139" s="238"/>
      <c r="AL139" s="238"/>
      <c r="AM139" s="238"/>
      <c r="AN139" s="238"/>
      <c r="AO139" s="238"/>
      <c r="AP139" s="238"/>
      <c r="AQ139" s="238"/>
    </row>
    <row r="141" spans="5:43" s="309" customFormat="1" ht="15" customHeight="1">
      <c r="E141" s="149" t="str">
        <f>Input!E141</f>
        <v xml:space="preserve">Allowed Expenditure - Smart Meter Allowed Expenditure                                                                                                                                          </v>
      </c>
      <c r="G141" s="309" t="s">
        <v>844</v>
      </c>
      <c r="I141" s="409"/>
      <c r="AJ141" s="221"/>
      <c r="AK141" s="221"/>
      <c r="AL141" s="221"/>
      <c r="AM141" s="221"/>
      <c r="AN141" s="221"/>
      <c r="AO141" s="221"/>
      <c r="AP141" s="221"/>
      <c r="AQ141" s="221"/>
    </row>
    <row r="142" spans="5:43" s="309" customFormat="1" ht="15" customHeight="1">
      <c r="E142" s="410" t="str">
        <f>Input!E142</f>
        <v>Allocation to load related capex</v>
      </c>
      <c r="G142" s="309" t="s">
        <v>49</v>
      </c>
      <c r="I142" s="149"/>
      <c r="AJ142" s="238"/>
      <c r="AK142" s="238"/>
      <c r="AL142" s="238"/>
      <c r="AM142" s="238"/>
      <c r="AN142" s="238"/>
      <c r="AO142" s="238"/>
      <c r="AP142" s="238"/>
      <c r="AQ142" s="238"/>
    </row>
    <row r="143" spans="5:43" s="309" customFormat="1" ht="15" customHeight="1">
      <c r="E143" s="410" t="str">
        <f>Input!E143</f>
        <v>Allocation to non-load related capex - asset replacement</v>
      </c>
      <c r="G143" s="309" t="s">
        <v>49</v>
      </c>
      <c r="I143" s="149"/>
      <c r="AJ143" s="238"/>
      <c r="AK143" s="238"/>
      <c r="AL143" s="238"/>
      <c r="AM143" s="238"/>
      <c r="AN143" s="238"/>
      <c r="AO143" s="238"/>
      <c r="AP143" s="238"/>
      <c r="AQ143" s="238"/>
    </row>
    <row r="144" spans="5:43" s="309" customFormat="1" ht="15" customHeight="1">
      <c r="E144" s="410" t="str">
        <f>Input!E144</f>
        <v>Allocation to non-load related capex - other</v>
      </c>
      <c r="G144" s="309" t="s">
        <v>49</v>
      </c>
      <c r="I144" s="149"/>
      <c r="AJ144" s="238"/>
      <c r="AK144" s="238"/>
      <c r="AL144" s="238"/>
      <c r="AM144" s="238"/>
      <c r="AN144" s="238"/>
      <c r="AO144" s="238"/>
      <c r="AP144" s="238"/>
      <c r="AQ144" s="238"/>
    </row>
    <row r="145" spans="5:43" s="309" customFormat="1" ht="15" customHeight="1">
      <c r="E145" s="410" t="str">
        <f>Input!E145</f>
        <v>Allocation to faults</v>
      </c>
      <c r="G145" s="309" t="s">
        <v>49</v>
      </c>
      <c r="I145" s="149"/>
      <c r="AJ145" s="238"/>
      <c r="AK145" s="238"/>
      <c r="AL145" s="238"/>
      <c r="AM145" s="238"/>
      <c r="AN145" s="238"/>
      <c r="AO145" s="238"/>
      <c r="AP145" s="238"/>
      <c r="AQ145" s="238"/>
    </row>
    <row r="146" spans="5:43" s="309" customFormat="1" ht="15" customHeight="1">
      <c r="E146" s="553" t="s">
        <v>994</v>
      </c>
      <c r="G146" s="309" t="s">
        <v>49</v>
      </c>
      <c r="I146" s="498"/>
      <c r="AJ146" s="238"/>
      <c r="AK146" s="238"/>
      <c r="AL146" s="238"/>
      <c r="AM146" s="238"/>
      <c r="AN146" s="238"/>
      <c r="AO146" s="238"/>
      <c r="AP146" s="238"/>
      <c r="AQ146" s="238"/>
    </row>
    <row r="147" spans="5:43" s="309" customFormat="1" ht="15" customHeight="1">
      <c r="E147" s="410" t="str">
        <f>Input!E147</f>
        <v>Allocation to 100% ‘revenue pool’ expenditure</v>
      </c>
      <c r="G147" s="309" t="s">
        <v>49</v>
      </c>
      <c r="I147" s="149"/>
      <c r="AJ147" s="238"/>
      <c r="AK147" s="238"/>
      <c r="AL147" s="238"/>
      <c r="AM147" s="238"/>
      <c r="AN147" s="238"/>
      <c r="AO147" s="238"/>
      <c r="AP147" s="238"/>
      <c r="AQ147" s="238"/>
    </row>
    <row r="148" spans="5:43" s="309" customFormat="1" ht="15" customHeight="1">
      <c r="E148" s="410" t="str">
        <f>Input!E148</f>
        <v>Allocation to controllable opex</v>
      </c>
      <c r="G148" s="309" t="s">
        <v>49</v>
      </c>
      <c r="I148" s="149"/>
      <c r="AJ148" s="238"/>
      <c r="AK148" s="238"/>
      <c r="AL148" s="238"/>
      <c r="AM148" s="238"/>
      <c r="AN148" s="238"/>
      <c r="AO148" s="238"/>
      <c r="AP148" s="238"/>
      <c r="AQ148" s="238"/>
    </row>
    <row r="150" spans="5:43" s="309" customFormat="1" ht="15" customHeight="1">
      <c r="E150" s="149" t="str">
        <f>Input!E150</f>
        <v>Allowed Expenditure - Specified Street Works</v>
      </c>
      <c r="G150" s="309" t="s">
        <v>844</v>
      </c>
      <c r="I150" s="409"/>
      <c r="AJ150" s="221"/>
      <c r="AK150" s="221"/>
      <c r="AL150" s="221"/>
      <c r="AM150" s="221"/>
      <c r="AN150" s="221"/>
      <c r="AO150" s="221"/>
      <c r="AP150" s="221"/>
      <c r="AQ150" s="221"/>
    </row>
    <row r="151" spans="5:43" s="309" customFormat="1" ht="15" customHeight="1">
      <c r="E151" s="410" t="str">
        <f>Input!E151</f>
        <v>Allocation to load related capex</v>
      </c>
      <c r="G151" s="309" t="s">
        <v>49</v>
      </c>
      <c r="I151" s="149"/>
      <c r="AJ151" s="238"/>
      <c r="AK151" s="238"/>
      <c r="AL151" s="238"/>
      <c r="AM151" s="238"/>
      <c r="AN151" s="238"/>
      <c r="AO151" s="238"/>
      <c r="AP151" s="238"/>
      <c r="AQ151" s="238"/>
    </row>
    <row r="152" spans="5:43" s="309" customFormat="1" ht="15" customHeight="1">
      <c r="E152" s="410" t="str">
        <f>Input!E152</f>
        <v>Allocation to non-load related capex - asset replacement</v>
      </c>
      <c r="G152" s="309" t="s">
        <v>49</v>
      </c>
      <c r="I152" s="149"/>
      <c r="AJ152" s="238"/>
      <c r="AK152" s="238"/>
      <c r="AL152" s="238"/>
      <c r="AM152" s="238"/>
      <c r="AN152" s="238"/>
      <c r="AO152" s="238"/>
      <c r="AP152" s="238"/>
      <c r="AQ152" s="238"/>
    </row>
    <row r="153" spans="5:43" s="309" customFormat="1" ht="15" customHeight="1">
      <c r="E153" s="410" t="str">
        <f>Input!E153</f>
        <v>Allocation to non-load related capex - other</v>
      </c>
      <c r="G153" s="309" t="s">
        <v>49</v>
      </c>
      <c r="I153" s="149"/>
      <c r="AJ153" s="238"/>
      <c r="AK153" s="238"/>
      <c r="AL153" s="238"/>
      <c r="AM153" s="238"/>
      <c r="AN153" s="238"/>
      <c r="AO153" s="238"/>
      <c r="AP153" s="238"/>
      <c r="AQ153" s="238"/>
    </row>
    <row r="154" spans="5:43" s="309" customFormat="1" ht="15" customHeight="1">
      <c r="E154" s="410" t="str">
        <f>Input!E154</f>
        <v>Allocation to faults</v>
      </c>
      <c r="G154" s="309" t="s">
        <v>49</v>
      </c>
      <c r="I154" s="149"/>
      <c r="AJ154" s="238"/>
      <c r="AK154" s="238"/>
      <c r="AL154" s="238"/>
      <c r="AM154" s="238"/>
      <c r="AN154" s="238"/>
      <c r="AO154" s="238"/>
      <c r="AP154" s="238"/>
      <c r="AQ154" s="238"/>
    </row>
    <row r="155" spans="5:43" s="309" customFormat="1" ht="15" customHeight="1">
      <c r="E155" s="553" t="s">
        <v>994</v>
      </c>
      <c r="G155" s="309" t="s">
        <v>49</v>
      </c>
      <c r="I155" s="498"/>
      <c r="AJ155" s="238"/>
      <c r="AK155" s="238"/>
      <c r="AL155" s="238"/>
      <c r="AM155" s="238"/>
      <c r="AN155" s="238"/>
      <c r="AO155" s="238"/>
      <c r="AP155" s="238"/>
      <c r="AQ155" s="238"/>
    </row>
    <row r="156" spans="5:43" s="309" customFormat="1" ht="15" customHeight="1">
      <c r="E156" s="410" t="str">
        <f>Input!E156</f>
        <v>Allocation to 100% ‘revenue pool’ expenditure</v>
      </c>
      <c r="G156" s="309" t="s">
        <v>49</v>
      </c>
      <c r="I156" s="149"/>
      <c r="AJ156" s="238"/>
      <c r="AK156" s="238"/>
      <c r="AL156" s="238"/>
      <c r="AM156" s="238"/>
      <c r="AN156" s="238"/>
      <c r="AO156" s="238"/>
      <c r="AP156" s="238"/>
      <c r="AQ156" s="238"/>
    </row>
    <row r="157" spans="5:43" s="309" customFormat="1" ht="15" customHeight="1">
      <c r="E157" s="410" t="str">
        <f>Input!E157</f>
        <v>Allocation to controllable opex</v>
      </c>
      <c r="G157" s="309" t="s">
        <v>49</v>
      </c>
      <c r="I157" s="149"/>
      <c r="AJ157" s="238"/>
      <c r="AK157" s="238"/>
      <c r="AL157" s="238"/>
      <c r="AM157" s="238"/>
      <c r="AN157" s="238"/>
      <c r="AO157" s="238"/>
      <c r="AP157" s="238"/>
      <c r="AQ157" s="238"/>
    </row>
    <row r="159" spans="5:43" s="309" customFormat="1" ht="15" customHeight="1">
      <c r="E159" s="149" t="str">
        <f>Input!E159</f>
        <v>Allowed Expenditure - Load Related</v>
      </c>
      <c r="G159" s="309" t="s">
        <v>844</v>
      </c>
      <c r="I159" s="409"/>
      <c r="AJ159" s="221"/>
      <c r="AK159" s="221"/>
      <c r="AL159" s="221"/>
      <c r="AM159" s="221"/>
      <c r="AN159" s="221"/>
      <c r="AO159" s="221"/>
      <c r="AP159" s="221"/>
      <c r="AQ159" s="221"/>
    </row>
    <row r="160" spans="5:43" s="309" customFormat="1" ht="15" customHeight="1">
      <c r="E160" s="410" t="str">
        <f>Input!E160</f>
        <v>Allocation to load related capex</v>
      </c>
      <c r="G160" s="309" t="s">
        <v>49</v>
      </c>
      <c r="I160" s="149"/>
      <c r="AJ160" s="238"/>
      <c r="AK160" s="238"/>
      <c r="AL160" s="238"/>
      <c r="AM160" s="238"/>
      <c r="AN160" s="238"/>
      <c r="AO160" s="238"/>
      <c r="AP160" s="238"/>
      <c r="AQ160" s="238"/>
    </row>
    <row r="161" spans="5:43" s="309" customFormat="1" ht="15" customHeight="1">
      <c r="E161" s="410" t="str">
        <f>Input!E161</f>
        <v>Allocation to non-load related capex - asset replacement</v>
      </c>
      <c r="G161" s="309" t="s">
        <v>49</v>
      </c>
      <c r="I161" s="149"/>
      <c r="AJ161" s="238"/>
      <c r="AK161" s="238"/>
      <c r="AL161" s="238"/>
      <c r="AM161" s="238"/>
      <c r="AN161" s="238"/>
      <c r="AO161" s="238"/>
      <c r="AP161" s="238"/>
      <c r="AQ161" s="238"/>
    </row>
    <row r="162" spans="5:43" s="309" customFormat="1" ht="15" customHeight="1">
      <c r="E162" s="410" t="str">
        <f>Input!E162</f>
        <v>Allocation to non-load related capex - other</v>
      </c>
      <c r="G162" s="309" t="s">
        <v>49</v>
      </c>
      <c r="I162" s="149"/>
      <c r="AJ162" s="238"/>
      <c r="AK162" s="238"/>
      <c r="AL162" s="238"/>
      <c r="AM162" s="238"/>
      <c r="AN162" s="238"/>
      <c r="AO162" s="238"/>
      <c r="AP162" s="238"/>
      <c r="AQ162" s="238"/>
    </row>
    <row r="163" spans="5:43" s="309" customFormat="1" ht="15" customHeight="1">
      <c r="E163" s="410" t="str">
        <f>Input!E163</f>
        <v>Allocation to faults</v>
      </c>
      <c r="G163" s="309" t="s">
        <v>49</v>
      </c>
      <c r="I163" s="149"/>
      <c r="AJ163" s="238"/>
      <c r="AK163" s="238"/>
      <c r="AL163" s="238"/>
      <c r="AM163" s="238"/>
      <c r="AN163" s="238"/>
      <c r="AO163" s="238"/>
      <c r="AP163" s="238"/>
      <c r="AQ163" s="238"/>
    </row>
    <row r="164" spans="5:43" s="309" customFormat="1" ht="15" customHeight="1">
      <c r="E164" s="553" t="s">
        <v>994</v>
      </c>
      <c r="G164" s="309" t="s">
        <v>49</v>
      </c>
      <c r="I164" s="498"/>
      <c r="AJ164" s="238"/>
      <c r="AK164" s="238"/>
      <c r="AL164" s="238"/>
      <c r="AM164" s="238"/>
      <c r="AN164" s="238"/>
      <c r="AO164" s="238"/>
      <c r="AP164" s="238"/>
      <c r="AQ164" s="238"/>
    </row>
    <row r="165" spans="5:43" s="309" customFormat="1" ht="15" customHeight="1">
      <c r="E165" s="410" t="str">
        <f>Input!E165</f>
        <v>Allocation to 100% ‘revenue pool’ expenditure</v>
      </c>
      <c r="G165" s="309" t="s">
        <v>49</v>
      </c>
      <c r="I165" s="149"/>
      <c r="AJ165" s="238"/>
      <c r="AK165" s="238"/>
      <c r="AL165" s="238"/>
      <c r="AM165" s="238"/>
      <c r="AN165" s="238"/>
      <c r="AO165" s="238"/>
      <c r="AP165" s="238"/>
      <c r="AQ165" s="238"/>
    </row>
    <row r="166" spans="5:43" s="309" customFormat="1" ht="15" customHeight="1">
      <c r="E166" s="410" t="str">
        <f>Input!E166</f>
        <v>Allocation to controllable opex</v>
      </c>
      <c r="G166" s="309" t="s">
        <v>49</v>
      </c>
      <c r="I166" s="149"/>
      <c r="AJ166" s="238"/>
      <c r="AK166" s="238"/>
      <c r="AL166" s="238"/>
      <c r="AM166" s="238"/>
      <c r="AN166" s="238"/>
      <c r="AO166" s="238"/>
      <c r="AP166" s="238"/>
      <c r="AQ166" s="238"/>
    </row>
    <row r="168" spans="5:43" s="498" customFormat="1" ht="15" customHeight="1">
      <c r="E168" s="498" t="str">
        <f>Input!E168</f>
        <v>Allowed Expenditure - Rail Electrification</v>
      </c>
      <c r="G168" s="309" t="s">
        <v>844</v>
      </c>
      <c r="AJ168" s="221"/>
      <c r="AK168" s="221"/>
      <c r="AL168" s="221"/>
      <c r="AM168" s="221"/>
      <c r="AN168" s="221"/>
      <c r="AO168" s="221"/>
      <c r="AP168" s="221"/>
      <c r="AQ168" s="221"/>
    </row>
    <row r="169" spans="5:43" s="498" customFormat="1" ht="15" customHeight="1">
      <c r="E169" s="410" t="str">
        <f>Input!E169</f>
        <v>Allocation to load related capex</v>
      </c>
      <c r="G169" s="309" t="s">
        <v>49</v>
      </c>
      <c r="AJ169" s="238"/>
      <c r="AK169" s="238"/>
      <c r="AL169" s="238"/>
      <c r="AM169" s="238"/>
      <c r="AN169" s="238"/>
      <c r="AO169" s="238"/>
      <c r="AP169" s="238"/>
      <c r="AQ169" s="238"/>
    </row>
    <row r="170" spans="5:43" s="498" customFormat="1" ht="15" customHeight="1">
      <c r="E170" s="410" t="str">
        <f>Input!E170</f>
        <v>Allocation to non-load related capex - asset replacement</v>
      </c>
      <c r="G170" s="309" t="s">
        <v>49</v>
      </c>
      <c r="AJ170" s="238"/>
      <c r="AK170" s="238"/>
      <c r="AL170" s="238"/>
      <c r="AM170" s="238"/>
      <c r="AN170" s="238"/>
      <c r="AO170" s="238"/>
      <c r="AP170" s="238"/>
      <c r="AQ170" s="238"/>
    </row>
    <row r="171" spans="5:43" s="498" customFormat="1" ht="15" customHeight="1">
      <c r="E171" s="410" t="str">
        <f>Input!E171</f>
        <v>Allocation to non-load related capex - other</v>
      </c>
      <c r="G171" s="309" t="s">
        <v>49</v>
      </c>
      <c r="AJ171" s="238"/>
      <c r="AK171" s="238"/>
      <c r="AL171" s="238"/>
      <c r="AM171" s="238"/>
      <c r="AN171" s="238"/>
      <c r="AO171" s="238"/>
      <c r="AP171" s="238"/>
      <c r="AQ171" s="238"/>
    </row>
    <row r="172" spans="5:43" s="498" customFormat="1" ht="15" customHeight="1">
      <c r="E172" s="410" t="str">
        <f>Input!E172</f>
        <v>Allocation to faults</v>
      </c>
      <c r="G172" s="309" t="s">
        <v>49</v>
      </c>
      <c r="AJ172" s="238"/>
      <c r="AK172" s="238"/>
      <c r="AL172" s="238"/>
      <c r="AM172" s="238"/>
      <c r="AN172" s="238"/>
      <c r="AO172" s="238"/>
      <c r="AP172" s="238"/>
      <c r="AQ172" s="238"/>
    </row>
    <row r="173" spans="5:43" s="498" customFormat="1" ht="15" customHeight="1">
      <c r="E173" s="553" t="s">
        <v>994</v>
      </c>
      <c r="G173" s="309" t="s">
        <v>49</v>
      </c>
      <c r="AJ173" s="238"/>
      <c r="AK173" s="238"/>
      <c r="AL173" s="238"/>
      <c r="AM173" s="238"/>
      <c r="AN173" s="238"/>
      <c r="AO173" s="238"/>
      <c r="AP173" s="238"/>
      <c r="AQ173" s="238"/>
    </row>
    <row r="174" spans="5:43" s="498" customFormat="1" ht="15" customHeight="1">
      <c r="E174" s="410" t="str">
        <f>Input!E174</f>
        <v>Allocation to 100% ‘revenue pool’ expenditure</v>
      </c>
      <c r="G174" s="309" t="s">
        <v>49</v>
      </c>
      <c r="AJ174" s="238"/>
      <c r="AK174" s="238"/>
      <c r="AL174" s="238"/>
      <c r="AM174" s="238"/>
      <c r="AN174" s="238"/>
      <c r="AO174" s="238"/>
      <c r="AP174" s="238"/>
      <c r="AQ174" s="238"/>
    </row>
    <row r="175" spans="5:43" s="498" customFormat="1" ht="15" customHeight="1">
      <c r="E175" s="410" t="str">
        <f>Input!E175</f>
        <v>Allocation to controllable opex</v>
      </c>
      <c r="G175" s="309" t="s">
        <v>49</v>
      </c>
      <c r="AJ175" s="238"/>
      <c r="AK175" s="238"/>
      <c r="AL175" s="238"/>
      <c r="AM175" s="238"/>
      <c r="AN175" s="238"/>
      <c r="AO175" s="238"/>
      <c r="AP175" s="238"/>
      <c r="AQ175" s="238"/>
    </row>
    <row r="176" spans="5:43" s="498" customFormat="1" ht="15" customHeight="1"/>
    <row r="177" spans="5:43" s="309" customFormat="1" ht="15" customHeight="1">
      <c r="E177" s="149" t="str">
        <f>Input!E177</f>
        <v>Spare 1</v>
      </c>
      <c r="G177" s="309" t="s">
        <v>844</v>
      </c>
      <c r="I177" s="409"/>
      <c r="AJ177" s="221"/>
      <c r="AK177" s="221"/>
      <c r="AL177" s="221"/>
      <c r="AM177" s="221"/>
      <c r="AN177" s="221"/>
      <c r="AO177" s="221"/>
      <c r="AP177" s="221"/>
      <c r="AQ177" s="221"/>
    </row>
    <row r="178" spans="5:43" s="309" customFormat="1" ht="15" customHeight="1">
      <c r="E178" s="410" t="str">
        <f>Input!E178</f>
        <v>Allocation to load related capex</v>
      </c>
      <c r="G178" s="309" t="s">
        <v>49</v>
      </c>
      <c r="I178" s="149"/>
      <c r="AJ178" s="238"/>
      <c r="AK178" s="238"/>
      <c r="AL178" s="238"/>
      <c r="AM178" s="238"/>
      <c r="AN178" s="238"/>
      <c r="AO178" s="238"/>
      <c r="AP178" s="238"/>
      <c r="AQ178" s="238"/>
    </row>
    <row r="179" spans="5:43" s="309" customFormat="1" ht="15" customHeight="1">
      <c r="E179" s="410" t="str">
        <f>Input!E179</f>
        <v>Allocation to non-load related capex - asset replacement</v>
      </c>
      <c r="G179" s="309" t="s">
        <v>49</v>
      </c>
      <c r="I179" s="149"/>
      <c r="AJ179" s="238"/>
      <c r="AK179" s="238"/>
      <c r="AL179" s="238"/>
      <c r="AM179" s="238"/>
      <c r="AN179" s="238"/>
      <c r="AO179" s="238"/>
      <c r="AP179" s="238"/>
      <c r="AQ179" s="238"/>
    </row>
    <row r="180" spans="5:43" s="309" customFormat="1" ht="15" customHeight="1">
      <c r="E180" s="410" t="str">
        <f>Input!E180</f>
        <v>Allocation to non-load related capex - other</v>
      </c>
      <c r="G180" s="309" t="s">
        <v>49</v>
      </c>
      <c r="I180" s="149"/>
      <c r="AJ180" s="238"/>
      <c r="AK180" s="238"/>
      <c r="AL180" s="238"/>
      <c r="AM180" s="238"/>
      <c r="AN180" s="238"/>
      <c r="AO180" s="238"/>
      <c r="AP180" s="238"/>
      <c r="AQ180" s="238"/>
    </row>
    <row r="181" spans="5:43" s="309" customFormat="1" ht="15" customHeight="1">
      <c r="E181" s="410" t="str">
        <f>Input!E181</f>
        <v>Allocation to faults</v>
      </c>
      <c r="G181" s="309" t="s">
        <v>49</v>
      </c>
      <c r="I181" s="149"/>
      <c r="AJ181" s="238"/>
      <c r="AK181" s="238"/>
      <c r="AL181" s="238"/>
      <c r="AM181" s="238"/>
      <c r="AN181" s="238"/>
      <c r="AO181" s="238"/>
      <c r="AP181" s="238"/>
      <c r="AQ181" s="238"/>
    </row>
    <row r="182" spans="5:43" s="309" customFormat="1" ht="15" customHeight="1">
      <c r="E182" s="553" t="s">
        <v>994</v>
      </c>
      <c r="I182" s="498"/>
      <c r="AJ182" s="238"/>
      <c r="AK182" s="238"/>
      <c r="AL182" s="238"/>
      <c r="AM182" s="238"/>
      <c r="AN182" s="238"/>
      <c r="AO182" s="238"/>
      <c r="AP182" s="238"/>
      <c r="AQ182" s="238"/>
    </row>
    <row r="183" spans="5:43" s="309" customFormat="1" ht="15" customHeight="1">
      <c r="E183" s="410" t="str">
        <f>Input!E183</f>
        <v>Allocation to 100% ‘revenue pool’ expenditure</v>
      </c>
      <c r="G183" s="309" t="s">
        <v>49</v>
      </c>
      <c r="I183" s="149"/>
      <c r="AJ183" s="238"/>
      <c r="AK183" s="238"/>
      <c r="AL183" s="238"/>
      <c r="AM183" s="238"/>
      <c r="AN183" s="238"/>
      <c r="AO183" s="238"/>
      <c r="AP183" s="238"/>
      <c r="AQ183" s="238"/>
    </row>
    <row r="184" spans="5:43" s="309" customFormat="1" ht="15" customHeight="1">
      <c r="E184" s="410" t="str">
        <f>Input!E184</f>
        <v>Allocation to controllable opex</v>
      </c>
      <c r="G184" s="309" t="s">
        <v>49</v>
      </c>
      <c r="I184" s="149"/>
      <c r="AJ184" s="238"/>
      <c r="AK184" s="238"/>
      <c r="AL184" s="238"/>
      <c r="AM184" s="238"/>
      <c r="AN184" s="238"/>
      <c r="AO184" s="238"/>
      <c r="AP184" s="238"/>
      <c r="AQ184" s="238"/>
    </row>
    <row r="186" spans="5:43" ht="15" customHeight="1">
      <c r="E186" s="149" t="str">
        <f>E28</f>
        <v>Spare 2</v>
      </c>
      <c r="F186" s="309"/>
      <c r="G186" s="309" t="s">
        <v>844</v>
      </c>
      <c r="AJ186" s="221"/>
      <c r="AK186" s="221"/>
      <c r="AL186" s="221"/>
      <c r="AM186" s="221"/>
      <c r="AN186" s="221"/>
      <c r="AO186" s="221"/>
      <c r="AP186" s="221"/>
      <c r="AQ186" s="221"/>
    </row>
    <row r="187" spans="5:43" ht="15" customHeight="1">
      <c r="E187" s="410" t="str">
        <f>Input!E187</f>
        <v>Allocation to load related capex</v>
      </c>
      <c r="F187" s="309"/>
      <c r="G187" s="309" t="s">
        <v>49</v>
      </c>
      <c r="AJ187" s="238"/>
      <c r="AK187" s="238"/>
      <c r="AL187" s="238"/>
      <c r="AM187" s="238"/>
      <c r="AN187" s="238"/>
      <c r="AO187" s="238"/>
      <c r="AP187" s="238"/>
      <c r="AQ187" s="238"/>
    </row>
    <row r="188" spans="5:43" ht="15" customHeight="1">
      <c r="E188" s="410" t="str">
        <f>Input!E188</f>
        <v>Allocation to non-load related capex - asset replacement</v>
      </c>
      <c r="F188" s="309"/>
      <c r="G188" s="309" t="s">
        <v>49</v>
      </c>
      <c r="AJ188" s="238"/>
      <c r="AK188" s="238"/>
      <c r="AL188" s="238"/>
      <c r="AM188" s="238"/>
      <c r="AN188" s="238"/>
      <c r="AO188" s="238"/>
      <c r="AP188" s="238"/>
      <c r="AQ188" s="238"/>
    </row>
    <row r="189" spans="5:43" ht="15" customHeight="1">
      <c r="E189" s="410" t="str">
        <f>Input!E189</f>
        <v>Allocation to non-load related capex - other</v>
      </c>
      <c r="F189" s="309"/>
      <c r="G189" s="309" t="s">
        <v>49</v>
      </c>
      <c r="AJ189" s="238"/>
      <c r="AK189" s="238"/>
      <c r="AL189" s="238"/>
      <c r="AM189" s="238"/>
      <c r="AN189" s="238"/>
      <c r="AO189" s="238"/>
      <c r="AP189" s="238"/>
      <c r="AQ189" s="238"/>
    </row>
    <row r="190" spans="5:43" ht="15" customHeight="1">
      <c r="E190" s="410" t="str">
        <f>Input!E190</f>
        <v>Allocation to faults</v>
      </c>
      <c r="F190" s="309"/>
      <c r="G190" s="309" t="s">
        <v>49</v>
      </c>
      <c r="AJ190" s="238"/>
      <c r="AK190" s="238"/>
      <c r="AL190" s="238"/>
      <c r="AM190" s="238"/>
      <c r="AN190" s="238"/>
      <c r="AO190" s="238"/>
      <c r="AP190" s="238"/>
      <c r="AQ190" s="238"/>
    </row>
    <row r="191" spans="5:43" s="498" customFormat="1" ht="15" customHeight="1">
      <c r="E191" s="553" t="s">
        <v>994</v>
      </c>
      <c r="F191" s="309"/>
      <c r="G191" s="309" t="s">
        <v>49</v>
      </c>
      <c r="AJ191" s="238"/>
      <c r="AK191" s="238"/>
      <c r="AL191" s="238"/>
      <c r="AM191" s="238"/>
      <c r="AN191" s="238"/>
      <c r="AO191" s="238"/>
      <c r="AP191" s="238"/>
      <c r="AQ191" s="238"/>
    </row>
    <row r="192" spans="5:43" ht="15" customHeight="1">
      <c r="E192" s="410" t="str">
        <f>Input!E192</f>
        <v>Allocation to 100% ‘revenue pool’ expenditure</v>
      </c>
      <c r="F192" s="309"/>
      <c r="G192" s="309" t="s">
        <v>49</v>
      </c>
      <c r="AJ192" s="238"/>
      <c r="AK192" s="238"/>
      <c r="AL192" s="238"/>
      <c r="AM192" s="238"/>
      <c r="AN192" s="238"/>
      <c r="AO192" s="238"/>
      <c r="AP192" s="238"/>
      <c r="AQ192" s="238"/>
    </row>
    <row r="193" spans="5:43" ht="15" customHeight="1">
      <c r="E193" s="410" t="str">
        <f>Input!E193</f>
        <v>Allocation to controllable opex</v>
      </c>
      <c r="F193" s="309"/>
      <c r="G193" s="309" t="s">
        <v>49</v>
      </c>
      <c r="AJ193" s="238"/>
      <c r="AK193" s="238"/>
      <c r="AL193" s="238"/>
      <c r="AM193" s="238"/>
      <c r="AN193" s="238"/>
      <c r="AO193" s="238"/>
      <c r="AP193" s="238"/>
      <c r="AQ193" s="238"/>
    </row>
    <row r="195" spans="5:43" ht="15" customHeight="1">
      <c r="E195" s="149" t="str">
        <f>E29</f>
        <v>Spare 3</v>
      </c>
      <c r="F195" s="309"/>
      <c r="G195" s="309" t="s">
        <v>844</v>
      </c>
      <c r="AJ195" s="221"/>
      <c r="AK195" s="221"/>
      <c r="AL195" s="221"/>
      <c r="AM195" s="221"/>
      <c r="AN195" s="221"/>
      <c r="AO195" s="221"/>
      <c r="AP195" s="221"/>
      <c r="AQ195" s="221"/>
    </row>
    <row r="196" spans="5:43" ht="15" customHeight="1">
      <c r="E196" s="410" t="str">
        <f>Input!E196</f>
        <v>Allocation to load related capex</v>
      </c>
      <c r="F196" s="309"/>
      <c r="G196" s="309" t="s">
        <v>49</v>
      </c>
      <c r="AJ196" s="238"/>
      <c r="AK196" s="238"/>
      <c r="AL196" s="238"/>
      <c r="AM196" s="238"/>
      <c r="AN196" s="238"/>
      <c r="AO196" s="238"/>
      <c r="AP196" s="238"/>
      <c r="AQ196" s="238"/>
    </row>
    <row r="197" spans="5:43" ht="15" customHeight="1">
      <c r="E197" s="410" t="str">
        <f>Input!E197</f>
        <v>Allocation to non-load related capex - asset replacement</v>
      </c>
      <c r="F197" s="309"/>
      <c r="G197" s="309" t="s">
        <v>49</v>
      </c>
      <c r="AJ197" s="238"/>
      <c r="AK197" s="238"/>
      <c r="AL197" s="238"/>
      <c r="AM197" s="238"/>
      <c r="AN197" s="238"/>
      <c r="AO197" s="238"/>
      <c r="AP197" s="238"/>
      <c r="AQ197" s="238"/>
    </row>
    <row r="198" spans="5:43" ht="15" customHeight="1">
      <c r="E198" s="410" t="str">
        <f>Input!E198</f>
        <v>Allocation to non-load related capex - other</v>
      </c>
      <c r="F198" s="309"/>
      <c r="G198" s="309" t="s">
        <v>49</v>
      </c>
      <c r="AJ198" s="238"/>
      <c r="AK198" s="238"/>
      <c r="AL198" s="238"/>
      <c r="AM198" s="238"/>
      <c r="AN198" s="238"/>
      <c r="AO198" s="238"/>
      <c r="AP198" s="238"/>
      <c r="AQ198" s="238"/>
    </row>
    <row r="199" spans="5:43" ht="15" customHeight="1">
      <c r="E199" s="410" t="str">
        <f>Input!E199</f>
        <v>Allocation to faults</v>
      </c>
      <c r="F199" s="309"/>
      <c r="G199" s="309" t="s">
        <v>49</v>
      </c>
      <c r="AJ199" s="238"/>
      <c r="AK199" s="238"/>
      <c r="AL199" s="238"/>
      <c r="AM199" s="238"/>
      <c r="AN199" s="238"/>
      <c r="AO199" s="238"/>
      <c r="AP199" s="238"/>
      <c r="AQ199" s="238"/>
    </row>
    <row r="200" spans="5:43" s="498" customFormat="1" ht="15" customHeight="1">
      <c r="E200" s="553" t="s">
        <v>994</v>
      </c>
      <c r="F200" s="309"/>
      <c r="G200" s="309" t="s">
        <v>49</v>
      </c>
      <c r="AJ200" s="238"/>
      <c r="AK200" s="238"/>
      <c r="AL200" s="238"/>
      <c r="AM200" s="238"/>
      <c r="AN200" s="238"/>
      <c r="AO200" s="238"/>
      <c r="AP200" s="238"/>
      <c r="AQ200" s="238"/>
    </row>
    <row r="201" spans="5:43" ht="15" customHeight="1">
      <c r="E201" s="410" t="str">
        <f>Input!E201</f>
        <v>Allocation to 100% ‘revenue pool’ expenditure</v>
      </c>
      <c r="F201" s="309"/>
      <c r="G201" s="309" t="s">
        <v>49</v>
      </c>
      <c r="AJ201" s="238"/>
      <c r="AK201" s="238"/>
      <c r="AL201" s="238"/>
      <c r="AM201" s="238"/>
      <c r="AN201" s="238"/>
      <c r="AO201" s="238"/>
      <c r="AP201" s="238"/>
      <c r="AQ201" s="238"/>
    </row>
    <row r="202" spans="5:43" ht="15" customHeight="1">
      <c r="E202" s="410" t="str">
        <f>Input!E202</f>
        <v>Allocation to controllable opex</v>
      </c>
      <c r="F202" s="309"/>
      <c r="G202" s="309" t="s">
        <v>49</v>
      </c>
      <c r="AJ202" s="238"/>
      <c r="AK202" s="238"/>
      <c r="AL202" s="238"/>
      <c r="AM202" s="238"/>
      <c r="AN202" s="238"/>
      <c r="AO202" s="238"/>
      <c r="AP202" s="238"/>
      <c r="AQ202" s="238"/>
    </row>
    <row r="204" spans="5:43" s="309" customFormat="1" ht="15" customHeight="1">
      <c r="E204" s="149" t="str">
        <f>E30</f>
        <v xml:space="preserve">Allowed Expenditure - Innovation Roll-out </v>
      </c>
      <c r="G204" s="309" t="s">
        <v>844</v>
      </c>
      <c r="I204" s="409"/>
      <c r="AJ204" s="221"/>
      <c r="AK204" s="221"/>
      <c r="AL204" s="221"/>
      <c r="AM204" s="221"/>
      <c r="AN204" s="221"/>
      <c r="AO204" s="221"/>
      <c r="AP204" s="221"/>
      <c r="AQ204" s="221"/>
    </row>
    <row r="205" spans="5:43" s="309" customFormat="1" ht="15" customHeight="1">
      <c r="E205" s="410" t="str">
        <f>Input!E205</f>
        <v>Allocation to load related capex</v>
      </c>
      <c r="G205" s="309" t="s">
        <v>49</v>
      </c>
      <c r="I205" s="409"/>
      <c r="AJ205" s="238"/>
      <c r="AK205" s="238"/>
      <c r="AL205" s="238"/>
      <c r="AM205" s="238"/>
      <c r="AN205" s="238"/>
      <c r="AO205" s="238"/>
      <c r="AP205" s="238"/>
      <c r="AQ205" s="238"/>
    </row>
    <row r="206" spans="5:43" s="309" customFormat="1" ht="15" customHeight="1">
      <c r="E206" s="410" t="str">
        <f>Input!E206</f>
        <v>Allocation to non-load related capex - asset replacement</v>
      </c>
      <c r="G206" s="309" t="s">
        <v>49</v>
      </c>
      <c r="I206" s="409"/>
      <c r="AJ206" s="238"/>
      <c r="AK206" s="238"/>
      <c r="AL206" s="238"/>
      <c r="AM206" s="238"/>
      <c r="AN206" s="238"/>
      <c r="AO206" s="238"/>
      <c r="AP206" s="238"/>
      <c r="AQ206" s="238"/>
    </row>
    <row r="207" spans="5:43" s="309" customFormat="1" ht="15" customHeight="1">
      <c r="E207" s="410" t="str">
        <f>Input!E207</f>
        <v>Allocation to non-load related capex - other</v>
      </c>
      <c r="G207" s="309" t="s">
        <v>49</v>
      </c>
      <c r="I207" s="409"/>
      <c r="AJ207" s="238"/>
      <c r="AK207" s="238"/>
      <c r="AL207" s="238"/>
      <c r="AM207" s="238"/>
      <c r="AN207" s="238"/>
      <c r="AO207" s="238"/>
      <c r="AP207" s="238"/>
      <c r="AQ207" s="238"/>
    </row>
    <row r="208" spans="5:43" s="309" customFormat="1" ht="15" customHeight="1">
      <c r="E208" s="410" t="str">
        <f>Input!E208</f>
        <v>Allocation to faults</v>
      </c>
      <c r="G208" s="309" t="s">
        <v>49</v>
      </c>
      <c r="I208" s="409"/>
      <c r="AJ208" s="238"/>
      <c r="AK208" s="238"/>
      <c r="AL208" s="238"/>
      <c r="AM208" s="238"/>
      <c r="AN208" s="238"/>
      <c r="AO208" s="238"/>
      <c r="AP208" s="238"/>
      <c r="AQ208" s="238"/>
    </row>
    <row r="209" spans="4:44" s="309" customFormat="1" ht="15" customHeight="1">
      <c r="E209" s="553" t="s">
        <v>994</v>
      </c>
      <c r="G209" s="309" t="s">
        <v>49</v>
      </c>
      <c r="I209" s="409"/>
      <c r="AJ209" s="238"/>
      <c r="AK209" s="238"/>
      <c r="AL209" s="238"/>
      <c r="AM209" s="238"/>
      <c r="AN209" s="238"/>
      <c r="AO209" s="238"/>
      <c r="AP209" s="238"/>
      <c r="AQ209" s="238"/>
    </row>
    <row r="210" spans="4:44" s="309" customFormat="1" ht="15" customHeight="1">
      <c r="E210" s="410" t="str">
        <f>Input!E210</f>
        <v>Allocation to 100% ‘revenue pool’ expenditure</v>
      </c>
      <c r="G210" s="309" t="s">
        <v>49</v>
      </c>
      <c r="I210" s="409"/>
      <c r="AJ210" s="238"/>
      <c r="AK210" s="238"/>
      <c r="AL210" s="238"/>
      <c r="AM210" s="238"/>
      <c r="AN210" s="238"/>
      <c r="AO210" s="238"/>
      <c r="AP210" s="238"/>
      <c r="AQ210" s="238"/>
    </row>
    <row r="211" spans="4:44" s="309" customFormat="1" ht="15" customHeight="1">
      <c r="E211" s="410" t="str">
        <f>Input!E211</f>
        <v>Allocation to controllable opex</v>
      </c>
      <c r="G211" s="309" t="s">
        <v>49</v>
      </c>
      <c r="I211" s="409"/>
      <c r="AJ211" s="238"/>
      <c r="AK211" s="238"/>
      <c r="AL211" s="238"/>
      <c r="AM211" s="238"/>
      <c r="AN211" s="238"/>
      <c r="AO211" s="238"/>
      <c r="AP211" s="238"/>
      <c r="AQ211" s="238"/>
    </row>
    <row r="212" spans="4:44" s="309" customFormat="1" ht="15" customHeight="1">
      <c r="E212" s="163"/>
      <c r="I212" s="409"/>
      <c r="AJ212" s="147"/>
      <c r="AK212" s="147"/>
      <c r="AL212" s="147"/>
      <c r="AM212" s="147"/>
      <c r="AN212" s="147"/>
      <c r="AO212" s="147"/>
      <c r="AP212" s="147"/>
      <c r="AQ212" s="147"/>
    </row>
    <row r="213" spans="4:44" s="309" customFormat="1" ht="15" customHeight="1">
      <c r="E213" s="163" t="str">
        <f>Input!E213</f>
        <v>Variant allowed load related capex</v>
      </c>
      <c r="F213" s="19"/>
      <c r="G213" s="309" t="s">
        <v>844</v>
      </c>
      <c r="H213" s="19"/>
      <c r="I213" s="57"/>
      <c r="J213" s="19"/>
      <c r="K213" s="19"/>
      <c r="L213" s="19"/>
      <c r="M213" s="19"/>
      <c r="N213" s="19"/>
      <c r="O213" s="19"/>
      <c r="P213" s="19"/>
      <c r="Q213" s="19"/>
      <c r="R213" s="19"/>
      <c r="S213" s="19"/>
      <c r="T213" s="19"/>
      <c r="U213" s="19"/>
      <c r="V213" s="19"/>
      <c r="W213" s="19"/>
      <c r="X213" s="19"/>
      <c r="Y213" s="19"/>
      <c r="Z213" s="19"/>
      <c r="AA213" s="19"/>
      <c r="AB213" s="19"/>
      <c r="AC213" s="19"/>
      <c r="AD213" s="19"/>
      <c r="AE213" s="149"/>
      <c r="AJ213" s="152"/>
      <c r="AK213" s="152"/>
      <c r="AL213" s="152"/>
      <c r="AM213" s="152"/>
      <c r="AN213" s="152"/>
      <c r="AO213" s="152"/>
      <c r="AP213" s="152"/>
      <c r="AQ213" s="152"/>
    </row>
    <row r="214" spans="4:44" s="309" customFormat="1" ht="15" customHeight="1">
      <c r="E214" s="163" t="str">
        <f>Input!E214</f>
        <v>Variant allowed non-load related capex - asset replacement</v>
      </c>
      <c r="G214" s="309" t="s">
        <v>844</v>
      </c>
      <c r="I214" s="409"/>
      <c r="AE214" s="149"/>
      <c r="AJ214" s="152"/>
      <c r="AK214" s="152"/>
      <c r="AL214" s="152"/>
      <c r="AM214" s="152"/>
      <c r="AN214" s="152"/>
      <c r="AO214" s="152"/>
      <c r="AP214" s="152"/>
      <c r="AQ214" s="152"/>
    </row>
    <row r="215" spans="4:44" s="309" customFormat="1" ht="15" customHeight="1">
      <c r="E215" s="163" t="str">
        <f>Input!E215</f>
        <v>Variant allowed non-load related capex - other</v>
      </c>
      <c r="G215" s="309" t="s">
        <v>844</v>
      </c>
      <c r="I215" s="409"/>
      <c r="AJ215" s="152"/>
      <c r="AK215" s="152"/>
      <c r="AL215" s="152"/>
      <c r="AM215" s="152"/>
      <c r="AN215" s="152"/>
      <c r="AO215" s="152"/>
      <c r="AP215" s="152"/>
      <c r="AQ215" s="152"/>
    </row>
    <row r="216" spans="4:44" s="309" customFormat="1" ht="15" customHeight="1">
      <c r="E216" s="163" t="str">
        <f>Input!E216</f>
        <v>Variant allowed faults</v>
      </c>
      <c r="G216" s="309" t="s">
        <v>844</v>
      </c>
      <c r="I216" s="409"/>
      <c r="AJ216" s="152"/>
      <c r="AK216" s="152"/>
      <c r="AL216" s="152"/>
      <c r="AM216" s="152"/>
      <c r="AN216" s="152"/>
      <c r="AO216" s="152"/>
      <c r="AP216" s="152"/>
      <c r="AQ216" s="152"/>
    </row>
    <row r="217" spans="4:44" s="309" customFormat="1" ht="15" customHeight="1">
      <c r="E217" s="551" t="s">
        <v>995</v>
      </c>
      <c r="G217" s="309" t="s">
        <v>844</v>
      </c>
      <c r="I217" s="409"/>
      <c r="AJ217" s="152"/>
      <c r="AK217" s="152"/>
      <c r="AL217" s="152"/>
      <c r="AM217" s="152"/>
      <c r="AN217" s="152"/>
      <c r="AO217" s="152"/>
      <c r="AP217" s="152"/>
      <c r="AQ217" s="152"/>
    </row>
    <row r="218" spans="4:44" s="309" customFormat="1" ht="15" customHeight="1">
      <c r="E218" s="163" t="str">
        <f>Input!E218</f>
        <v>Variant allowed 100% ‘revenue pool’ expenditure</v>
      </c>
      <c r="G218" s="309" t="s">
        <v>844</v>
      </c>
      <c r="I218" s="409"/>
      <c r="AJ218" s="152"/>
      <c r="AK218" s="152"/>
      <c r="AL218" s="152"/>
      <c r="AM218" s="152"/>
      <c r="AN218" s="152"/>
      <c r="AO218" s="152"/>
      <c r="AP218" s="152"/>
      <c r="AQ218" s="152"/>
    </row>
    <row r="219" spans="4:44" s="309" customFormat="1" ht="15" customHeight="1">
      <c r="E219" s="163" t="str">
        <f>Input!E219</f>
        <v>Variant allowed controllable opex</v>
      </c>
      <c r="G219" s="309" t="s">
        <v>844</v>
      </c>
      <c r="I219" s="409"/>
      <c r="AJ219" s="152"/>
      <c r="AK219" s="152"/>
      <c r="AL219" s="152"/>
      <c r="AM219" s="152"/>
      <c r="AN219" s="152"/>
      <c r="AO219" s="152"/>
      <c r="AP219" s="152"/>
      <c r="AQ219" s="152"/>
    </row>
    <row r="220" spans="4:44" s="309" customFormat="1" ht="15" customHeight="1">
      <c r="E220" s="149"/>
      <c r="I220" s="409"/>
    </row>
    <row r="221" spans="4:44" s="309" customFormat="1" ht="15" customHeight="1">
      <c r="D221" s="198" t="s">
        <v>156</v>
      </c>
      <c r="E221" s="198"/>
      <c r="F221" s="198"/>
      <c r="G221" s="198"/>
      <c r="H221" s="19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row>
    <row r="222" spans="4:44" s="309" customFormat="1" ht="15" customHeight="1">
      <c r="I222" s="409"/>
    </row>
    <row r="223" spans="4:44" s="163" customFormat="1" ht="15" customHeight="1">
      <c r="E223" s="309" t="str">
        <f>Input!E223</f>
        <v>Actual load related capex</v>
      </c>
      <c r="G223" s="309" t="s">
        <v>844</v>
      </c>
      <c r="AJ223" s="221"/>
      <c r="AK223" s="221"/>
      <c r="AL223" s="221"/>
      <c r="AM223" s="221"/>
      <c r="AN223" s="221"/>
      <c r="AO223" s="221"/>
      <c r="AP223" s="221"/>
      <c r="AQ223" s="221"/>
      <c r="AR223" s="369"/>
    </row>
    <row r="224" spans="4:44" s="163" customFormat="1" ht="15" customHeight="1">
      <c r="E224" s="56" t="str">
        <f>Input!E224</f>
        <v>Actual non-load related capex - asset replacement</v>
      </c>
      <c r="G224" s="309" t="s">
        <v>844</v>
      </c>
      <c r="AJ224" s="221"/>
      <c r="AK224" s="221"/>
      <c r="AL224" s="221"/>
      <c r="AM224" s="221"/>
      <c r="AN224" s="221"/>
      <c r="AO224" s="221"/>
      <c r="AP224" s="221"/>
      <c r="AQ224" s="221"/>
      <c r="AR224" s="369"/>
    </row>
    <row r="225" spans="2:44" s="163" customFormat="1" ht="15" customHeight="1">
      <c r="E225" s="309" t="str">
        <f>Input!E225</f>
        <v>Actual non-load related capex - other</v>
      </c>
      <c r="G225" s="309" t="s">
        <v>844</v>
      </c>
      <c r="AJ225" s="221"/>
      <c r="AK225" s="221"/>
      <c r="AL225" s="221"/>
      <c r="AM225" s="221"/>
      <c r="AN225" s="221"/>
      <c r="AO225" s="221"/>
      <c r="AP225" s="221"/>
      <c r="AQ225" s="221"/>
      <c r="AR225" s="369"/>
    </row>
    <row r="226" spans="2:44" s="163" customFormat="1" ht="15" customHeight="1">
      <c r="E226" s="309" t="str">
        <f>Input!E226</f>
        <v>Actual faults</v>
      </c>
      <c r="G226" s="309" t="s">
        <v>844</v>
      </c>
      <c r="AJ226" s="221"/>
      <c r="AK226" s="221"/>
      <c r="AL226" s="221"/>
      <c r="AM226" s="221"/>
      <c r="AN226" s="221"/>
      <c r="AO226" s="221"/>
      <c r="AP226" s="221"/>
      <c r="AQ226" s="221"/>
      <c r="AR226" s="369"/>
    </row>
    <row r="227" spans="2:44" s="163" customFormat="1" ht="15" customHeight="1">
      <c r="E227" s="554" t="s">
        <v>996</v>
      </c>
      <c r="G227" s="309"/>
      <c r="AJ227" s="221"/>
      <c r="AK227" s="221"/>
      <c r="AL227" s="221"/>
      <c r="AM227" s="221"/>
      <c r="AN227" s="221"/>
      <c r="AO227" s="221"/>
      <c r="AP227" s="221"/>
      <c r="AQ227" s="221"/>
      <c r="AR227" s="369"/>
    </row>
    <row r="228" spans="2:44" s="163" customFormat="1" ht="15" customHeight="1">
      <c r="E228" s="309" t="str">
        <f>Input!E228</f>
        <v>Actual 100% ‘revenue pool’ expenditure</v>
      </c>
      <c r="G228" s="309" t="s">
        <v>844</v>
      </c>
      <c r="AJ228" s="221"/>
      <c r="AK228" s="221"/>
      <c r="AL228" s="221"/>
      <c r="AM228" s="221"/>
      <c r="AN228" s="221"/>
      <c r="AO228" s="221"/>
      <c r="AP228" s="221"/>
      <c r="AQ228" s="221"/>
      <c r="AR228" s="369"/>
    </row>
    <row r="229" spans="2:44" s="163" customFormat="1" ht="15" customHeight="1">
      <c r="E229" s="411" t="str">
        <f>Input!E229</f>
        <v>Actual controllable opex</v>
      </c>
      <c r="G229" s="309" t="s">
        <v>844</v>
      </c>
      <c r="AJ229" s="221"/>
      <c r="AK229" s="221"/>
      <c r="AL229" s="221"/>
      <c r="AM229" s="221"/>
      <c r="AN229" s="221"/>
      <c r="AO229" s="221"/>
      <c r="AP229" s="221"/>
      <c r="AQ229" s="221"/>
      <c r="AR229" s="369"/>
    </row>
    <row r="230" spans="2:44" s="147" customFormat="1" ht="15" customHeight="1">
      <c r="J230" s="31"/>
      <c r="K230" s="31"/>
      <c r="L230" s="31"/>
      <c r="M230" s="31"/>
      <c r="N230" s="31"/>
      <c r="O230" s="31"/>
      <c r="P230" s="31"/>
      <c r="Q230" s="31"/>
      <c r="R230" s="31"/>
      <c r="S230" s="31"/>
      <c r="T230" s="31"/>
      <c r="U230" s="31"/>
      <c r="V230" s="31"/>
      <c r="W230" s="31"/>
      <c r="X230" s="31"/>
      <c r="Y230" s="31"/>
      <c r="Z230" s="31"/>
    </row>
    <row r="231" spans="2:44" s="147" customFormat="1" ht="15" customHeight="1">
      <c r="C231" s="332" t="s">
        <v>739</v>
      </c>
      <c r="D231" s="332"/>
      <c r="E231" s="332"/>
      <c r="F231" s="332"/>
      <c r="G231" s="332"/>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row>
    <row r="232" spans="2:44" s="147" customFormat="1" ht="15" customHeight="1">
      <c r="J232" s="31"/>
      <c r="K232" s="31"/>
      <c r="L232" s="31"/>
      <c r="M232" s="31"/>
      <c r="N232" s="31"/>
      <c r="O232" s="31"/>
      <c r="P232" s="31"/>
      <c r="Q232" s="31"/>
      <c r="R232" s="31"/>
      <c r="S232" s="31"/>
      <c r="T232" s="31"/>
      <c r="U232" s="31"/>
      <c r="V232" s="31"/>
      <c r="W232" s="31"/>
      <c r="X232" s="31"/>
      <c r="Y232" s="31"/>
      <c r="Z232" s="31"/>
    </row>
    <row r="233" spans="2:44" s="147" customFormat="1" ht="15" customHeight="1">
      <c r="E233" s="267" t="s">
        <v>832</v>
      </c>
      <c r="G233" s="19" t="s">
        <v>844</v>
      </c>
      <c r="J233" s="31"/>
      <c r="K233" s="31"/>
      <c r="L233" s="31"/>
      <c r="M233" s="31"/>
      <c r="N233" s="31"/>
      <c r="O233" s="31"/>
      <c r="P233" s="31"/>
      <c r="Q233" s="31"/>
      <c r="R233" s="31"/>
      <c r="S233" s="31"/>
      <c r="T233" s="31"/>
      <c r="U233" s="31"/>
      <c r="V233" s="31"/>
      <c r="W233" s="31"/>
      <c r="X233" s="31"/>
      <c r="Y233" s="31"/>
      <c r="Z233" s="31"/>
      <c r="AJ233" s="236"/>
      <c r="AK233" s="236"/>
      <c r="AL233" s="236"/>
      <c r="AM233" s="236"/>
      <c r="AN233" s="236"/>
      <c r="AO233" s="236"/>
      <c r="AP233" s="236"/>
      <c r="AQ233" s="236"/>
    </row>
    <row r="234" spans="2:44" s="147" customFormat="1" ht="15" customHeight="1">
      <c r="E234" s="267" t="s">
        <v>833</v>
      </c>
      <c r="G234" s="19" t="s">
        <v>844</v>
      </c>
      <c r="J234" s="31"/>
      <c r="K234" s="31"/>
      <c r="L234" s="31"/>
      <c r="M234" s="31"/>
      <c r="N234" s="31"/>
      <c r="O234" s="31"/>
      <c r="P234" s="31"/>
      <c r="Q234" s="31"/>
      <c r="R234" s="31"/>
      <c r="S234" s="31"/>
      <c r="T234" s="31"/>
      <c r="U234" s="31"/>
      <c r="V234" s="31"/>
      <c r="W234" s="31"/>
      <c r="X234" s="31"/>
      <c r="Y234" s="31"/>
      <c r="Z234" s="31"/>
      <c r="AJ234" s="236"/>
      <c r="AK234" s="236"/>
      <c r="AL234" s="236"/>
      <c r="AM234" s="236"/>
      <c r="AN234" s="236"/>
      <c r="AO234" s="236"/>
      <c r="AP234" s="236"/>
      <c r="AQ234" s="236"/>
    </row>
    <row r="235" spans="2:44" ht="15" customHeight="1">
      <c r="E235" s="19" t="s">
        <v>108</v>
      </c>
      <c r="G235" s="19" t="s">
        <v>844</v>
      </c>
      <c r="AJ235" s="167"/>
      <c r="AK235" s="167"/>
      <c r="AL235" s="167"/>
      <c r="AM235" s="167"/>
      <c r="AN235" s="167"/>
      <c r="AO235" s="167"/>
      <c r="AP235" s="167"/>
      <c r="AQ235" s="167"/>
    </row>
    <row r="236" spans="2:44" s="147" customFormat="1" ht="15" customHeight="1">
      <c r="J236" s="31"/>
      <c r="K236" s="31"/>
      <c r="L236" s="31"/>
      <c r="M236" s="31"/>
      <c r="N236" s="31"/>
      <c r="O236" s="31"/>
      <c r="P236" s="31"/>
      <c r="Q236" s="31"/>
      <c r="R236" s="31"/>
      <c r="S236" s="31"/>
      <c r="T236" s="31"/>
      <c r="U236" s="31"/>
      <c r="V236" s="31"/>
      <c r="W236" s="31"/>
      <c r="X236" s="31"/>
      <c r="Y236" s="31"/>
      <c r="Z236" s="31"/>
    </row>
    <row r="237" spans="2:44" ht="15" customHeight="1">
      <c r="B237" s="343" t="s">
        <v>217</v>
      </c>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row>
    <row r="239" spans="2:44" s="147" customFormat="1" ht="15" customHeight="1">
      <c r="D239" s="157"/>
      <c r="E239" s="157" t="str">
        <f>E31</f>
        <v xml:space="preserve">Pension Scheme Established Deficit revenue allowances                                                                                               </v>
      </c>
      <c r="F239" s="157"/>
      <c r="G239" s="195" t="s">
        <v>844</v>
      </c>
      <c r="H239" s="157"/>
      <c r="I239" s="157"/>
      <c r="J239" s="157"/>
      <c r="K239" s="157"/>
      <c r="L239" s="157"/>
      <c r="M239" s="157"/>
      <c r="N239" s="157"/>
      <c r="O239" s="157"/>
      <c r="P239" s="157"/>
      <c r="Q239" s="157"/>
      <c r="R239" s="157"/>
      <c r="S239" s="157"/>
      <c r="T239" s="157"/>
      <c r="U239" s="157"/>
      <c r="V239" s="157"/>
      <c r="W239" s="157"/>
      <c r="X239" s="157"/>
      <c r="Y239" s="157"/>
      <c r="Z239" s="157"/>
      <c r="AA239" s="157"/>
      <c r="AB239" s="157"/>
      <c r="AC239" s="157"/>
      <c r="AD239" s="157"/>
      <c r="AE239" s="157"/>
      <c r="AF239" s="157"/>
      <c r="AG239" s="157"/>
      <c r="AH239" s="157"/>
      <c r="AI239" s="145"/>
      <c r="AJ239" s="221"/>
      <c r="AK239" s="221"/>
      <c r="AL239" s="221"/>
      <c r="AM239" s="221"/>
      <c r="AN239" s="221"/>
      <c r="AO239" s="221"/>
      <c r="AP239" s="221"/>
      <c r="AQ239" s="221"/>
      <c r="AR239" s="157"/>
    </row>
    <row r="241" spans="5:43" ht="15" customHeight="1">
      <c r="E241" s="157" t="s">
        <v>411</v>
      </c>
      <c r="F241" s="157"/>
      <c r="G241" s="149" t="s">
        <v>844</v>
      </c>
      <c r="H241" s="157"/>
      <c r="I241" s="157"/>
      <c r="J241" s="157"/>
      <c r="K241" s="157"/>
      <c r="L241" s="157"/>
      <c r="M241" s="157"/>
      <c r="N241" s="157"/>
      <c r="O241" s="157"/>
      <c r="P241" s="157"/>
      <c r="Q241" s="157"/>
      <c r="R241" s="157"/>
      <c r="S241" s="157"/>
      <c r="T241" s="157"/>
      <c r="U241" s="157"/>
      <c r="V241" s="157"/>
      <c r="W241" s="157"/>
      <c r="X241" s="157"/>
      <c r="Y241" s="157"/>
      <c r="Z241" s="157"/>
      <c r="AA241" s="157"/>
      <c r="AB241" s="157"/>
      <c r="AC241" s="157"/>
      <c r="AD241" s="157"/>
      <c r="AE241" s="157"/>
      <c r="AF241" s="157"/>
      <c r="AG241" s="157"/>
      <c r="AH241" s="157"/>
      <c r="AI241" s="157"/>
      <c r="AJ241" s="236"/>
      <c r="AK241" s="236"/>
      <c r="AL241" s="236"/>
      <c r="AM241" s="236"/>
      <c r="AN241" s="236"/>
      <c r="AO241" s="236"/>
      <c r="AP241" s="236"/>
      <c r="AQ241" s="236"/>
    </row>
    <row r="243" spans="5:43" ht="15" customHeight="1">
      <c r="E243" s="149" t="str">
        <f>Input!E243</f>
        <v>Other legacy adjustments' Revenue adjustment from previous controls (Base)</v>
      </c>
      <c r="G243" s="19" t="s">
        <v>844</v>
      </c>
      <c r="AJ243" s="227"/>
      <c r="AK243" s="227"/>
      <c r="AL243" s="227"/>
      <c r="AM243" s="227"/>
      <c r="AN243" s="227"/>
      <c r="AO243" s="227"/>
      <c r="AP243" s="227"/>
      <c r="AQ243" s="227"/>
    </row>
    <row r="244" spans="5:43" ht="15" customHeight="1">
      <c r="E244" s="149" t="str">
        <f>Input!E244</f>
        <v xml:space="preserve">Other legacy adjustments' price control allowed revenue adjustment                                                                                                            </v>
      </c>
      <c r="G244" s="19" t="s">
        <v>844</v>
      </c>
      <c r="AJ244" s="412"/>
      <c r="AK244" s="412"/>
      <c r="AL244" s="412"/>
      <c r="AM244" s="412"/>
      <c r="AN244" s="412"/>
      <c r="AO244" s="412"/>
      <c r="AP244" s="412"/>
      <c r="AQ244" s="412"/>
    </row>
    <row r="245" spans="5:43" ht="15" customHeight="1">
      <c r="E245" s="498" t="str">
        <f>Input!E245</f>
        <v>Other legacy adjustments' Revenue from previous controls</v>
      </c>
      <c r="F245" s="19"/>
      <c r="G245" s="19" t="s">
        <v>844</v>
      </c>
      <c r="H245" s="163"/>
      <c r="I245" s="157"/>
      <c r="J245" s="163"/>
      <c r="K245" s="163"/>
      <c r="L245" s="163"/>
      <c r="M245" s="163"/>
      <c r="N245" s="163"/>
      <c r="O245" s="163"/>
      <c r="P245" s="163"/>
      <c r="Q245" s="163"/>
      <c r="R245" s="163"/>
      <c r="S245" s="163"/>
      <c r="T245" s="163"/>
      <c r="U245" s="163"/>
      <c r="V245" s="163"/>
      <c r="W245" s="163"/>
      <c r="X245" s="163"/>
      <c r="Y245" s="163"/>
      <c r="Z245" s="163"/>
      <c r="AA245" s="163"/>
      <c r="AB245" s="163"/>
      <c r="AC245" s="163"/>
      <c r="AD245" s="163"/>
      <c r="AE245" s="163"/>
      <c r="AF245" s="163"/>
      <c r="AG245" s="163"/>
      <c r="AH245" s="163"/>
      <c r="AI245" s="163"/>
      <c r="AJ245" s="167"/>
      <c r="AK245" s="167"/>
      <c r="AL245" s="167"/>
      <c r="AM245" s="167"/>
      <c r="AN245" s="167"/>
      <c r="AO245" s="167"/>
      <c r="AP245" s="167"/>
      <c r="AQ245" s="167"/>
    </row>
    <row r="247" spans="5:43" ht="15" customHeight="1">
      <c r="E247" s="149" t="str">
        <f>Input!E247</f>
        <v>RAV Rolling Incentive legacy adjustments' price control allowed revenue (Base)</v>
      </c>
      <c r="G247" s="498" t="str">
        <f>Input!G247</f>
        <v>£m 12/13 prices</v>
      </c>
      <c r="AJ247" s="227"/>
      <c r="AK247" s="227"/>
      <c r="AL247" s="227"/>
      <c r="AM247" s="227"/>
      <c r="AN247" s="227"/>
      <c r="AO247" s="227"/>
      <c r="AP247" s="227"/>
      <c r="AQ247" s="227"/>
    </row>
    <row r="248" spans="5:43" ht="15" customHeight="1">
      <c r="E248" s="149" t="str">
        <f>Input!E248</f>
        <v>RAV Rolling Incentive legacy adjustments' price control allowed revenue adjustment</v>
      </c>
      <c r="G248" s="498" t="str">
        <f>Input!G248</f>
        <v>£m 12/13 prices</v>
      </c>
      <c r="AJ248" s="412"/>
      <c r="AK248" s="412"/>
      <c r="AL248" s="412"/>
      <c r="AM248" s="412"/>
      <c r="AN248" s="412"/>
      <c r="AO248" s="412"/>
      <c r="AP248" s="412"/>
      <c r="AQ248" s="412"/>
    </row>
    <row r="249" spans="5:43" ht="15" customHeight="1">
      <c r="E249" s="149" t="str">
        <f>Input!E249</f>
        <v>RAV Rolling Incentive legacy adjustments' price control allowed revenue</v>
      </c>
      <c r="F249" s="19"/>
      <c r="G249" s="498" t="str">
        <f>Input!G249</f>
        <v>£m 12/13 prices</v>
      </c>
      <c r="AJ249" s="167"/>
      <c r="AK249" s="167"/>
      <c r="AL249" s="167"/>
      <c r="AM249" s="167"/>
      <c r="AN249" s="167"/>
      <c r="AO249" s="167"/>
      <c r="AP249" s="167"/>
      <c r="AQ249" s="167"/>
    </row>
    <row r="250" spans="5:43" s="498" customFormat="1" ht="15" customHeight="1">
      <c r="F250" s="19"/>
      <c r="G250" s="19"/>
      <c r="AJ250" s="157"/>
      <c r="AK250" s="157"/>
      <c r="AL250" s="157"/>
      <c r="AM250" s="157"/>
      <c r="AN250" s="157"/>
      <c r="AO250" s="157"/>
      <c r="AP250" s="157"/>
      <c r="AQ250" s="157"/>
    </row>
    <row r="251" spans="5:43" ht="15" customHeight="1">
      <c r="E251" s="149" t="str">
        <f>Input!E251</f>
        <v>Legacy Losses Incentive</v>
      </c>
      <c r="G251" s="19" t="s">
        <v>844</v>
      </c>
      <c r="AJ251" s="236"/>
      <c r="AK251" s="236"/>
      <c r="AL251" s="236"/>
      <c r="AM251" s="236"/>
      <c r="AN251" s="236"/>
      <c r="AO251" s="236"/>
      <c r="AP251" s="236"/>
      <c r="AQ251" s="236"/>
    </row>
    <row r="253" spans="5:43" ht="15" customHeight="1">
      <c r="E253" s="19" t="str">
        <f>Input!E253</f>
        <v>ES7 (Miscellaneous) revenue</v>
      </c>
      <c r="F253" s="19"/>
      <c r="G253" s="195" t="s">
        <v>844</v>
      </c>
      <c r="H253" s="19"/>
      <c r="I253" s="19"/>
      <c r="J253" s="88"/>
      <c r="K253" s="88"/>
      <c r="L253" s="88"/>
      <c r="M253" s="88"/>
      <c r="N253" s="88"/>
      <c r="O253" s="88"/>
      <c r="P253" s="88"/>
      <c r="Q253" s="88"/>
      <c r="R253" s="88"/>
      <c r="S253" s="88"/>
      <c r="T253" s="88"/>
      <c r="U253" s="88"/>
      <c r="V253" s="88"/>
      <c r="W253" s="88"/>
      <c r="X253" s="88"/>
      <c r="Y253" s="88"/>
      <c r="Z253" s="88"/>
      <c r="AA253" s="19"/>
      <c r="AB253" s="19"/>
      <c r="AC253" s="19"/>
      <c r="AD253" s="19"/>
      <c r="AE253" s="227"/>
      <c r="AF253" s="227"/>
      <c r="AG253" s="227"/>
      <c r="AH253" s="227"/>
      <c r="AI253" s="227"/>
      <c r="AJ253" s="227"/>
      <c r="AK253" s="227"/>
      <c r="AL253" s="227"/>
      <c r="AM253" s="227"/>
      <c r="AN253" s="227"/>
      <c r="AO253" s="227"/>
      <c r="AP253" s="227"/>
      <c r="AQ253" s="227"/>
    </row>
    <row r="254" spans="5:43" ht="15" customHeight="1">
      <c r="E254" s="19" t="str">
        <f>Input!E254</f>
        <v>ES7 (Miscellaneous) assumed costs</v>
      </c>
      <c r="F254" s="19"/>
      <c r="G254" s="195" t="s">
        <v>844</v>
      </c>
      <c r="H254" s="19"/>
      <c r="I254" s="19"/>
      <c r="J254" s="88"/>
      <c r="K254" s="88"/>
      <c r="L254" s="88"/>
      <c r="M254" s="88"/>
      <c r="N254" s="88"/>
      <c r="O254" s="88"/>
      <c r="P254" s="88"/>
      <c r="Q254" s="88"/>
      <c r="R254" s="88"/>
      <c r="S254" s="88"/>
      <c r="T254" s="88"/>
      <c r="U254" s="88"/>
      <c r="V254" s="88"/>
      <c r="W254" s="88"/>
      <c r="X254" s="88"/>
      <c r="Y254" s="88"/>
      <c r="Z254" s="88"/>
      <c r="AA254" s="19"/>
      <c r="AB254" s="19"/>
      <c r="AC254" s="19"/>
      <c r="AD254" s="19"/>
      <c r="AE254" s="227"/>
      <c r="AF254" s="227"/>
      <c r="AG254" s="227"/>
      <c r="AH254" s="227"/>
      <c r="AI254" s="227"/>
      <c r="AJ254" s="227"/>
      <c r="AK254" s="227"/>
      <c r="AL254" s="227"/>
      <c r="AM254" s="227"/>
      <c r="AN254" s="227"/>
      <c r="AO254" s="227"/>
      <c r="AP254" s="227"/>
      <c r="AQ254" s="227"/>
    </row>
    <row r="255" spans="5:43" ht="15" customHeight="1">
      <c r="E255" s="19" t="str">
        <f>Input!E255</f>
        <v>ES7 (Miscellaneous) net position</v>
      </c>
      <c r="F255" s="19"/>
      <c r="G255" s="195" t="s">
        <v>844</v>
      </c>
      <c r="H255" s="19"/>
      <c r="I255" s="19"/>
      <c r="J255" s="88"/>
      <c r="K255" s="88"/>
      <c r="L255" s="88"/>
      <c r="M255" s="88"/>
      <c r="N255" s="88"/>
      <c r="O255" s="88"/>
      <c r="P255" s="88"/>
      <c r="Q255" s="88"/>
      <c r="R255" s="88"/>
      <c r="S255" s="88"/>
      <c r="T255" s="88"/>
      <c r="U255" s="88"/>
      <c r="V255" s="88"/>
      <c r="W255" s="88"/>
      <c r="X255" s="88"/>
      <c r="Y255" s="88"/>
      <c r="Z255" s="88"/>
      <c r="AA255" s="19"/>
      <c r="AB255" s="19"/>
      <c r="AC255" s="19"/>
      <c r="AD255" s="19"/>
      <c r="AE255" s="167"/>
      <c r="AF255" s="167"/>
      <c r="AG255" s="167"/>
      <c r="AH255" s="167"/>
      <c r="AI255" s="167"/>
      <c r="AJ255" s="167"/>
      <c r="AK255" s="167"/>
      <c r="AL255" s="167"/>
      <c r="AM255" s="167"/>
      <c r="AN255" s="167"/>
      <c r="AO255" s="167"/>
      <c r="AP255" s="167"/>
      <c r="AQ255" s="167"/>
    </row>
    <row r="256" spans="5:43" ht="15" customHeight="1">
      <c r="AE256" s="498"/>
      <c r="AF256" s="498"/>
      <c r="AG256" s="498"/>
      <c r="AH256" s="498"/>
      <c r="AI256" s="498"/>
    </row>
    <row r="257" spans="5:43" ht="15" customHeight="1">
      <c r="E257" s="427" t="str">
        <f>Input!E257</f>
        <v>Directly Remunerated Services</v>
      </c>
      <c r="AE257" s="498"/>
      <c r="AF257" s="498"/>
      <c r="AG257" s="498"/>
      <c r="AH257" s="498"/>
      <c r="AI257" s="498"/>
    </row>
    <row r="258" spans="5:43" ht="15" customHeight="1">
      <c r="AE258" s="498"/>
      <c r="AF258" s="498"/>
      <c r="AG258" s="498"/>
      <c r="AH258" s="498"/>
      <c r="AI258" s="498"/>
    </row>
    <row r="259" spans="5:43" ht="15" customHeight="1">
      <c r="E259" s="149" t="str">
        <f>Input!E259</f>
        <v>Element of connection that is Sole Use funded revenue</v>
      </c>
      <c r="G259" s="149" t="str">
        <f>Input!G259</f>
        <v>£m 12/13 prices</v>
      </c>
      <c r="AE259" s="227"/>
      <c r="AF259" s="227"/>
      <c r="AG259" s="227"/>
      <c r="AH259" s="227"/>
      <c r="AI259" s="227"/>
      <c r="AJ259" s="227"/>
      <c r="AK259" s="227"/>
      <c r="AL259" s="227"/>
      <c r="AM259" s="227"/>
      <c r="AN259" s="227"/>
      <c r="AO259" s="227"/>
      <c r="AP259" s="227"/>
      <c r="AQ259" s="227"/>
    </row>
    <row r="260" spans="5:43" ht="15" customHeight="1">
      <c r="E260" s="149" t="str">
        <f>Input!E260</f>
        <v>Element of connection that is Sole Use funded costs</v>
      </c>
      <c r="G260" s="149" t="str">
        <f>Input!G260</f>
        <v>£m 12/13 prices</v>
      </c>
      <c r="AE260" s="227"/>
      <c r="AF260" s="227"/>
      <c r="AG260" s="227"/>
      <c r="AH260" s="227"/>
      <c r="AI260" s="227"/>
      <c r="AJ260" s="227"/>
      <c r="AK260" s="227"/>
      <c r="AL260" s="227"/>
      <c r="AM260" s="227"/>
      <c r="AN260" s="227"/>
      <c r="AO260" s="227"/>
      <c r="AP260" s="227"/>
      <c r="AQ260" s="227"/>
    </row>
    <row r="261" spans="5:43" ht="15" customHeight="1">
      <c r="E261" s="149" t="str">
        <f>Input!E261</f>
        <v>Element of connection that is Sole Use funded net position</v>
      </c>
      <c r="G261" s="149" t="str">
        <f>Input!G261</f>
        <v>£m 12/13 prices</v>
      </c>
      <c r="AE261" s="167"/>
      <c r="AF261" s="167"/>
      <c r="AG261" s="167"/>
      <c r="AH261" s="167"/>
      <c r="AI261" s="167"/>
      <c r="AJ261" s="167"/>
      <c r="AK261" s="167"/>
      <c r="AL261" s="167"/>
      <c r="AM261" s="167"/>
      <c r="AN261" s="167"/>
      <c r="AO261" s="167"/>
      <c r="AP261" s="167"/>
      <c r="AQ261" s="167"/>
    </row>
    <row r="262" spans="5:43" ht="15" customHeight="1">
      <c r="AE262" s="498"/>
      <c r="AF262" s="498"/>
      <c r="AG262" s="498"/>
      <c r="AH262" s="498"/>
      <c r="AI262" s="498"/>
    </row>
    <row r="263" spans="5:43" ht="15" customHeight="1">
      <c r="E263" s="149" t="str">
        <f>Input!E263</f>
        <v>Connection projects UMC revenue</v>
      </c>
      <c r="G263" s="149" t="str">
        <f>Input!G263</f>
        <v>£m 12/13 prices</v>
      </c>
      <c r="AE263" s="227"/>
      <c r="AF263" s="227"/>
      <c r="AG263" s="227"/>
      <c r="AH263" s="227"/>
      <c r="AI263" s="227"/>
      <c r="AJ263" s="227"/>
      <c r="AK263" s="227"/>
      <c r="AL263" s="227"/>
      <c r="AM263" s="227"/>
      <c r="AN263" s="227"/>
      <c r="AO263" s="227"/>
      <c r="AP263" s="227"/>
      <c r="AQ263" s="227"/>
    </row>
    <row r="264" spans="5:43" ht="15" customHeight="1">
      <c r="E264" s="149" t="str">
        <f>Input!E264</f>
        <v>Connection projects UMC costs</v>
      </c>
      <c r="G264" s="149" t="str">
        <f>Input!G264</f>
        <v>£m 12/13 prices</v>
      </c>
      <c r="AE264" s="227"/>
      <c r="AF264" s="227"/>
      <c r="AG264" s="227"/>
      <c r="AH264" s="227"/>
      <c r="AI264" s="227"/>
      <c r="AJ264" s="227"/>
      <c r="AK264" s="227"/>
      <c r="AL264" s="227"/>
      <c r="AM264" s="227"/>
      <c r="AN264" s="227"/>
      <c r="AO264" s="227"/>
      <c r="AP264" s="227"/>
      <c r="AQ264" s="227"/>
    </row>
    <row r="265" spans="5:43" ht="15" customHeight="1">
      <c r="E265" s="149" t="str">
        <f>Input!E265</f>
        <v>Connection projects UMC net position</v>
      </c>
      <c r="G265" s="149" t="str">
        <f>Input!G265</f>
        <v>£m 12/13 prices</v>
      </c>
      <c r="AE265" s="167"/>
      <c r="AF265" s="167"/>
      <c r="AG265" s="167"/>
      <c r="AH265" s="167"/>
      <c r="AI265" s="167"/>
      <c r="AJ265" s="167"/>
      <c r="AK265" s="167"/>
      <c r="AL265" s="167"/>
      <c r="AM265" s="167"/>
      <c r="AN265" s="167"/>
      <c r="AO265" s="167"/>
      <c r="AP265" s="167"/>
      <c r="AQ265" s="167"/>
    </row>
    <row r="266" spans="5:43" ht="15" customHeight="1">
      <c r="AE266" s="498"/>
      <c r="AF266" s="498"/>
      <c r="AG266" s="498"/>
      <c r="AH266" s="498"/>
      <c r="AI266" s="498"/>
    </row>
    <row r="267" spans="5:43" ht="15" customHeight="1">
      <c r="E267" s="149" t="str">
        <f>Input!E267</f>
        <v>Diversionary works under obligation (ES2) revenue</v>
      </c>
      <c r="G267" s="149" t="str">
        <f>Input!G267</f>
        <v>£m 12/13 prices</v>
      </c>
      <c r="AE267" s="227"/>
      <c r="AF267" s="227"/>
      <c r="AG267" s="227"/>
      <c r="AH267" s="227"/>
      <c r="AI267" s="227"/>
      <c r="AJ267" s="227"/>
      <c r="AK267" s="227"/>
      <c r="AL267" s="227"/>
      <c r="AM267" s="227"/>
      <c r="AN267" s="227"/>
      <c r="AO267" s="227"/>
      <c r="AP267" s="227"/>
      <c r="AQ267" s="227"/>
    </row>
    <row r="268" spans="5:43" ht="15" customHeight="1">
      <c r="E268" s="149" t="str">
        <f>Input!E268</f>
        <v>Diversionary works under obligation (ES2) costs</v>
      </c>
      <c r="G268" s="149" t="str">
        <f>Input!G268</f>
        <v>£m 12/13 prices</v>
      </c>
      <c r="AE268" s="227"/>
      <c r="AF268" s="227"/>
      <c r="AG268" s="227"/>
      <c r="AH268" s="227"/>
      <c r="AI268" s="227"/>
      <c r="AJ268" s="227"/>
      <c r="AK268" s="227"/>
      <c r="AL268" s="227"/>
      <c r="AM268" s="227"/>
      <c r="AN268" s="227"/>
      <c r="AO268" s="227"/>
      <c r="AP268" s="227"/>
      <c r="AQ268" s="227"/>
    </row>
    <row r="269" spans="5:43" ht="15" customHeight="1">
      <c r="E269" s="149" t="str">
        <f>Input!E269</f>
        <v>Diversionary works under obligation (ES2) net position</v>
      </c>
      <c r="G269" s="149" t="str">
        <f>Input!G269</f>
        <v>£m 12/13 prices</v>
      </c>
      <c r="AE269" s="167"/>
      <c r="AF269" s="167"/>
      <c r="AG269" s="167"/>
      <c r="AH269" s="167"/>
      <c r="AI269" s="167"/>
      <c r="AJ269" s="167"/>
      <c r="AK269" s="167"/>
      <c r="AL269" s="167"/>
      <c r="AM269" s="167"/>
      <c r="AN269" s="167"/>
      <c r="AO269" s="167"/>
      <c r="AP269" s="167"/>
      <c r="AQ269" s="167"/>
    </row>
    <row r="270" spans="5:43" ht="15" customHeight="1">
      <c r="AE270" s="498"/>
      <c r="AF270" s="498"/>
      <c r="AG270" s="498"/>
      <c r="AH270" s="498"/>
      <c r="AI270" s="498"/>
    </row>
    <row r="271" spans="5:43" ht="15" customHeight="1">
      <c r="E271" s="149" t="str">
        <f>Input!E271</f>
        <v>Work required by any alteration premises (ES3) revenue</v>
      </c>
      <c r="G271" s="149" t="str">
        <f>Input!G271</f>
        <v>£m 12/13 prices</v>
      </c>
      <c r="AE271" s="227"/>
      <c r="AF271" s="227"/>
      <c r="AG271" s="227"/>
      <c r="AH271" s="227"/>
      <c r="AI271" s="227"/>
      <c r="AJ271" s="227"/>
      <c r="AK271" s="227"/>
      <c r="AL271" s="227"/>
      <c r="AM271" s="227"/>
      <c r="AN271" s="227"/>
      <c r="AO271" s="227"/>
      <c r="AP271" s="227"/>
      <c r="AQ271" s="227"/>
    </row>
    <row r="272" spans="5:43" ht="15" customHeight="1">
      <c r="E272" s="149" t="str">
        <f>Input!E272</f>
        <v>Work required by any alteration premises (ES3) costs</v>
      </c>
      <c r="G272" s="149" t="str">
        <f>Input!G272</f>
        <v>£m 12/13 prices</v>
      </c>
      <c r="AE272" s="227"/>
      <c r="AF272" s="227"/>
      <c r="AG272" s="227"/>
      <c r="AH272" s="227"/>
      <c r="AI272" s="227"/>
      <c r="AJ272" s="227"/>
      <c r="AK272" s="227"/>
      <c r="AL272" s="227"/>
      <c r="AM272" s="227"/>
      <c r="AN272" s="227"/>
      <c r="AO272" s="227"/>
      <c r="AP272" s="227"/>
      <c r="AQ272" s="227"/>
    </row>
    <row r="273" spans="5:43" ht="15" customHeight="1">
      <c r="E273" s="149" t="str">
        <f>Input!E273</f>
        <v>Work required by any alteration premises (ES3) net position</v>
      </c>
      <c r="G273" s="149" t="str">
        <f>Input!G273</f>
        <v>£m 12/13 prices</v>
      </c>
      <c r="AE273" s="167"/>
      <c r="AF273" s="167"/>
      <c r="AG273" s="167"/>
      <c r="AH273" s="167"/>
      <c r="AI273" s="167"/>
      <c r="AJ273" s="167"/>
      <c r="AK273" s="167"/>
      <c r="AL273" s="167"/>
      <c r="AM273" s="167"/>
      <c r="AN273" s="167"/>
      <c r="AO273" s="167"/>
      <c r="AP273" s="167"/>
      <c r="AQ273" s="167"/>
    </row>
    <row r="274" spans="5:43" ht="15" customHeight="1">
      <c r="AE274" s="498"/>
      <c r="AF274" s="498"/>
      <c r="AG274" s="498"/>
      <c r="AH274" s="498"/>
      <c r="AI274" s="498"/>
    </row>
    <row r="275" spans="5:43" ht="15" customHeight="1">
      <c r="E275" s="149" t="str">
        <f>Input!E275</f>
        <v>Top up standby and enhanced system security (ES4) revenue</v>
      </c>
      <c r="G275" s="149" t="str">
        <f>Input!G275</f>
        <v>£m 12/13 prices</v>
      </c>
      <c r="AE275" s="227"/>
      <c r="AF275" s="227"/>
      <c r="AG275" s="227"/>
      <c r="AH275" s="227"/>
      <c r="AI275" s="227"/>
      <c r="AJ275" s="227"/>
      <c r="AK275" s="227"/>
      <c r="AL275" s="227"/>
      <c r="AM275" s="227"/>
      <c r="AN275" s="227"/>
      <c r="AO275" s="227"/>
      <c r="AP275" s="227"/>
      <c r="AQ275" s="227"/>
    </row>
    <row r="276" spans="5:43" ht="15" customHeight="1">
      <c r="E276" s="149" t="str">
        <f>Input!E276</f>
        <v>Top up standby and enhanced system security (ES4) costs</v>
      </c>
      <c r="G276" s="149" t="str">
        <f>Input!G276</f>
        <v>£m 12/13 prices</v>
      </c>
      <c r="AE276" s="227"/>
      <c r="AF276" s="227"/>
      <c r="AG276" s="227"/>
      <c r="AH276" s="227"/>
      <c r="AI276" s="227"/>
      <c r="AJ276" s="227"/>
      <c r="AK276" s="227"/>
      <c r="AL276" s="227"/>
      <c r="AM276" s="227"/>
      <c r="AN276" s="227"/>
      <c r="AO276" s="227"/>
      <c r="AP276" s="227"/>
      <c r="AQ276" s="227"/>
    </row>
    <row r="277" spans="5:43" ht="15" customHeight="1">
      <c r="E277" s="149" t="str">
        <f>Input!E277</f>
        <v>Top up standby and enhanced system security (ES4) net position</v>
      </c>
      <c r="G277" s="149" t="str">
        <f>Input!G277</f>
        <v>£m 12/13 prices</v>
      </c>
      <c r="AE277" s="167"/>
      <c r="AF277" s="167"/>
      <c r="AG277" s="167"/>
      <c r="AH277" s="167"/>
      <c r="AI277" s="167"/>
      <c r="AJ277" s="167"/>
      <c r="AK277" s="167"/>
      <c r="AL277" s="167"/>
      <c r="AM277" s="167"/>
      <c r="AN277" s="167"/>
      <c r="AO277" s="167"/>
      <c r="AP277" s="167"/>
      <c r="AQ277" s="167"/>
    </row>
    <row r="278" spans="5:43" ht="15" customHeight="1">
      <c r="AE278" s="498"/>
      <c r="AF278" s="498"/>
      <c r="AG278" s="498"/>
      <c r="AH278" s="498"/>
      <c r="AI278" s="498"/>
    </row>
    <row r="279" spans="5:43" ht="15" customHeight="1">
      <c r="E279" s="149" t="str">
        <f>Input!E279</f>
        <v>Revenue protection services (ES5) revenue</v>
      </c>
      <c r="G279" s="149" t="str">
        <f>Input!G279</f>
        <v>£m 12/13 prices</v>
      </c>
      <c r="AE279" s="227"/>
      <c r="AF279" s="227"/>
      <c r="AG279" s="227"/>
      <c r="AH279" s="227"/>
      <c r="AI279" s="227"/>
      <c r="AJ279" s="227"/>
      <c r="AK279" s="227"/>
      <c r="AL279" s="227"/>
      <c r="AM279" s="227"/>
      <c r="AN279" s="227"/>
      <c r="AO279" s="227"/>
      <c r="AP279" s="227"/>
      <c r="AQ279" s="227"/>
    </row>
    <row r="280" spans="5:43" ht="15" customHeight="1">
      <c r="E280" s="149" t="str">
        <f>Input!E280</f>
        <v>Revenue protection services (ES5) costs</v>
      </c>
      <c r="G280" s="149" t="str">
        <f>Input!G280</f>
        <v>£m 12/13 prices</v>
      </c>
      <c r="AE280" s="227"/>
      <c r="AF280" s="227"/>
      <c r="AG280" s="227"/>
      <c r="AH280" s="227"/>
      <c r="AI280" s="227"/>
      <c r="AJ280" s="227"/>
      <c r="AK280" s="227"/>
      <c r="AL280" s="227"/>
      <c r="AM280" s="227"/>
      <c r="AN280" s="227"/>
      <c r="AO280" s="227"/>
      <c r="AP280" s="227"/>
      <c r="AQ280" s="227"/>
    </row>
    <row r="281" spans="5:43" ht="15" customHeight="1">
      <c r="E281" s="149" t="str">
        <f>Input!E281</f>
        <v>Revenue protection services (ES5) net position</v>
      </c>
      <c r="G281" s="149" t="str">
        <f>Input!G281</f>
        <v>£m 12/13 prices</v>
      </c>
      <c r="AE281" s="167"/>
      <c r="AF281" s="167"/>
      <c r="AG281" s="167"/>
      <c r="AH281" s="167"/>
      <c r="AI281" s="167"/>
      <c r="AJ281" s="167"/>
      <c r="AK281" s="167"/>
      <c r="AL281" s="167"/>
      <c r="AM281" s="167"/>
      <c r="AN281" s="167"/>
      <c r="AO281" s="167"/>
      <c r="AP281" s="167"/>
      <c r="AQ281" s="167"/>
    </row>
    <row r="282" spans="5:43" ht="15" customHeight="1">
      <c r="AE282" s="498"/>
      <c r="AF282" s="498"/>
      <c r="AG282" s="498"/>
      <c r="AH282" s="498"/>
      <c r="AI282" s="498"/>
    </row>
    <row r="283" spans="5:43" ht="15" customHeight="1">
      <c r="E283" s="149" t="str">
        <f>Input!E283</f>
        <v>Metering services (non legacy) (ES6) revenue</v>
      </c>
      <c r="G283" s="149" t="str">
        <f>Input!G283</f>
        <v>£m 12/13 prices</v>
      </c>
      <c r="AE283" s="227"/>
      <c r="AF283" s="227"/>
      <c r="AG283" s="227"/>
      <c r="AH283" s="227"/>
      <c r="AI283" s="227"/>
      <c r="AJ283" s="227"/>
      <c r="AK283" s="227"/>
      <c r="AL283" s="227"/>
      <c r="AM283" s="227"/>
      <c r="AN283" s="227"/>
      <c r="AO283" s="227"/>
      <c r="AP283" s="227"/>
      <c r="AQ283" s="227"/>
    </row>
    <row r="284" spans="5:43" ht="15" customHeight="1">
      <c r="E284" s="149" t="str">
        <f>Input!E284</f>
        <v>Metering services (non legacy) (ES6) costs</v>
      </c>
      <c r="G284" s="149" t="str">
        <f>Input!G284</f>
        <v>£m 12/13 prices</v>
      </c>
      <c r="AE284" s="227"/>
      <c r="AF284" s="227"/>
      <c r="AG284" s="227"/>
      <c r="AH284" s="227"/>
      <c r="AI284" s="227"/>
      <c r="AJ284" s="227"/>
      <c r="AK284" s="227"/>
      <c r="AL284" s="227"/>
      <c r="AM284" s="227"/>
      <c r="AN284" s="227"/>
      <c r="AO284" s="227"/>
      <c r="AP284" s="227"/>
      <c r="AQ284" s="227"/>
    </row>
    <row r="285" spans="5:43" ht="15" customHeight="1">
      <c r="E285" s="149" t="str">
        <f>Input!E285</f>
        <v>Metering services (non legacy) (ES6) net position</v>
      </c>
      <c r="G285" s="149" t="str">
        <f>Input!G285</f>
        <v>£m 12/13 prices</v>
      </c>
      <c r="AE285" s="167"/>
      <c r="AF285" s="167"/>
      <c r="AG285" s="167"/>
      <c r="AH285" s="167"/>
      <c r="AI285" s="167"/>
      <c r="AJ285" s="167"/>
      <c r="AK285" s="167"/>
      <c r="AL285" s="167"/>
      <c r="AM285" s="167"/>
      <c r="AN285" s="167"/>
      <c r="AO285" s="167"/>
      <c r="AP285" s="167"/>
      <c r="AQ285" s="167"/>
    </row>
    <row r="286" spans="5:43" ht="15" customHeight="1">
      <c r="AE286" s="498"/>
      <c r="AF286" s="498"/>
      <c r="AG286" s="498"/>
      <c r="AH286" s="498"/>
      <c r="AI286" s="498"/>
    </row>
    <row r="287" spans="5:43" ht="15" customHeight="1">
      <c r="E287" s="149" t="str">
        <f>Input!E287</f>
        <v>Metering services (legacy)  revenue</v>
      </c>
      <c r="G287" s="149" t="str">
        <f>Input!G287</f>
        <v>£m 12/13 prices</v>
      </c>
      <c r="AE287" s="227"/>
      <c r="AF287" s="227"/>
      <c r="AG287" s="227"/>
      <c r="AH287" s="227"/>
      <c r="AI287" s="227"/>
      <c r="AJ287" s="227"/>
      <c r="AK287" s="227"/>
      <c r="AL287" s="227"/>
      <c r="AM287" s="227"/>
      <c r="AN287" s="227"/>
      <c r="AO287" s="227"/>
      <c r="AP287" s="227"/>
      <c r="AQ287" s="227"/>
    </row>
    <row r="288" spans="5:43" ht="15" customHeight="1">
      <c r="E288" s="149" t="str">
        <f>Input!E288</f>
        <v>Metering services (legacy)  costs</v>
      </c>
      <c r="G288" s="149" t="str">
        <f>Input!G288</f>
        <v>£m 12/13 prices</v>
      </c>
      <c r="AE288" s="227"/>
      <c r="AF288" s="227"/>
      <c r="AG288" s="227"/>
      <c r="AH288" s="227"/>
      <c r="AI288" s="227"/>
      <c r="AJ288" s="227"/>
      <c r="AK288" s="227"/>
      <c r="AL288" s="227"/>
      <c r="AM288" s="227"/>
      <c r="AN288" s="227"/>
      <c r="AO288" s="227"/>
      <c r="AP288" s="227"/>
      <c r="AQ288" s="227"/>
    </row>
    <row r="289" spans="5:43" ht="15" customHeight="1">
      <c r="E289" s="149" t="str">
        <f>Input!E289</f>
        <v>Metering services (legacy)  net position</v>
      </c>
      <c r="G289" s="149" t="str">
        <f>Input!G289</f>
        <v>£m 12/13 prices</v>
      </c>
      <c r="AE289" s="167"/>
      <c r="AF289" s="167"/>
      <c r="AG289" s="167"/>
      <c r="AH289" s="167"/>
      <c r="AI289" s="167"/>
      <c r="AJ289" s="167"/>
      <c r="AK289" s="167"/>
      <c r="AL289" s="167"/>
      <c r="AM289" s="167"/>
      <c r="AN289" s="167"/>
      <c r="AO289" s="167"/>
      <c r="AP289" s="167"/>
      <c r="AQ289" s="167"/>
    </row>
    <row r="290" spans="5:43" ht="15" customHeight="1">
      <c r="AE290" s="498"/>
      <c r="AF290" s="498"/>
      <c r="AG290" s="498"/>
      <c r="AH290" s="498"/>
      <c r="AI290" s="498"/>
    </row>
    <row r="291" spans="5:43" ht="15" customHeight="1">
      <c r="E291" s="149" t="str">
        <f>Input!E291</f>
        <v>Metering services associated with the SM roll out revenue</v>
      </c>
      <c r="G291" s="149" t="str">
        <f>Input!G291</f>
        <v>£m 12/13 prices</v>
      </c>
      <c r="AE291" s="227"/>
      <c r="AF291" s="227"/>
      <c r="AG291" s="227"/>
      <c r="AH291" s="227"/>
      <c r="AI291" s="227"/>
      <c r="AJ291" s="227"/>
      <c r="AK291" s="227"/>
      <c r="AL291" s="227"/>
      <c r="AM291" s="227"/>
      <c r="AN291" s="227"/>
      <c r="AO291" s="227"/>
      <c r="AP291" s="227"/>
      <c r="AQ291" s="227"/>
    </row>
    <row r="292" spans="5:43" ht="15" customHeight="1">
      <c r="E292" s="149" t="str">
        <f>Input!E292</f>
        <v>Metering services associated with the SM roll out costs</v>
      </c>
      <c r="G292" s="149" t="str">
        <f>Input!G292</f>
        <v>£m 12/13 prices</v>
      </c>
      <c r="AE292" s="227"/>
      <c r="AF292" s="227"/>
      <c r="AG292" s="227"/>
      <c r="AH292" s="227"/>
      <c r="AI292" s="227"/>
      <c r="AJ292" s="227"/>
      <c r="AK292" s="227"/>
      <c r="AL292" s="227"/>
      <c r="AM292" s="227"/>
      <c r="AN292" s="227"/>
      <c r="AO292" s="227"/>
      <c r="AP292" s="227"/>
      <c r="AQ292" s="227"/>
    </row>
    <row r="293" spans="5:43" ht="15" customHeight="1">
      <c r="E293" s="149" t="str">
        <f>Input!E293</f>
        <v>Metering services associated with the SM roll out net position</v>
      </c>
      <c r="G293" s="149" t="str">
        <f>Input!G293</f>
        <v>£m 12/13 prices</v>
      </c>
      <c r="AE293" s="167"/>
      <c r="AF293" s="167"/>
      <c r="AG293" s="167"/>
      <c r="AH293" s="167"/>
      <c r="AI293" s="167"/>
      <c r="AJ293" s="167"/>
      <c r="AK293" s="167"/>
      <c r="AL293" s="167"/>
      <c r="AM293" s="167"/>
      <c r="AN293" s="167"/>
      <c r="AO293" s="167"/>
      <c r="AP293" s="167"/>
      <c r="AQ293" s="167"/>
    </row>
    <row r="294" spans="5:43" ht="15" customHeight="1">
      <c r="AE294" s="498"/>
      <c r="AF294" s="498"/>
      <c r="AG294" s="498"/>
      <c r="AH294" s="498"/>
      <c r="AI294" s="498"/>
    </row>
    <row r="295" spans="5:43" ht="15" customHeight="1">
      <c r="E295" s="149" t="str">
        <f>Input!E295</f>
        <v>De Minimis Activities revenue</v>
      </c>
      <c r="G295" s="149" t="str">
        <f>Input!G295</f>
        <v>£m 12/13 prices</v>
      </c>
      <c r="AE295" s="227"/>
      <c r="AF295" s="227"/>
      <c r="AG295" s="227"/>
      <c r="AH295" s="227"/>
      <c r="AI295" s="227"/>
      <c r="AJ295" s="227"/>
      <c r="AK295" s="227"/>
      <c r="AL295" s="227"/>
      <c r="AM295" s="227"/>
      <c r="AN295" s="227"/>
      <c r="AO295" s="227"/>
      <c r="AP295" s="227"/>
      <c r="AQ295" s="227"/>
    </row>
    <row r="296" spans="5:43" ht="15" customHeight="1">
      <c r="E296" s="149" t="str">
        <f>Input!E296</f>
        <v>De Minimis Activities costs</v>
      </c>
      <c r="G296" s="149" t="str">
        <f>Input!G296</f>
        <v>£m 12/13 prices</v>
      </c>
      <c r="AE296" s="227"/>
      <c r="AF296" s="227"/>
      <c r="AG296" s="227"/>
      <c r="AH296" s="227"/>
      <c r="AI296" s="227"/>
      <c r="AJ296" s="227"/>
      <c r="AK296" s="227"/>
      <c r="AL296" s="227"/>
      <c r="AM296" s="227"/>
      <c r="AN296" s="227"/>
      <c r="AO296" s="227"/>
      <c r="AP296" s="227"/>
      <c r="AQ296" s="227"/>
    </row>
    <row r="297" spans="5:43" ht="15" customHeight="1">
      <c r="E297" s="149" t="str">
        <f>Input!E297</f>
        <v>De Minimis Activities net position</v>
      </c>
      <c r="G297" s="149" t="str">
        <f>Input!G297</f>
        <v>£m 12/13 prices</v>
      </c>
      <c r="AE297" s="167"/>
      <c r="AF297" s="167"/>
      <c r="AG297" s="167"/>
      <c r="AH297" s="167"/>
      <c r="AI297" s="167"/>
      <c r="AJ297" s="167"/>
      <c r="AK297" s="167"/>
      <c r="AL297" s="167"/>
      <c r="AM297" s="167"/>
      <c r="AN297" s="167"/>
      <c r="AO297" s="167"/>
      <c r="AP297" s="167"/>
      <c r="AQ297" s="167"/>
    </row>
    <row r="298" spans="5:43" ht="15" customHeight="1">
      <c r="AE298" s="498"/>
      <c r="AF298" s="498"/>
      <c r="AG298" s="498"/>
      <c r="AH298" s="498"/>
      <c r="AI298" s="498"/>
    </row>
    <row r="299" spans="5:43" ht="15" customHeight="1">
      <c r="E299" s="149" t="str">
        <f>Input!E299</f>
        <v>Out of Area Networks revenue</v>
      </c>
      <c r="G299" s="149" t="str">
        <f>Input!G299</f>
        <v>£m 12/13 prices</v>
      </c>
      <c r="AE299" s="227"/>
      <c r="AF299" s="227"/>
      <c r="AG299" s="227"/>
      <c r="AH299" s="227"/>
      <c r="AI299" s="227"/>
      <c r="AJ299" s="227"/>
      <c r="AK299" s="227"/>
      <c r="AL299" s="227"/>
      <c r="AM299" s="227"/>
      <c r="AN299" s="227"/>
      <c r="AO299" s="227"/>
      <c r="AP299" s="227"/>
      <c r="AQ299" s="227"/>
    </row>
    <row r="300" spans="5:43" ht="15" customHeight="1">
      <c r="E300" s="149" t="str">
        <f>Input!E300</f>
        <v>Out of Area Networks costs</v>
      </c>
      <c r="G300" s="149" t="str">
        <f>Input!G300</f>
        <v>£m 12/13 prices</v>
      </c>
      <c r="AE300" s="227"/>
      <c r="AF300" s="227"/>
      <c r="AG300" s="227"/>
      <c r="AH300" s="227"/>
      <c r="AI300" s="227"/>
      <c r="AJ300" s="227"/>
      <c r="AK300" s="227"/>
      <c r="AL300" s="227"/>
      <c r="AM300" s="227"/>
      <c r="AN300" s="227"/>
      <c r="AO300" s="227"/>
      <c r="AP300" s="227"/>
      <c r="AQ300" s="227"/>
    </row>
    <row r="301" spans="5:43" ht="15" customHeight="1">
      <c r="E301" s="149" t="str">
        <f>Input!E301</f>
        <v>Out of Area Networks net position</v>
      </c>
      <c r="G301" s="149" t="str">
        <f>Input!G301</f>
        <v>£m 12/13 prices</v>
      </c>
      <c r="AE301" s="167"/>
      <c r="AF301" s="167"/>
      <c r="AG301" s="167"/>
      <c r="AH301" s="167"/>
      <c r="AI301" s="167"/>
      <c r="AJ301" s="167"/>
      <c r="AK301" s="167"/>
      <c r="AL301" s="167"/>
      <c r="AM301" s="167"/>
      <c r="AN301" s="167"/>
      <c r="AO301" s="167"/>
      <c r="AP301" s="167"/>
      <c r="AQ301" s="167"/>
    </row>
    <row r="302" spans="5:43" ht="15" customHeight="1">
      <c r="AE302" s="498"/>
      <c r="AF302" s="498"/>
      <c r="AG302" s="498"/>
      <c r="AH302" s="498"/>
      <c r="AI302" s="498"/>
    </row>
    <row r="303" spans="5:43" ht="15" customHeight="1">
      <c r="E303" s="149" t="str">
        <f>Input!E303</f>
        <v>Other consented activities revenue</v>
      </c>
      <c r="G303" s="149" t="str">
        <f>Input!G303</f>
        <v>£m 12/13 prices</v>
      </c>
      <c r="AE303" s="227"/>
      <c r="AF303" s="227"/>
      <c r="AG303" s="227"/>
      <c r="AH303" s="227"/>
      <c r="AI303" s="227"/>
      <c r="AJ303" s="227"/>
      <c r="AK303" s="227"/>
      <c r="AL303" s="227"/>
      <c r="AM303" s="227"/>
      <c r="AN303" s="227"/>
      <c r="AO303" s="227"/>
      <c r="AP303" s="227"/>
      <c r="AQ303" s="227"/>
    </row>
    <row r="304" spans="5:43" ht="15" customHeight="1">
      <c r="E304" s="149" t="str">
        <f>Input!E304</f>
        <v>Other consented activities costs</v>
      </c>
      <c r="G304" s="149" t="str">
        <f>Input!G304</f>
        <v>£m 12/13 prices</v>
      </c>
      <c r="AE304" s="227"/>
      <c r="AF304" s="227"/>
      <c r="AG304" s="227"/>
      <c r="AH304" s="227"/>
      <c r="AI304" s="227"/>
      <c r="AJ304" s="227"/>
      <c r="AK304" s="227"/>
      <c r="AL304" s="227"/>
      <c r="AM304" s="227"/>
      <c r="AN304" s="227"/>
      <c r="AO304" s="227"/>
      <c r="AP304" s="227"/>
      <c r="AQ304" s="227"/>
    </row>
    <row r="305" spans="2:43" ht="15" customHeight="1">
      <c r="E305" s="149" t="str">
        <f>Input!E305</f>
        <v>Other consented activities net position</v>
      </c>
      <c r="G305" s="149" t="str">
        <f>Input!G305</f>
        <v>£m 12/13 prices</v>
      </c>
      <c r="AE305" s="167"/>
      <c r="AF305" s="167"/>
      <c r="AG305" s="167"/>
      <c r="AH305" s="167"/>
      <c r="AI305" s="167"/>
      <c r="AJ305" s="167"/>
      <c r="AK305" s="167"/>
      <c r="AL305" s="167"/>
      <c r="AM305" s="167"/>
      <c r="AN305" s="167"/>
      <c r="AO305" s="167"/>
      <c r="AP305" s="167"/>
      <c r="AQ305" s="167"/>
    </row>
    <row r="306" spans="2:43" ht="15" customHeight="1">
      <c r="AE306" s="498"/>
      <c r="AF306" s="498"/>
      <c r="AG306" s="498"/>
      <c r="AH306" s="498"/>
      <c r="AI306" s="498"/>
    </row>
    <row r="307" spans="2:43" ht="15" customHeight="1">
      <c r="E307" s="149" t="str">
        <f>Input!E307</f>
        <v>Spare revenue</v>
      </c>
      <c r="G307" s="149" t="str">
        <f>Input!G307</f>
        <v>£m 12/13 prices</v>
      </c>
      <c r="AE307" s="227"/>
      <c r="AF307" s="227"/>
      <c r="AG307" s="227"/>
      <c r="AH307" s="227"/>
      <c r="AI307" s="227"/>
      <c r="AJ307" s="227"/>
      <c r="AK307" s="227"/>
      <c r="AL307" s="227"/>
      <c r="AM307" s="227"/>
      <c r="AN307" s="227"/>
      <c r="AO307" s="227"/>
      <c r="AP307" s="227"/>
      <c r="AQ307" s="227"/>
    </row>
    <row r="308" spans="2:43" ht="15" customHeight="1">
      <c r="E308" s="149" t="str">
        <f>Input!E308</f>
        <v>Spare costs</v>
      </c>
      <c r="G308" s="149" t="str">
        <f>Input!G308</f>
        <v>£m 12/13 prices</v>
      </c>
      <c r="AE308" s="227"/>
      <c r="AF308" s="227"/>
      <c r="AG308" s="227"/>
      <c r="AH308" s="227"/>
      <c r="AI308" s="227"/>
      <c r="AJ308" s="227"/>
      <c r="AK308" s="227"/>
      <c r="AL308" s="227"/>
      <c r="AM308" s="227"/>
      <c r="AN308" s="227"/>
      <c r="AO308" s="227"/>
      <c r="AP308" s="227"/>
      <c r="AQ308" s="227"/>
    </row>
    <row r="309" spans="2:43" ht="15" customHeight="1">
      <c r="E309" s="149" t="str">
        <f>Input!E309</f>
        <v>Spare net position</v>
      </c>
      <c r="G309" s="149" t="str">
        <f>Input!G309</f>
        <v>£m 12/13 prices</v>
      </c>
      <c r="AE309" s="167"/>
      <c r="AF309" s="167"/>
      <c r="AG309" s="167"/>
      <c r="AH309" s="167"/>
      <c r="AI309" s="167"/>
      <c r="AJ309" s="167"/>
      <c r="AK309" s="167"/>
      <c r="AL309" s="167"/>
      <c r="AM309" s="167"/>
      <c r="AN309" s="167"/>
      <c r="AO309" s="167"/>
      <c r="AP309" s="167"/>
      <c r="AQ309" s="167"/>
    </row>
    <row r="310" spans="2:43" ht="15" customHeight="1">
      <c r="AE310" s="498"/>
      <c r="AF310" s="498"/>
      <c r="AG310" s="498"/>
      <c r="AH310" s="498"/>
      <c r="AI310" s="498"/>
    </row>
    <row r="311" spans="2:43" ht="15" customHeight="1">
      <c r="E311" s="149" t="str">
        <f>Input!E311</f>
        <v>Overall net income of Directly Remunerated Services</v>
      </c>
      <c r="G311" s="149" t="str">
        <f>Input!G311</f>
        <v>£m 12/13 prices</v>
      </c>
      <c r="AE311" s="167"/>
      <c r="AF311" s="167"/>
      <c r="AG311" s="167"/>
      <c r="AH311" s="167"/>
      <c r="AI311" s="167"/>
      <c r="AJ311" s="167"/>
      <c r="AK311" s="167"/>
      <c r="AL311" s="167"/>
      <c r="AM311" s="167"/>
      <c r="AN311" s="167"/>
      <c r="AO311" s="167"/>
      <c r="AP311" s="167"/>
      <c r="AQ311" s="167"/>
    </row>
    <row r="313" spans="2:43" ht="15" customHeight="1">
      <c r="B313" s="334" t="s">
        <v>155</v>
      </c>
      <c r="C313" s="334"/>
      <c r="D313" s="334"/>
      <c r="E313" s="334"/>
      <c r="F313" s="334"/>
      <c r="G313" s="334"/>
      <c r="H313" s="334"/>
      <c r="I313" s="334"/>
      <c r="J313" s="334"/>
      <c r="K313" s="334"/>
      <c r="L313" s="334"/>
      <c r="M313" s="334"/>
      <c r="N313" s="334"/>
      <c r="O313" s="334"/>
      <c r="P313" s="334"/>
      <c r="Q313" s="334"/>
      <c r="R313" s="334"/>
      <c r="S313" s="334"/>
      <c r="T313" s="334"/>
      <c r="U313" s="334"/>
      <c r="V313" s="334"/>
      <c r="W313" s="334"/>
      <c r="X313" s="334"/>
      <c r="Y313" s="334"/>
      <c r="Z313" s="334"/>
      <c r="AA313" s="334"/>
      <c r="AB313" s="334"/>
      <c r="AC313" s="334"/>
      <c r="AD313" s="334"/>
      <c r="AE313" s="334"/>
      <c r="AF313" s="334"/>
      <c r="AG313" s="334"/>
      <c r="AH313" s="334"/>
      <c r="AI313" s="334"/>
      <c r="AJ313" s="334"/>
      <c r="AK313" s="334"/>
      <c r="AL313" s="334"/>
      <c r="AM313" s="334"/>
      <c r="AN313" s="334"/>
      <c r="AO313" s="334"/>
      <c r="AP313" s="334"/>
      <c r="AQ313" s="334"/>
    </row>
    <row r="315" spans="2:43" ht="15" customHeight="1">
      <c r="C315" s="332" t="s">
        <v>130</v>
      </c>
      <c r="D315" s="332"/>
      <c r="E315" s="332"/>
      <c r="F315" s="332"/>
      <c r="G315" s="332"/>
      <c r="H315" s="332"/>
      <c r="I315" s="332"/>
      <c r="J315" s="332"/>
      <c r="K315" s="332"/>
      <c r="L315" s="332"/>
      <c r="M315" s="332"/>
      <c r="N315" s="332"/>
      <c r="O315" s="332"/>
      <c r="P315" s="332"/>
      <c r="Q315" s="332"/>
      <c r="R315" s="332"/>
      <c r="S315" s="332"/>
      <c r="T315" s="332"/>
      <c r="U315" s="332"/>
      <c r="V315" s="332"/>
      <c r="W315" s="332"/>
      <c r="X315" s="332"/>
      <c r="Y315" s="332"/>
      <c r="Z315" s="332"/>
      <c r="AA315" s="332"/>
      <c r="AB315" s="332"/>
      <c r="AC315" s="332"/>
      <c r="AD315" s="332"/>
      <c r="AE315" s="332"/>
      <c r="AF315" s="332"/>
      <c r="AG315" s="332"/>
      <c r="AH315" s="332"/>
      <c r="AI315" s="332"/>
      <c r="AJ315" s="332"/>
      <c r="AK315" s="332"/>
      <c r="AL315" s="332"/>
      <c r="AM315" s="332"/>
      <c r="AN315" s="332"/>
      <c r="AO315" s="332"/>
      <c r="AP315" s="332"/>
      <c r="AQ315" s="332"/>
    </row>
    <row r="317" spans="2:43" ht="15" customHeight="1">
      <c r="E317" s="25" t="str">
        <f>Input!E317</f>
        <v>Pre-vesting asset life</v>
      </c>
      <c r="G317" s="149" t="s">
        <v>51</v>
      </c>
      <c r="I317" s="236">
        <v>15</v>
      </c>
    </row>
    <row r="318" spans="2:43" ht="15" customHeight="1">
      <c r="E318" s="25" t="str">
        <f>Input!E318</f>
        <v>Pre vesting asset depn in first year (mths)</v>
      </c>
      <c r="G318" s="149" t="s">
        <v>670</v>
      </c>
      <c r="I318" s="236">
        <v>3.5</v>
      </c>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c r="AG318" s="153"/>
      <c r="AH318" s="153"/>
      <c r="AI318" s="153"/>
      <c r="AJ318" s="153"/>
      <c r="AK318" s="153"/>
      <c r="AL318" s="153"/>
      <c r="AM318" s="153"/>
      <c r="AN318" s="153"/>
      <c r="AO318" s="153"/>
      <c r="AP318" s="153"/>
      <c r="AQ318" s="153"/>
    </row>
    <row r="319" spans="2:43" ht="15" customHeight="1">
      <c r="G319" s="195"/>
    </row>
    <row r="320" spans="2:43" ht="15" customHeight="1">
      <c r="E320" s="149" t="s">
        <v>674</v>
      </c>
      <c r="G320" s="195" t="s">
        <v>844</v>
      </c>
      <c r="I320" s="418"/>
      <c r="L320" s="419"/>
    </row>
    <row r="321" spans="2:43" ht="15" customHeight="1">
      <c r="G321" s="195"/>
    </row>
    <row r="322" spans="2:43" ht="15" customHeight="1">
      <c r="C322" s="332" t="s">
        <v>418</v>
      </c>
      <c r="D322" s="332"/>
      <c r="E322" s="332"/>
      <c r="F322" s="332"/>
      <c r="G322" s="332"/>
      <c r="H322" s="332"/>
      <c r="I322" s="413"/>
      <c r="J322" s="332"/>
      <c r="K322" s="332"/>
      <c r="L322" s="332"/>
      <c r="M322" s="332"/>
      <c r="N322" s="332"/>
      <c r="O322" s="332"/>
      <c r="P322" s="332"/>
      <c r="Q322" s="332"/>
      <c r="R322" s="332"/>
      <c r="S322" s="332"/>
      <c r="T322" s="332"/>
      <c r="U322" s="332"/>
      <c r="V322" s="332"/>
      <c r="W322" s="332"/>
      <c r="X322" s="332"/>
      <c r="Y322" s="332"/>
      <c r="Z322" s="332"/>
      <c r="AA322" s="332"/>
      <c r="AB322" s="332"/>
      <c r="AC322" s="332"/>
      <c r="AD322" s="332"/>
      <c r="AE322" s="332"/>
      <c r="AF322" s="332"/>
      <c r="AG322" s="332"/>
      <c r="AH322" s="332"/>
      <c r="AI322" s="332"/>
      <c r="AJ322" s="332"/>
      <c r="AK322" s="332"/>
      <c r="AL322" s="332"/>
      <c r="AM322" s="332"/>
      <c r="AN322" s="332"/>
      <c r="AO322" s="332"/>
      <c r="AP322" s="332"/>
      <c r="AQ322" s="332"/>
    </row>
    <row r="324" spans="2:43" ht="15" customHeight="1">
      <c r="E324" s="205" t="str">
        <f>Input!E324</f>
        <v>ED</v>
      </c>
    </row>
    <row r="325" spans="2:43" ht="15" customHeight="1">
      <c r="E325" s="30" t="str">
        <f>Input!E325</f>
        <v>Post-vesting asset life</v>
      </c>
      <c r="F325" s="147"/>
      <c r="G325" s="147" t="s">
        <v>51</v>
      </c>
      <c r="J325" s="153" t="s">
        <v>56</v>
      </c>
      <c r="K325" s="236"/>
      <c r="L325" s="236"/>
      <c r="M325" s="236"/>
      <c r="N325" s="236"/>
      <c r="O325" s="236"/>
      <c r="P325" s="236"/>
      <c r="Q325" s="236"/>
      <c r="R325" s="236"/>
      <c r="S325" s="236"/>
      <c r="T325" s="236"/>
      <c r="U325" s="236"/>
      <c r="V325" s="236"/>
      <c r="W325" s="236"/>
      <c r="X325" s="236"/>
      <c r="Y325" s="236"/>
      <c r="Z325" s="236"/>
      <c r="AA325" s="236"/>
      <c r="AB325" s="236"/>
      <c r="AC325" s="236"/>
      <c r="AD325" s="236"/>
      <c r="AE325" s="236"/>
      <c r="AF325" s="236"/>
      <c r="AG325" s="236"/>
      <c r="AH325" s="236"/>
      <c r="AI325" s="327"/>
      <c r="AJ325" s="236"/>
      <c r="AK325" s="236"/>
      <c r="AL325" s="236"/>
      <c r="AM325" s="236"/>
      <c r="AN325" s="236"/>
      <c r="AO325" s="236"/>
      <c r="AP325" s="236"/>
      <c r="AQ325" s="236"/>
    </row>
    <row r="326" spans="2:43" ht="15" customHeight="1">
      <c r="E326" s="147" t="str">
        <f>Input!E326</f>
        <v>Accelerated post-vesting asset life</v>
      </c>
      <c r="G326" s="147" t="s">
        <v>51</v>
      </c>
      <c r="J326" s="153" t="s">
        <v>56</v>
      </c>
      <c r="K326" s="327"/>
      <c r="L326" s="236"/>
      <c r="M326" s="236"/>
      <c r="N326" s="236"/>
      <c r="O326" s="236"/>
      <c r="P326" s="236"/>
      <c r="Q326" s="236"/>
      <c r="R326" s="236"/>
      <c r="S326" s="236"/>
      <c r="T326" s="236"/>
      <c r="U326" s="236"/>
      <c r="V326" s="236"/>
      <c r="W326" s="236"/>
      <c r="X326" s="236"/>
      <c r="Y326" s="236"/>
      <c r="Z326" s="236"/>
      <c r="AA326" s="236"/>
      <c r="AB326" s="236"/>
      <c r="AC326" s="236"/>
      <c r="AD326" s="236"/>
      <c r="AE326" s="236"/>
      <c r="AF326" s="236"/>
      <c r="AG326" s="236"/>
      <c r="AH326" s="236"/>
      <c r="AI326" s="327"/>
      <c r="AJ326" s="236"/>
      <c r="AK326" s="236"/>
      <c r="AL326" s="236"/>
      <c r="AM326" s="236"/>
      <c r="AN326" s="236"/>
      <c r="AO326" s="236"/>
      <c r="AP326" s="236"/>
      <c r="AQ326" s="236"/>
    </row>
    <row r="327" spans="2:43" ht="15" customHeight="1">
      <c r="E327" s="25" t="str">
        <f>Input!E327</f>
        <v>Smoothing period following full depreciation of pre-vesting assets</v>
      </c>
      <c r="G327" s="149" t="s">
        <v>51</v>
      </c>
      <c r="I327" s="236">
        <v>15</v>
      </c>
    </row>
    <row r="328" spans="2:43" ht="15" customHeight="1">
      <c r="C328" s="157"/>
      <c r="D328" s="157"/>
      <c r="E328" s="30" t="str">
        <f>Input!E328</f>
        <v>Vesting Period</v>
      </c>
      <c r="F328" s="157"/>
      <c r="G328" s="157" t="s">
        <v>241</v>
      </c>
      <c r="H328" s="157"/>
      <c r="I328" s="328">
        <v>33328</v>
      </c>
      <c r="J328" s="157"/>
      <c r="K328" s="157"/>
      <c r="L328" s="157"/>
      <c r="M328" s="157"/>
      <c r="N328" s="157"/>
      <c r="O328" s="157"/>
      <c r="P328" s="157"/>
      <c r="Q328" s="157"/>
      <c r="R328" s="157"/>
      <c r="S328" s="157"/>
      <c r="T328" s="157"/>
      <c r="U328" s="157"/>
      <c r="V328" s="157"/>
      <c r="W328" s="157"/>
      <c r="X328" s="157"/>
      <c r="Y328" s="157"/>
      <c r="Z328" s="157"/>
      <c r="AA328" s="157"/>
      <c r="AB328" s="157"/>
      <c r="AC328" s="157"/>
      <c r="AD328" s="157"/>
      <c r="AE328" s="157"/>
      <c r="AF328" s="157"/>
      <c r="AG328" s="157"/>
      <c r="AH328" s="157"/>
      <c r="AI328" s="157"/>
    </row>
    <row r="329" spans="2:43" ht="15" customHeight="1">
      <c r="E329" s="147" t="str">
        <f>Input!E329</f>
        <v>Pre-RIIO net additions to RAV</v>
      </c>
      <c r="F329" s="147"/>
      <c r="G329" s="149" t="s">
        <v>844</v>
      </c>
      <c r="H329" s="147"/>
      <c r="I329" s="147"/>
      <c r="J329" s="153" t="s">
        <v>56</v>
      </c>
      <c r="K329" s="227"/>
      <c r="L329" s="227"/>
      <c r="M329" s="227"/>
      <c r="N329" s="227"/>
      <c r="O329" s="227"/>
      <c r="P329" s="227"/>
      <c r="Q329" s="227"/>
      <c r="R329" s="227"/>
      <c r="S329" s="227"/>
      <c r="T329" s="227"/>
      <c r="U329" s="227"/>
      <c r="V329" s="227"/>
      <c r="W329" s="227"/>
      <c r="X329" s="227"/>
      <c r="Y329" s="227"/>
      <c r="Z329" s="227"/>
      <c r="AA329" s="227"/>
      <c r="AB329" s="227"/>
      <c r="AC329" s="227"/>
      <c r="AD329" s="227"/>
      <c r="AE329" s="227"/>
      <c r="AF329" s="227"/>
      <c r="AG329" s="227"/>
      <c r="AH329" s="227"/>
      <c r="AI329" s="227"/>
    </row>
    <row r="330" spans="2:43" ht="15" customHeight="1">
      <c r="E330" s="147" t="str">
        <f>Input!E330</f>
        <v xml:space="preserve">Other legacy adjustments' price control RAV additions adjustment                                                                                                                  </v>
      </c>
      <c r="F330" s="147"/>
      <c r="G330" s="149" t="s">
        <v>844</v>
      </c>
      <c r="H330" s="147"/>
      <c r="I330" s="147"/>
      <c r="J330" s="153"/>
      <c r="K330" s="236"/>
      <c r="L330" s="236"/>
      <c r="M330" s="236"/>
      <c r="N330" s="236"/>
      <c r="O330" s="236"/>
      <c r="P330" s="236"/>
      <c r="Q330" s="236"/>
      <c r="R330" s="236"/>
      <c r="S330" s="236"/>
      <c r="T330" s="236"/>
      <c r="U330" s="236"/>
      <c r="V330" s="236"/>
      <c r="W330" s="236"/>
      <c r="X330" s="236"/>
      <c r="Y330" s="236"/>
      <c r="Z330" s="236"/>
      <c r="AA330" s="236"/>
      <c r="AB330" s="236"/>
      <c r="AC330" s="236"/>
      <c r="AD330" s="236"/>
      <c r="AE330" s="236"/>
      <c r="AF330" s="236"/>
      <c r="AG330" s="236"/>
      <c r="AH330" s="221"/>
      <c r="AI330" s="221"/>
      <c r="AJ330" s="157"/>
      <c r="AK330" s="157"/>
      <c r="AL330" s="157"/>
      <c r="AM330" s="157"/>
      <c r="AN330" s="157"/>
      <c r="AO330" s="157"/>
      <c r="AP330" s="157"/>
      <c r="AQ330" s="157"/>
    </row>
    <row r="331" spans="2:43" ht="15" customHeight="1">
      <c r="E331" s="147" t="str">
        <f>E35</f>
        <v>RAV Rolling Incentive legacy adjustments' price control RAV additions adjustment</v>
      </c>
      <c r="F331" s="147"/>
      <c r="G331" s="149" t="s">
        <v>844</v>
      </c>
      <c r="H331" s="147"/>
      <c r="I331" s="147"/>
      <c r="J331" s="153"/>
      <c r="K331" s="236"/>
      <c r="L331" s="236"/>
      <c r="M331" s="236"/>
      <c r="N331" s="236"/>
      <c r="O331" s="236"/>
      <c r="P331" s="236"/>
      <c r="Q331" s="236"/>
      <c r="R331" s="236"/>
      <c r="S331" s="236"/>
      <c r="T331" s="236"/>
      <c r="U331" s="236"/>
      <c r="V331" s="236"/>
      <c r="W331" s="236"/>
      <c r="X331" s="236"/>
      <c r="Y331" s="236"/>
      <c r="Z331" s="236"/>
      <c r="AA331" s="236"/>
      <c r="AB331" s="236"/>
      <c r="AC331" s="236"/>
      <c r="AD331" s="236"/>
      <c r="AE331" s="236"/>
      <c r="AF331" s="236"/>
      <c r="AG331" s="236"/>
      <c r="AH331" s="221"/>
      <c r="AI331" s="221"/>
      <c r="AJ331" s="157"/>
      <c r="AK331" s="157"/>
      <c r="AL331" s="157"/>
      <c r="AM331" s="157"/>
      <c r="AN331" s="157"/>
      <c r="AO331" s="157"/>
      <c r="AP331" s="157"/>
      <c r="AQ331" s="157"/>
    </row>
    <row r="332" spans="2:43" ht="15" customHeight="1">
      <c r="E332" s="147" t="s">
        <v>552</v>
      </c>
      <c r="F332" s="147"/>
      <c r="G332" s="149" t="s">
        <v>844</v>
      </c>
      <c r="H332" s="147"/>
      <c r="I332" s="147"/>
      <c r="J332" s="153"/>
      <c r="AI332" s="107"/>
      <c r="AJ332" s="236"/>
      <c r="AK332" s="236"/>
      <c r="AL332" s="236"/>
      <c r="AM332" s="236"/>
      <c r="AN332" s="236"/>
      <c r="AO332" s="236"/>
      <c r="AP332" s="236"/>
      <c r="AQ332" s="236"/>
    </row>
    <row r="333" spans="2:43" ht="15" customHeight="1">
      <c r="E333" s="147" t="s">
        <v>553</v>
      </c>
      <c r="F333" s="147"/>
      <c r="G333" s="149" t="s">
        <v>844</v>
      </c>
      <c r="H333" s="147"/>
      <c r="I333" s="147"/>
      <c r="J333" s="153"/>
      <c r="AI333" s="107"/>
      <c r="AJ333" s="236"/>
      <c r="AK333" s="236"/>
      <c r="AL333" s="236"/>
      <c r="AM333" s="236"/>
      <c r="AN333" s="236"/>
      <c r="AO333" s="236"/>
      <c r="AP333" s="236"/>
      <c r="AQ333" s="236"/>
    </row>
    <row r="334" spans="2:43" ht="15" customHeight="1">
      <c r="E334" s="147" t="str">
        <f>Input!E334</f>
        <v>Pre-RIIO transfers to depreciation</v>
      </c>
      <c r="F334" s="147"/>
      <c r="G334" s="149" t="s">
        <v>844</v>
      </c>
      <c r="H334" s="147"/>
      <c r="I334" s="147"/>
      <c r="J334" s="153" t="s">
        <v>56</v>
      </c>
      <c r="K334" s="236"/>
      <c r="L334" s="236"/>
      <c r="M334" s="236"/>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327"/>
    </row>
    <row r="336" spans="2:43" s="147" customFormat="1" ht="15" customHeight="1">
      <c r="B336" s="334" t="s">
        <v>8</v>
      </c>
      <c r="C336" s="334"/>
      <c r="D336" s="334"/>
      <c r="E336" s="334"/>
      <c r="F336" s="334"/>
      <c r="G336" s="334"/>
      <c r="H336" s="334"/>
      <c r="I336" s="334"/>
      <c r="J336" s="334"/>
      <c r="K336" s="334"/>
      <c r="L336" s="334"/>
      <c r="M336" s="334"/>
      <c r="N336" s="334"/>
      <c r="O336" s="334"/>
      <c r="P336" s="334"/>
      <c r="Q336" s="334"/>
      <c r="R336" s="334"/>
      <c r="S336" s="334"/>
      <c r="T336" s="334"/>
      <c r="U336" s="334"/>
      <c r="V336" s="334"/>
      <c r="W336" s="334"/>
      <c r="X336" s="334"/>
      <c r="Y336" s="334"/>
      <c r="Z336" s="334"/>
      <c r="AA336" s="334"/>
      <c r="AB336" s="334"/>
      <c r="AC336" s="334"/>
      <c r="AD336" s="334"/>
      <c r="AE336" s="334"/>
      <c r="AF336" s="334"/>
      <c r="AG336" s="334"/>
      <c r="AH336" s="334"/>
      <c r="AI336" s="334"/>
      <c r="AJ336" s="334"/>
      <c r="AK336" s="334"/>
      <c r="AL336" s="334"/>
      <c r="AM336" s="334"/>
      <c r="AN336" s="334"/>
      <c r="AO336" s="334"/>
      <c r="AP336" s="334"/>
      <c r="AQ336" s="334"/>
    </row>
    <row r="337" spans="3:44" s="157" customFormat="1" ht="15" customHeight="1">
      <c r="J337" s="33"/>
      <c r="K337" s="33"/>
      <c r="L337" s="33"/>
      <c r="M337" s="33"/>
      <c r="N337" s="33"/>
      <c r="O337" s="33"/>
      <c r="P337" s="33"/>
      <c r="Q337" s="33"/>
      <c r="R337" s="33"/>
      <c r="S337" s="33"/>
      <c r="T337" s="33"/>
      <c r="U337" s="33"/>
      <c r="V337" s="33"/>
      <c r="W337" s="33"/>
      <c r="X337" s="33"/>
      <c r="Y337" s="33"/>
      <c r="Z337" s="33"/>
      <c r="AL337" s="103"/>
      <c r="AM337" s="103"/>
      <c r="AN337" s="103"/>
      <c r="AO337" s="103"/>
      <c r="AP337" s="103"/>
      <c r="AQ337" s="103"/>
    </row>
    <row r="338" spans="3:44" ht="15" customHeight="1">
      <c r="C338" s="331" t="s">
        <v>211</v>
      </c>
      <c r="D338" s="331"/>
      <c r="E338" s="331"/>
      <c r="F338" s="331"/>
      <c r="G338" s="331"/>
      <c r="H338" s="331"/>
      <c r="I338" s="331"/>
      <c r="J338" s="331"/>
      <c r="K338" s="331"/>
      <c r="L338" s="331"/>
      <c r="M338" s="331"/>
      <c r="N338" s="331"/>
      <c r="O338" s="331"/>
      <c r="P338" s="331"/>
      <c r="Q338" s="331"/>
      <c r="R338" s="331"/>
      <c r="S338" s="331"/>
      <c r="T338" s="331"/>
      <c r="U338" s="331"/>
      <c r="V338" s="331"/>
      <c r="W338" s="331"/>
      <c r="X338" s="331"/>
      <c r="Y338" s="331"/>
      <c r="Z338" s="331"/>
      <c r="AA338" s="331"/>
      <c r="AB338" s="331"/>
      <c r="AC338" s="331"/>
      <c r="AD338" s="331"/>
      <c r="AE338" s="331"/>
      <c r="AF338" s="331"/>
      <c r="AG338" s="331"/>
      <c r="AH338" s="331"/>
      <c r="AI338" s="331"/>
      <c r="AJ338" s="331"/>
      <c r="AK338" s="331"/>
      <c r="AL338" s="331"/>
      <c r="AM338" s="331"/>
      <c r="AN338" s="331"/>
      <c r="AO338" s="331"/>
      <c r="AP338" s="331"/>
      <c r="AQ338" s="331"/>
    </row>
    <row r="340" spans="3:44" ht="15" customHeight="1">
      <c r="E340" s="149" t="str">
        <f>E36</f>
        <v>Tax liability revenue allowance adjustments - gearing / debt interest costs</v>
      </c>
      <c r="G340" s="195" t="s">
        <v>27</v>
      </c>
      <c r="AJ340" s="221"/>
      <c r="AK340" s="221"/>
      <c r="AL340" s="221"/>
      <c r="AM340" s="221"/>
      <c r="AN340" s="221"/>
      <c r="AO340" s="221"/>
      <c r="AP340" s="221"/>
      <c r="AQ340" s="221"/>
    </row>
    <row r="341" spans="3:44" ht="15" customHeight="1">
      <c r="E341" s="149" t="str">
        <f>E37</f>
        <v xml:space="preserve">Tax liability revenue allowance adjustments in respect of tax trigger events                                                       </v>
      </c>
      <c r="G341" s="149" t="s">
        <v>844</v>
      </c>
      <c r="AJ341" s="221"/>
      <c r="AK341" s="221"/>
      <c r="AL341" s="221"/>
      <c r="AM341" s="221"/>
      <c r="AN341" s="221"/>
      <c r="AO341" s="221"/>
      <c r="AP341" s="221"/>
      <c r="AQ341" s="221"/>
    </row>
    <row r="343" spans="3:44" s="147" customFormat="1" ht="15" customHeight="1">
      <c r="E343" s="157" t="s">
        <v>85</v>
      </c>
      <c r="G343" s="157" t="s">
        <v>49</v>
      </c>
      <c r="I343" s="149"/>
      <c r="J343" s="153" t="s">
        <v>56</v>
      </c>
      <c r="X343" s="149"/>
      <c r="Y343" s="149"/>
      <c r="Z343" s="149"/>
      <c r="AA343" s="149"/>
      <c r="AB343" s="149"/>
      <c r="AC343" s="149"/>
      <c r="AD343" s="149"/>
      <c r="AE343" s="149"/>
      <c r="AF343" s="149"/>
      <c r="AG343" s="149"/>
      <c r="AH343" s="149"/>
      <c r="AI343" s="149"/>
      <c r="AJ343" s="329"/>
      <c r="AK343" s="329"/>
      <c r="AL343" s="329"/>
      <c r="AM343" s="329"/>
      <c r="AN343" s="329"/>
      <c r="AO343" s="329"/>
      <c r="AP343" s="329"/>
      <c r="AQ343" s="329"/>
    </row>
    <row r="344" spans="3:44" ht="15" customHeight="1">
      <c r="AJ344" s="330"/>
      <c r="AK344" s="330"/>
      <c r="AL344" s="330"/>
      <c r="AM344" s="330"/>
      <c r="AN344" s="330"/>
      <c r="AO344" s="330"/>
      <c r="AP344" s="330"/>
      <c r="AQ344" s="330"/>
    </row>
    <row r="345" spans="3:44" s="157" customFormat="1" ht="15" customHeight="1">
      <c r="E345" s="157" t="s">
        <v>483</v>
      </c>
      <c r="G345" s="157" t="s">
        <v>49</v>
      </c>
      <c r="J345" s="45" t="s">
        <v>56</v>
      </c>
      <c r="X345" s="149"/>
      <c r="Y345" s="149"/>
      <c r="Z345" s="149"/>
      <c r="AA345" s="149"/>
      <c r="AB345" s="149"/>
      <c r="AC345" s="149"/>
      <c r="AD345" s="149"/>
      <c r="AE345" s="149"/>
      <c r="AF345" s="149"/>
      <c r="AG345" s="149"/>
      <c r="AH345" s="149"/>
      <c r="AI345" s="149"/>
      <c r="AJ345" s="329"/>
      <c r="AK345" s="329"/>
      <c r="AL345" s="329"/>
      <c r="AM345" s="329"/>
      <c r="AN345" s="329"/>
      <c r="AO345" s="329"/>
      <c r="AP345" s="329"/>
      <c r="AQ345" s="329"/>
    </row>
    <row r="346" spans="3:44" s="157" customFormat="1" ht="15" customHeight="1">
      <c r="E346" s="157" t="s">
        <v>477</v>
      </c>
      <c r="G346" s="157" t="s">
        <v>49</v>
      </c>
      <c r="J346" s="45" t="s">
        <v>56</v>
      </c>
      <c r="X346" s="149"/>
      <c r="Y346" s="149"/>
      <c r="Z346" s="149"/>
      <c r="AA346" s="149"/>
      <c r="AB346" s="149"/>
      <c r="AC346" s="149"/>
      <c r="AD346" s="149"/>
      <c r="AE346" s="149"/>
      <c r="AF346" s="149"/>
      <c r="AG346" s="149"/>
      <c r="AH346" s="149"/>
      <c r="AI346" s="149"/>
      <c r="AJ346" s="329"/>
      <c r="AK346" s="329"/>
      <c r="AL346" s="329"/>
      <c r="AM346" s="329"/>
      <c r="AN346" s="329"/>
      <c r="AO346" s="329"/>
      <c r="AP346" s="329"/>
      <c r="AQ346" s="329"/>
    </row>
    <row r="347" spans="3:44" s="157" customFormat="1" ht="15" customHeight="1">
      <c r="E347" s="157" t="s">
        <v>209</v>
      </c>
      <c r="G347" s="157" t="s">
        <v>49</v>
      </c>
      <c r="J347" s="45" t="s">
        <v>56</v>
      </c>
      <c r="X347" s="149"/>
      <c r="Y347" s="149"/>
      <c r="Z347" s="149"/>
      <c r="AA347" s="149"/>
      <c r="AB347" s="149"/>
      <c r="AC347" s="149"/>
      <c r="AD347" s="149"/>
      <c r="AE347" s="149"/>
      <c r="AF347" s="149"/>
      <c r="AG347" s="149"/>
      <c r="AH347" s="149"/>
      <c r="AI347" s="149"/>
      <c r="AJ347" s="329"/>
      <c r="AK347" s="329"/>
      <c r="AL347" s="329"/>
      <c r="AM347" s="329"/>
      <c r="AN347" s="329"/>
      <c r="AO347" s="329"/>
      <c r="AP347" s="329"/>
      <c r="AQ347" s="329"/>
    </row>
    <row r="349" spans="3:44" ht="15" customHeight="1">
      <c r="C349" s="331" t="s">
        <v>210</v>
      </c>
      <c r="D349" s="331"/>
      <c r="E349" s="331"/>
      <c r="F349" s="331"/>
      <c r="G349" s="331"/>
      <c r="H349" s="331"/>
      <c r="I349" s="331"/>
      <c r="J349" s="331"/>
      <c r="K349" s="331"/>
      <c r="L349" s="331"/>
      <c r="M349" s="331"/>
      <c r="N349" s="331"/>
      <c r="O349" s="331"/>
      <c r="P349" s="331"/>
      <c r="Q349" s="331"/>
      <c r="R349" s="331"/>
      <c r="S349" s="331"/>
      <c r="T349" s="331"/>
      <c r="U349" s="331"/>
      <c r="V349" s="331"/>
      <c r="W349" s="331"/>
      <c r="X349" s="331"/>
      <c r="Y349" s="331"/>
      <c r="Z349" s="331"/>
      <c r="AA349" s="331"/>
      <c r="AB349" s="331"/>
      <c r="AC349" s="331"/>
      <c r="AD349" s="331"/>
      <c r="AE349" s="331"/>
      <c r="AF349" s="331"/>
      <c r="AG349" s="331"/>
      <c r="AH349" s="331"/>
      <c r="AI349" s="331"/>
      <c r="AJ349" s="331"/>
      <c r="AK349" s="331"/>
      <c r="AL349" s="331"/>
      <c r="AM349" s="331"/>
      <c r="AN349" s="331"/>
      <c r="AO349" s="331"/>
      <c r="AP349" s="331"/>
      <c r="AQ349" s="331"/>
    </row>
    <row r="351" spans="3:44" s="195" customFormat="1" ht="15" customHeight="1">
      <c r="E351" s="195" t="s">
        <v>484</v>
      </c>
      <c r="G351" s="195" t="s">
        <v>27</v>
      </c>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H351" s="227"/>
      <c r="AI351" s="157"/>
      <c r="AJ351" s="149"/>
      <c r="AK351" s="157"/>
      <c r="AL351" s="157"/>
      <c r="AM351" s="157"/>
      <c r="AN351" s="157"/>
      <c r="AO351" s="157"/>
      <c r="AP351" s="157"/>
      <c r="AQ351" s="157"/>
      <c r="AR351" s="157"/>
    </row>
    <row r="352" spans="3:44" s="195" customFormat="1" ht="15" customHeight="1">
      <c r="E352" s="195" t="s">
        <v>710</v>
      </c>
      <c r="G352" s="195" t="s">
        <v>27</v>
      </c>
      <c r="J352" s="157"/>
      <c r="K352" s="157"/>
      <c r="L352" s="157"/>
      <c r="M352" s="157"/>
      <c r="N352" s="157"/>
      <c r="O352" s="157"/>
      <c r="P352" s="157"/>
      <c r="Q352" s="157"/>
      <c r="R352" s="157"/>
      <c r="S352" s="157"/>
      <c r="T352" s="157"/>
      <c r="U352" s="157"/>
      <c r="V352" s="157"/>
      <c r="W352" s="157"/>
      <c r="X352" s="157"/>
      <c r="Y352" s="157"/>
      <c r="Z352" s="157"/>
      <c r="AA352" s="157"/>
      <c r="AB352" s="157"/>
      <c r="AC352" s="157"/>
      <c r="AD352" s="157"/>
      <c r="AE352" s="157"/>
      <c r="AF352" s="157"/>
      <c r="AH352" s="227"/>
      <c r="AI352" s="227"/>
      <c r="AJ352" s="149"/>
      <c r="AK352" s="157"/>
      <c r="AL352" s="157"/>
      <c r="AM352" s="157"/>
      <c r="AN352" s="157"/>
      <c r="AO352" s="157"/>
      <c r="AP352" s="157"/>
      <c r="AQ352" s="157"/>
      <c r="AR352" s="157"/>
    </row>
    <row r="353" spans="5:44" s="195" customFormat="1" ht="15" customHeight="1">
      <c r="E353" s="195" t="s">
        <v>711</v>
      </c>
      <c r="G353" s="195" t="s">
        <v>27</v>
      </c>
      <c r="J353" s="157"/>
      <c r="K353" s="157"/>
      <c r="L353" s="157"/>
      <c r="M353" s="157"/>
      <c r="N353" s="157"/>
      <c r="O353" s="157"/>
      <c r="P353" s="157"/>
      <c r="Q353" s="157"/>
      <c r="R353" s="157"/>
      <c r="S353" s="157"/>
      <c r="T353" s="157"/>
      <c r="U353" s="157"/>
      <c r="V353" s="157"/>
      <c r="W353" s="157"/>
      <c r="X353" s="157"/>
      <c r="Y353" s="157"/>
      <c r="Z353" s="157"/>
      <c r="AA353" s="157"/>
      <c r="AB353" s="157"/>
      <c r="AC353" s="157"/>
      <c r="AD353" s="157"/>
      <c r="AE353" s="157"/>
      <c r="AF353" s="157"/>
      <c r="AH353" s="221"/>
      <c r="AI353" s="221"/>
      <c r="AJ353" s="149"/>
      <c r="AK353" s="157"/>
      <c r="AL353" s="157"/>
      <c r="AM353" s="157"/>
      <c r="AN353" s="157"/>
      <c r="AO353" s="157"/>
      <c r="AP353" s="157"/>
      <c r="AQ353" s="157"/>
      <c r="AR353" s="157"/>
    </row>
    <row r="354" spans="5:44" s="195" customFormat="1" ht="15" customHeight="1">
      <c r="J354" s="157"/>
      <c r="K354" s="157"/>
      <c r="L354" s="157"/>
      <c r="M354" s="157"/>
      <c r="N354" s="157"/>
      <c r="O354" s="157"/>
      <c r="P354" s="157"/>
      <c r="Q354" s="157"/>
      <c r="R354" s="157"/>
      <c r="S354" s="157"/>
      <c r="T354" s="157"/>
      <c r="U354" s="157"/>
      <c r="V354" s="157"/>
      <c r="W354" s="157"/>
      <c r="X354" s="157"/>
      <c r="Y354" s="157"/>
      <c r="Z354" s="157"/>
      <c r="AA354" s="157"/>
      <c r="AB354" s="157"/>
      <c r="AC354" s="157"/>
      <c r="AD354" s="157"/>
      <c r="AE354" s="157"/>
      <c r="AF354" s="157"/>
      <c r="AH354" s="157"/>
      <c r="AI354" s="157"/>
      <c r="AJ354" s="149"/>
      <c r="AK354" s="157"/>
      <c r="AL354" s="157"/>
      <c r="AM354" s="157"/>
      <c r="AN354" s="157"/>
      <c r="AO354" s="157"/>
      <c r="AP354" s="157"/>
      <c r="AQ354" s="157"/>
      <c r="AR354" s="157"/>
    </row>
    <row r="355" spans="5:44" s="195" customFormat="1" ht="15" customHeight="1">
      <c r="E355" s="195" t="s">
        <v>482</v>
      </c>
      <c r="G355" s="195" t="s">
        <v>27</v>
      </c>
      <c r="J355" s="157"/>
      <c r="K355" s="157"/>
      <c r="L355" s="157"/>
      <c r="M355" s="157"/>
      <c r="N355" s="157"/>
      <c r="O355" s="157"/>
      <c r="P355" s="157"/>
      <c r="Q355" s="157"/>
      <c r="R355" s="157"/>
      <c r="S355" s="157"/>
      <c r="T355" s="157"/>
      <c r="U355" s="157"/>
      <c r="V355" s="157"/>
      <c r="W355" s="157"/>
      <c r="X355" s="157"/>
      <c r="Y355" s="157"/>
      <c r="Z355" s="157"/>
      <c r="AA355" s="157"/>
      <c r="AB355" s="157"/>
      <c r="AC355" s="157"/>
      <c r="AD355" s="157"/>
      <c r="AE355" s="157"/>
      <c r="AF355" s="157"/>
      <c r="AH355" s="227"/>
      <c r="AI355" s="157"/>
      <c r="AJ355" s="149"/>
      <c r="AK355" s="157"/>
      <c r="AL355" s="157"/>
      <c r="AM355" s="157"/>
      <c r="AN355" s="157"/>
      <c r="AO355" s="157"/>
      <c r="AP355" s="157"/>
      <c r="AQ355" s="157"/>
      <c r="AR355" s="157"/>
    </row>
    <row r="356" spans="5:44" s="195" customFormat="1" ht="15" customHeight="1">
      <c r="E356" s="195" t="s">
        <v>712</v>
      </c>
      <c r="G356" s="195" t="s">
        <v>27</v>
      </c>
      <c r="J356" s="157"/>
      <c r="K356" s="157"/>
      <c r="L356" s="157"/>
      <c r="M356" s="157"/>
      <c r="N356" s="157"/>
      <c r="O356" s="157"/>
      <c r="P356" s="157"/>
      <c r="Q356" s="157"/>
      <c r="R356" s="157"/>
      <c r="S356" s="157"/>
      <c r="T356" s="157"/>
      <c r="U356" s="157"/>
      <c r="V356" s="157"/>
      <c r="W356" s="157"/>
      <c r="X356" s="157"/>
      <c r="Y356" s="157"/>
      <c r="Z356" s="157"/>
      <c r="AA356" s="157"/>
      <c r="AB356" s="157"/>
      <c r="AC356" s="157"/>
      <c r="AD356" s="157"/>
      <c r="AE356" s="157"/>
      <c r="AF356" s="157"/>
      <c r="AH356" s="227"/>
      <c r="AI356" s="227"/>
      <c r="AJ356" s="149"/>
      <c r="AK356" s="157"/>
      <c r="AL356" s="157"/>
      <c r="AM356" s="157"/>
      <c r="AN356" s="157"/>
      <c r="AO356" s="157"/>
      <c r="AP356" s="157"/>
      <c r="AQ356" s="157"/>
      <c r="AR356" s="157"/>
    </row>
    <row r="357" spans="5:44" s="195" customFormat="1" ht="15" customHeight="1">
      <c r="E357" s="195" t="s">
        <v>713</v>
      </c>
      <c r="G357" s="195" t="s">
        <v>27</v>
      </c>
      <c r="J357" s="157"/>
      <c r="K357" s="157"/>
      <c r="L357" s="157"/>
      <c r="M357" s="157"/>
      <c r="N357" s="157"/>
      <c r="O357" s="157"/>
      <c r="P357" s="157"/>
      <c r="Q357" s="157"/>
      <c r="R357" s="157"/>
      <c r="S357" s="157"/>
      <c r="T357" s="157"/>
      <c r="U357" s="157"/>
      <c r="V357" s="157"/>
      <c r="W357" s="157"/>
      <c r="X357" s="157"/>
      <c r="Y357" s="157"/>
      <c r="Z357" s="157"/>
      <c r="AA357" s="157"/>
      <c r="AB357" s="157"/>
      <c r="AC357" s="157"/>
      <c r="AD357" s="157"/>
      <c r="AE357" s="157"/>
      <c r="AF357" s="157"/>
      <c r="AH357" s="221"/>
      <c r="AI357" s="221"/>
      <c r="AJ357" s="149"/>
      <c r="AK357" s="157"/>
      <c r="AL357" s="157"/>
      <c r="AM357" s="157"/>
      <c r="AN357" s="157"/>
      <c r="AO357" s="157"/>
      <c r="AP357" s="157"/>
      <c r="AQ357" s="157"/>
      <c r="AR357" s="157"/>
    </row>
    <row r="358" spans="5:44" s="157" customFormat="1" ht="15" customHeight="1">
      <c r="E358" s="195"/>
      <c r="F358" s="195"/>
      <c r="G358" s="195"/>
      <c r="J358" s="33"/>
      <c r="K358" s="33"/>
      <c r="L358" s="33"/>
      <c r="M358" s="33"/>
      <c r="N358" s="33"/>
      <c r="O358" s="33"/>
      <c r="P358" s="33"/>
      <c r="Q358" s="33"/>
      <c r="R358" s="33"/>
      <c r="S358" s="33"/>
      <c r="T358" s="33"/>
      <c r="U358" s="33"/>
      <c r="V358" s="33"/>
      <c r="W358" s="33"/>
      <c r="X358" s="33"/>
      <c r="Y358" s="33"/>
      <c r="Z358" s="33"/>
      <c r="AJ358" s="149"/>
    </row>
    <row r="359" spans="5:44" s="195" customFormat="1" ht="15" customHeight="1">
      <c r="E359" s="195" t="s">
        <v>136</v>
      </c>
      <c r="G359" s="195" t="s">
        <v>27</v>
      </c>
      <c r="J359" s="157"/>
      <c r="K359" s="157"/>
      <c r="L359" s="157"/>
      <c r="M359" s="157"/>
      <c r="N359" s="157"/>
      <c r="O359" s="157"/>
      <c r="P359" s="157"/>
      <c r="Q359" s="157"/>
      <c r="R359" s="157"/>
      <c r="S359" s="157"/>
      <c r="T359" s="157"/>
      <c r="U359" s="157"/>
      <c r="V359" s="157"/>
      <c r="W359" s="157"/>
      <c r="X359" s="157"/>
      <c r="Y359" s="157"/>
      <c r="Z359" s="157"/>
      <c r="AA359" s="157"/>
      <c r="AB359" s="157"/>
      <c r="AC359" s="157"/>
      <c r="AD359" s="157"/>
      <c r="AE359" s="157"/>
      <c r="AF359" s="157"/>
      <c r="AH359" s="227"/>
      <c r="AI359" s="157"/>
      <c r="AJ359" s="149"/>
      <c r="AK359" s="157"/>
      <c r="AL359" s="157"/>
      <c r="AM359" s="157"/>
      <c r="AN359" s="157"/>
      <c r="AO359" s="157"/>
      <c r="AP359" s="157"/>
      <c r="AQ359" s="157"/>
      <c r="AR359" s="157"/>
    </row>
    <row r="360" spans="5:44" s="195" customFormat="1" ht="15" customHeight="1">
      <c r="E360" s="195" t="s">
        <v>714</v>
      </c>
      <c r="G360" s="195" t="s">
        <v>27</v>
      </c>
      <c r="J360" s="157"/>
      <c r="K360" s="157"/>
      <c r="L360" s="157"/>
      <c r="M360" s="157"/>
      <c r="N360" s="157"/>
      <c r="O360" s="157"/>
      <c r="P360" s="157"/>
      <c r="Q360" s="157"/>
      <c r="R360" s="157"/>
      <c r="S360" s="157"/>
      <c r="T360" s="157"/>
      <c r="U360" s="157"/>
      <c r="V360" s="157"/>
      <c r="W360" s="157"/>
      <c r="X360" s="157"/>
      <c r="Y360" s="157"/>
      <c r="Z360" s="157"/>
      <c r="AA360" s="157"/>
      <c r="AB360" s="157"/>
      <c r="AC360" s="157"/>
      <c r="AD360" s="157"/>
      <c r="AE360" s="157"/>
      <c r="AF360" s="157"/>
      <c r="AH360" s="227"/>
      <c r="AI360" s="227"/>
      <c r="AJ360" s="149"/>
      <c r="AK360" s="157"/>
      <c r="AL360" s="157"/>
      <c r="AM360" s="157"/>
      <c r="AN360" s="157"/>
      <c r="AO360" s="157"/>
      <c r="AP360" s="157"/>
      <c r="AQ360" s="157"/>
      <c r="AR360" s="157"/>
    </row>
    <row r="361" spans="5:44" s="195" customFormat="1" ht="15" customHeight="1">
      <c r="E361" s="195" t="s">
        <v>715</v>
      </c>
      <c r="G361" s="195" t="s">
        <v>27</v>
      </c>
      <c r="J361" s="157"/>
      <c r="K361" s="157"/>
      <c r="L361" s="157"/>
      <c r="M361" s="157"/>
      <c r="N361" s="157"/>
      <c r="O361" s="157"/>
      <c r="P361" s="157"/>
      <c r="Q361" s="157"/>
      <c r="R361" s="157"/>
      <c r="S361" s="157"/>
      <c r="T361" s="157"/>
      <c r="U361" s="157"/>
      <c r="V361" s="157"/>
      <c r="W361" s="157"/>
      <c r="X361" s="157"/>
      <c r="Y361" s="157"/>
      <c r="Z361" s="157"/>
      <c r="AA361" s="157"/>
      <c r="AB361" s="157"/>
      <c r="AC361" s="157"/>
      <c r="AD361" s="157"/>
      <c r="AE361" s="157"/>
      <c r="AF361" s="157"/>
      <c r="AH361" s="221"/>
      <c r="AI361" s="221"/>
      <c r="AJ361" s="149"/>
      <c r="AK361" s="157"/>
      <c r="AL361" s="157"/>
      <c r="AM361" s="157"/>
      <c r="AN361" s="157"/>
      <c r="AO361" s="157"/>
      <c r="AP361" s="157"/>
      <c r="AQ361" s="157"/>
      <c r="AR361" s="157"/>
    </row>
    <row r="362" spans="5:44" s="195" customFormat="1" ht="15" customHeight="1">
      <c r="J362" s="157"/>
      <c r="K362" s="157"/>
      <c r="L362" s="157"/>
      <c r="M362" s="157"/>
      <c r="N362" s="157"/>
      <c r="O362" s="157"/>
      <c r="P362" s="157"/>
      <c r="Q362" s="157"/>
      <c r="R362" s="157"/>
      <c r="S362" s="157"/>
      <c r="T362" s="157"/>
      <c r="U362" s="157"/>
      <c r="V362" s="157"/>
      <c r="W362" s="157"/>
      <c r="X362" s="157"/>
      <c r="Y362" s="157"/>
      <c r="Z362" s="157"/>
      <c r="AA362" s="157"/>
      <c r="AB362" s="157"/>
      <c r="AC362" s="157"/>
      <c r="AD362" s="157"/>
      <c r="AE362" s="157"/>
      <c r="AF362" s="157"/>
      <c r="AH362" s="157"/>
      <c r="AI362" s="157"/>
      <c r="AJ362" s="149"/>
      <c r="AK362" s="157"/>
      <c r="AL362" s="157"/>
      <c r="AM362" s="157"/>
      <c r="AN362" s="157"/>
      <c r="AO362" s="157"/>
      <c r="AP362" s="157"/>
      <c r="AQ362" s="157"/>
      <c r="AR362" s="157"/>
    </row>
    <row r="363" spans="5:44" s="195" customFormat="1" ht="15" customHeight="1">
      <c r="E363" s="195" t="s">
        <v>838</v>
      </c>
      <c r="G363" s="195" t="s">
        <v>27</v>
      </c>
      <c r="J363" s="157"/>
      <c r="K363" s="157"/>
      <c r="L363" s="157"/>
      <c r="M363" s="157"/>
      <c r="N363" s="157"/>
      <c r="O363" s="157"/>
      <c r="P363" s="157"/>
      <c r="Q363" s="157"/>
      <c r="R363" s="157"/>
      <c r="S363" s="157"/>
      <c r="T363" s="157"/>
      <c r="U363" s="157"/>
      <c r="V363" s="157"/>
      <c r="W363" s="157"/>
      <c r="X363" s="157"/>
      <c r="Y363" s="157"/>
      <c r="Z363" s="157"/>
      <c r="AA363" s="157"/>
      <c r="AB363" s="157"/>
      <c r="AC363" s="157"/>
      <c r="AD363" s="157"/>
      <c r="AE363" s="157"/>
      <c r="AF363" s="157"/>
      <c r="AH363" s="227"/>
      <c r="AI363" s="157"/>
      <c r="AJ363" s="149"/>
      <c r="AK363" s="157"/>
      <c r="AL363" s="157"/>
      <c r="AM363" s="157"/>
      <c r="AN363" s="157"/>
      <c r="AO363" s="157"/>
      <c r="AP363" s="157"/>
      <c r="AQ363" s="157"/>
      <c r="AR363" s="157"/>
    </row>
    <row r="364" spans="5:44" s="195" customFormat="1" ht="15" customHeight="1">
      <c r="E364" s="195" t="s">
        <v>839</v>
      </c>
      <c r="G364" s="195" t="s">
        <v>27</v>
      </c>
      <c r="J364" s="157"/>
      <c r="K364" s="157"/>
      <c r="L364" s="157"/>
      <c r="M364" s="157"/>
      <c r="N364" s="157"/>
      <c r="O364" s="157"/>
      <c r="P364" s="157"/>
      <c r="Q364" s="157"/>
      <c r="R364" s="157"/>
      <c r="S364" s="157"/>
      <c r="T364" s="157"/>
      <c r="U364" s="157"/>
      <c r="V364" s="157"/>
      <c r="W364" s="157"/>
      <c r="X364" s="157"/>
      <c r="Y364" s="157"/>
      <c r="Z364" s="157"/>
      <c r="AA364" s="157"/>
      <c r="AB364" s="157"/>
      <c r="AC364" s="157"/>
      <c r="AD364" s="157"/>
      <c r="AE364" s="157"/>
      <c r="AF364" s="157"/>
      <c r="AH364" s="227"/>
      <c r="AI364" s="227"/>
      <c r="AJ364" s="149"/>
      <c r="AK364" s="157"/>
      <c r="AL364" s="157"/>
      <c r="AM364" s="157"/>
      <c r="AN364" s="157"/>
      <c r="AO364" s="157"/>
      <c r="AP364" s="157"/>
      <c r="AQ364" s="157"/>
      <c r="AR364" s="157"/>
    </row>
    <row r="365" spans="5:44" s="195" customFormat="1" ht="15" customHeight="1">
      <c r="E365" s="195" t="s">
        <v>840</v>
      </c>
      <c r="G365" s="195" t="s">
        <v>27</v>
      </c>
      <c r="J365" s="157"/>
      <c r="K365" s="157"/>
      <c r="L365" s="157"/>
      <c r="M365" s="157"/>
      <c r="N365" s="157"/>
      <c r="O365" s="157"/>
      <c r="P365" s="157"/>
      <c r="Q365" s="157"/>
      <c r="R365" s="157"/>
      <c r="S365" s="157"/>
      <c r="T365" s="157"/>
      <c r="U365" s="157"/>
      <c r="V365" s="157"/>
      <c r="W365" s="157"/>
      <c r="X365" s="157"/>
      <c r="Y365" s="157"/>
      <c r="Z365" s="157"/>
      <c r="AA365" s="157"/>
      <c r="AB365" s="157"/>
      <c r="AC365" s="157"/>
      <c r="AD365" s="157"/>
      <c r="AE365" s="157"/>
      <c r="AF365" s="157"/>
      <c r="AH365" s="221"/>
      <c r="AI365" s="221"/>
      <c r="AJ365" s="149"/>
      <c r="AK365" s="157"/>
      <c r="AL365" s="157"/>
      <c r="AM365" s="157"/>
      <c r="AN365" s="157"/>
      <c r="AO365" s="157"/>
      <c r="AP365" s="157"/>
      <c r="AQ365" s="157"/>
      <c r="AR365" s="157"/>
    </row>
    <row r="366" spans="5:44" s="195" customFormat="1" ht="15" customHeight="1">
      <c r="J366" s="157"/>
      <c r="K366" s="157"/>
      <c r="L366" s="157"/>
      <c r="M366" s="157"/>
      <c r="N366" s="157"/>
      <c r="O366" s="157"/>
      <c r="P366" s="157"/>
      <c r="Q366" s="157"/>
      <c r="R366" s="157"/>
      <c r="S366" s="157"/>
      <c r="T366" s="157"/>
      <c r="U366" s="157"/>
      <c r="V366" s="157"/>
      <c r="W366" s="157"/>
      <c r="X366" s="157"/>
      <c r="Y366" s="157"/>
      <c r="Z366" s="157"/>
      <c r="AA366" s="157"/>
      <c r="AB366" s="157"/>
      <c r="AC366" s="157"/>
      <c r="AD366" s="157"/>
      <c r="AE366" s="157"/>
      <c r="AF366" s="157"/>
      <c r="AH366" s="157"/>
      <c r="AI366" s="157"/>
      <c r="AJ366" s="149"/>
      <c r="AK366" s="157"/>
      <c r="AL366" s="157"/>
      <c r="AM366" s="157"/>
      <c r="AN366" s="157"/>
      <c r="AO366" s="157"/>
      <c r="AP366" s="157"/>
      <c r="AQ366" s="157"/>
      <c r="AR366" s="157"/>
    </row>
    <row r="367" spans="5:44" s="195" customFormat="1" ht="15" customHeight="1">
      <c r="E367" s="157" t="s">
        <v>115</v>
      </c>
      <c r="G367" s="195" t="s">
        <v>27</v>
      </c>
      <c r="AH367" s="236"/>
      <c r="AJ367" s="149"/>
    </row>
    <row r="369" spans="3:43" s="157" customFormat="1" ht="15" customHeight="1">
      <c r="C369" s="332" t="s">
        <v>131</v>
      </c>
      <c r="D369" s="332"/>
      <c r="E369" s="332"/>
      <c r="F369" s="332"/>
      <c r="G369" s="332"/>
      <c r="H369" s="332"/>
      <c r="I369" s="332"/>
      <c r="J369" s="332"/>
      <c r="K369" s="332"/>
      <c r="L369" s="332"/>
      <c r="M369" s="332"/>
      <c r="N369" s="332"/>
      <c r="O369" s="332"/>
      <c r="P369" s="332"/>
      <c r="Q369" s="332"/>
      <c r="R369" s="332"/>
      <c r="S369" s="332"/>
      <c r="T369" s="332"/>
      <c r="U369" s="332"/>
      <c r="V369" s="332"/>
      <c r="W369" s="332"/>
      <c r="X369" s="332"/>
      <c r="Y369" s="332"/>
      <c r="Z369" s="332"/>
      <c r="AA369" s="332"/>
      <c r="AB369" s="332"/>
      <c r="AC369" s="332"/>
      <c r="AD369" s="332"/>
      <c r="AE369" s="332"/>
      <c r="AF369" s="332"/>
      <c r="AG369" s="332"/>
      <c r="AH369" s="332"/>
      <c r="AI369" s="332"/>
      <c r="AJ369" s="332"/>
      <c r="AK369" s="332"/>
      <c r="AL369" s="332"/>
      <c r="AM369" s="332"/>
      <c r="AN369" s="332"/>
      <c r="AO369" s="332"/>
      <c r="AP369" s="332"/>
      <c r="AQ369" s="332"/>
    </row>
    <row r="370" spans="3:43" s="157" customFormat="1" ht="15" customHeight="1">
      <c r="J370" s="33"/>
      <c r="K370" s="33"/>
      <c r="L370" s="33"/>
      <c r="M370" s="33"/>
      <c r="N370" s="33"/>
      <c r="O370" s="33"/>
      <c r="P370" s="33"/>
      <c r="Q370" s="33"/>
      <c r="R370" s="33"/>
      <c r="S370" s="33"/>
      <c r="T370" s="33"/>
      <c r="U370" s="33"/>
      <c r="V370" s="33"/>
      <c r="W370" s="33"/>
      <c r="X370" s="33"/>
      <c r="Y370" s="33"/>
      <c r="Z370" s="33"/>
      <c r="AA370" s="41"/>
      <c r="AB370" s="41"/>
      <c r="AC370" s="41"/>
      <c r="AD370" s="41"/>
      <c r="AE370" s="41"/>
      <c r="AF370" s="41"/>
      <c r="AG370" s="41"/>
      <c r="AH370" s="41"/>
      <c r="AI370" s="41"/>
    </row>
    <row r="371" spans="3:43" s="157" customFormat="1" ht="15" customHeight="1">
      <c r="D371" s="458" t="str">
        <f>Input!D371</f>
        <v xml:space="preserve">Tax Pool Allocation </v>
      </c>
      <c r="E371" s="457"/>
      <c r="J371" s="33"/>
      <c r="K371" s="33"/>
      <c r="L371" s="33"/>
      <c r="M371" s="33"/>
      <c r="N371" s="33"/>
      <c r="O371" s="33"/>
      <c r="P371" s="33"/>
      <c r="Q371" s="33"/>
      <c r="R371" s="33"/>
      <c r="S371" s="33"/>
      <c r="T371" s="33"/>
      <c r="U371" s="33"/>
      <c r="V371" s="33"/>
      <c r="W371" s="33"/>
      <c r="X371" s="33"/>
      <c r="Y371" s="33"/>
      <c r="Z371" s="33"/>
      <c r="AA371" s="41"/>
      <c r="AB371" s="41"/>
      <c r="AC371" s="41"/>
      <c r="AD371" s="41"/>
      <c r="AE371" s="41"/>
      <c r="AF371" s="41"/>
      <c r="AG371" s="41"/>
      <c r="AH371" s="41"/>
      <c r="AI371" s="41"/>
    </row>
    <row r="372" spans="3:43" s="157" customFormat="1" ht="15" customHeight="1">
      <c r="J372" s="33"/>
      <c r="K372" s="33"/>
      <c r="L372" s="33"/>
      <c r="M372" s="33"/>
      <c r="N372" s="33"/>
      <c r="O372" s="33"/>
      <c r="P372" s="33"/>
      <c r="Q372" s="33"/>
      <c r="R372" s="33"/>
      <c r="S372" s="33"/>
      <c r="T372" s="33"/>
      <c r="U372" s="33"/>
      <c r="V372" s="33"/>
      <c r="W372" s="33"/>
      <c r="X372" s="33"/>
      <c r="Y372" s="33"/>
      <c r="Z372" s="33"/>
      <c r="AA372" s="41"/>
      <c r="AB372" s="41"/>
      <c r="AC372" s="41"/>
      <c r="AD372" s="41"/>
      <c r="AE372" s="41"/>
      <c r="AF372" s="41"/>
      <c r="AG372" s="41"/>
      <c r="AH372" s="41"/>
      <c r="AI372" s="41"/>
    </row>
    <row r="373" spans="3:43" s="157" customFormat="1" ht="12.75">
      <c r="D373" s="201" t="s">
        <v>485</v>
      </c>
      <c r="E373" s="201"/>
      <c r="F373" s="201"/>
      <c r="G373" s="201"/>
      <c r="H373" s="201"/>
      <c r="I373" s="201"/>
      <c r="J373" s="201"/>
      <c r="K373" s="201"/>
      <c r="L373" s="201"/>
      <c r="M373" s="201"/>
      <c r="N373" s="201"/>
      <c r="O373" s="201"/>
      <c r="P373" s="201"/>
      <c r="Q373" s="201"/>
      <c r="R373" s="201"/>
      <c r="S373" s="201"/>
      <c r="T373" s="201"/>
      <c r="U373" s="201"/>
      <c r="V373" s="201"/>
      <c r="W373" s="201"/>
      <c r="X373" s="201"/>
      <c r="Y373" s="201"/>
      <c r="Z373" s="201"/>
      <c r="AA373" s="201"/>
      <c r="AB373" s="201"/>
      <c r="AC373" s="201"/>
      <c r="AD373" s="201"/>
      <c r="AE373" s="201"/>
      <c r="AF373" s="201"/>
      <c r="AG373" s="201"/>
      <c r="AH373" s="201"/>
      <c r="AI373" s="201"/>
      <c r="AJ373" s="201"/>
      <c r="AK373" s="201"/>
      <c r="AL373" s="201"/>
      <c r="AM373" s="201"/>
      <c r="AN373" s="201"/>
      <c r="AO373" s="201"/>
      <c r="AP373" s="201"/>
      <c r="AQ373" s="201"/>
    </row>
    <row r="374" spans="3:43" s="157" customFormat="1" ht="12.75">
      <c r="AJ374" s="2"/>
    </row>
    <row r="375" spans="3:43" s="157" customFormat="1" ht="12.75">
      <c r="E375" s="93" t="str">
        <f>Input!E375</f>
        <v>Load Related</v>
      </c>
      <c r="G375" s="157" t="s">
        <v>49</v>
      </c>
      <c r="AJ375" s="329"/>
      <c r="AK375" s="329"/>
      <c r="AL375" s="329"/>
      <c r="AM375" s="329"/>
      <c r="AN375" s="329"/>
      <c r="AO375" s="329"/>
      <c r="AP375" s="329"/>
      <c r="AQ375" s="329"/>
    </row>
    <row r="376" spans="3:43" s="157" customFormat="1" ht="12.75">
      <c r="E376" s="93" t="str">
        <f>Input!E376</f>
        <v>Non-load related capex - asset replacement</v>
      </c>
      <c r="G376" s="157" t="s">
        <v>49</v>
      </c>
      <c r="AJ376" s="329"/>
      <c r="AK376" s="329"/>
      <c r="AL376" s="329"/>
      <c r="AM376" s="329"/>
      <c r="AN376" s="329"/>
      <c r="AO376" s="329"/>
      <c r="AP376" s="329"/>
      <c r="AQ376" s="329"/>
    </row>
    <row r="377" spans="3:43" s="157" customFormat="1" ht="12.75">
      <c r="E377" s="157" t="str">
        <f>Input!E377</f>
        <v>Non-Load Related - other</v>
      </c>
      <c r="G377" s="157" t="s">
        <v>49</v>
      </c>
      <c r="AJ377" s="329"/>
      <c r="AK377" s="329"/>
      <c r="AL377" s="329"/>
      <c r="AM377" s="329"/>
      <c r="AN377" s="329"/>
      <c r="AO377" s="329"/>
      <c r="AP377" s="329"/>
      <c r="AQ377" s="329"/>
    </row>
    <row r="378" spans="3:43" s="157" customFormat="1" ht="12.75">
      <c r="E378" s="157" t="str">
        <f>Input!E378</f>
        <v>Faults</v>
      </c>
      <c r="G378" s="157" t="s">
        <v>49</v>
      </c>
      <c r="AJ378" s="329"/>
      <c r="AK378" s="329"/>
      <c r="AL378" s="329"/>
      <c r="AM378" s="329"/>
      <c r="AN378" s="329"/>
      <c r="AO378" s="329"/>
      <c r="AP378" s="329"/>
      <c r="AQ378" s="329"/>
    </row>
    <row r="379" spans="3:43" s="157" customFormat="1" ht="12.75">
      <c r="E379" s="221" t="s">
        <v>992</v>
      </c>
      <c r="G379" s="157" t="s">
        <v>49</v>
      </c>
      <c r="AJ379" s="329"/>
      <c r="AK379" s="329"/>
      <c r="AL379" s="329"/>
      <c r="AM379" s="329"/>
      <c r="AN379" s="329"/>
      <c r="AO379" s="329"/>
      <c r="AP379" s="329"/>
      <c r="AQ379" s="329"/>
    </row>
    <row r="380" spans="3:43" s="157" customFormat="1" ht="12.75">
      <c r="E380" s="157" t="str">
        <f>Input!E380</f>
        <v>100% ‘revenue pool’ expenditure</v>
      </c>
      <c r="G380" s="157" t="s">
        <v>49</v>
      </c>
      <c r="AJ380" s="329"/>
      <c r="AK380" s="329"/>
      <c r="AL380" s="329"/>
      <c r="AM380" s="329"/>
      <c r="AN380" s="329"/>
      <c r="AO380" s="329"/>
      <c r="AP380" s="329"/>
      <c r="AQ380" s="329"/>
    </row>
    <row r="381" spans="3:43" s="157" customFormat="1" ht="12.75">
      <c r="E381" s="157" t="str">
        <f>Input!E381</f>
        <v>Controllable Opex</v>
      </c>
      <c r="G381" s="157" t="s">
        <v>49</v>
      </c>
      <c r="AJ381" s="329"/>
      <c r="AK381" s="329"/>
      <c r="AL381" s="329"/>
      <c r="AM381" s="329"/>
      <c r="AN381" s="329"/>
      <c r="AO381" s="329"/>
      <c r="AP381" s="329"/>
      <c r="AQ381" s="329"/>
    </row>
    <row r="382" spans="3:43" s="157" customFormat="1" ht="12.75">
      <c r="AJ382" s="239"/>
      <c r="AK382" s="239"/>
      <c r="AL382" s="239"/>
      <c r="AM382" s="239"/>
      <c r="AN382" s="239"/>
      <c r="AO382" s="239"/>
      <c r="AP382" s="239"/>
      <c r="AQ382" s="239"/>
    </row>
    <row r="383" spans="3:43" s="157" customFormat="1" ht="12.75">
      <c r="D383" s="201" t="s">
        <v>478</v>
      </c>
      <c r="E383" s="201"/>
      <c r="F383" s="201"/>
      <c r="G383" s="201"/>
      <c r="H383" s="201"/>
      <c r="I383" s="201"/>
      <c r="J383" s="201"/>
      <c r="K383" s="201"/>
      <c r="L383" s="201"/>
      <c r="M383" s="201"/>
      <c r="N383" s="201"/>
      <c r="O383" s="201"/>
      <c r="P383" s="201"/>
      <c r="Q383" s="201"/>
      <c r="R383" s="201"/>
      <c r="S383" s="201"/>
      <c r="T383" s="201"/>
      <c r="U383" s="201"/>
      <c r="V383" s="201"/>
      <c r="W383" s="201"/>
      <c r="X383" s="201"/>
      <c r="Y383" s="201"/>
      <c r="Z383" s="201"/>
      <c r="AA383" s="201"/>
      <c r="AB383" s="201"/>
      <c r="AC383" s="201"/>
      <c r="AD383" s="201"/>
      <c r="AE383" s="201"/>
      <c r="AF383" s="201"/>
      <c r="AG383" s="201"/>
      <c r="AH383" s="201"/>
      <c r="AI383" s="201"/>
      <c r="AJ383" s="333"/>
      <c r="AK383" s="333"/>
      <c r="AL383" s="333"/>
      <c r="AM383" s="333"/>
      <c r="AN383" s="333"/>
      <c r="AO383" s="333"/>
      <c r="AP383" s="333"/>
      <c r="AQ383" s="333"/>
    </row>
    <row r="384" spans="3:43" s="157" customFormat="1" ht="12.75">
      <c r="AJ384" s="241"/>
      <c r="AK384" s="241"/>
      <c r="AL384" s="241"/>
      <c r="AM384" s="241"/>
      <c r="AN384" s="241"/>
      <c r="AO384" s="241"/>
      <c r="AP384" s="241"/>
      <c r="AQ384" s="241"/>
    </row>
    <row r="385" spans="4:43" s="157" customFormat="1" ht="12.75">
      <c r="E385" s="93" t="str">
        <f>Input!E385</f>
        <v>Load Related</v>
      </c>
      <c r="G385" s="157" t="s">
        <v>49</v>
      </c>
      <c r="AJ385" s="329"/>
      <c r="AK385" s="329"/>
      <c r="AL385" s="329"/>
      <c r="AM385" s="329"/>
      <c r="AN385" s="329"/>
      <c r="AO385" s="329"/>
      <c r="AP385" s="329"/>
      <c r="AQ385" s="329"/>
    </row>
    <row r="386" spans="4:43" s="157" customFormat="1" ht="12.75">
      <c r="E386" s="93" t="str">
        <f>Input!E386</f>
        <v>Non-load related capex - asset replacement</v>
      </c>
      <c r="G386" s="157" t="s">
        <v>49</v>
      </c>
      <c r="AJ386" s="329"/>
      <c r="AK386" s="329"/>
      <c r="AL386" s="329"/>
      <c r="AM386" s="329"/>
      <c r="AN386" s="329"/>
      <c r="AO386" s="329"/>
      <c r="AP386" s="329"/>
      <c r="AQ386" s="329"/>
    </row>
    <row r="387" spans="4:43" s="157" customFormat="1" ht="12.75">
      <c r="E387" s="157" t="str">
        <f>Input!E387</f>
        <v>Non-Load Related - other</v>
      </c>
      <c r="G387" s="157" t="s">
        <v>49</v>
      </c>
      <c r="AJ387" s="329"/>
      <c r="AK387" s="329"/>
      <c r="AL387" s="329"/>
      <c r="AM387" s="329"/>
      <c r="AN387" s="329"/>
      <c r="AO387" s="329"/>
      <c r="AP387" s="329"/>
      <c r="AQ387" s="329"/>
    </row>
    <row r="388" spans="4:43" s="157" customFormat="1" ht="12.75">
      <c r="E388" s="157" t="str">
        <f>Input!E388</f>
        <v>Faults</v>
      </c>
      <c r="G388" s="157" t="s">
        <v>49</v>
      </c>
      <c r="AJ388" s="329"/>
      <c r="AK388" s="329"/>
      <c r="AL388" s="329"/>
      <c r="AM388" s="329"/>
      <c r="AN388" s="329"/>
      <c r="AO388" s="329"/>
      <c r="AP388" s="329"/>
      <c r="AQ388" s="329"/>
    </row>
    <row r="389" spans="4:43" s="157" customFormat="1" ht="12.75">
      <c r="E389" s="221" t="s">
        <v>992</v>
      </c>
      <c r="G389" s="157" t="s">
        <v>49</v>
      </c>
      <c r="AJ389" s="329"/>
      <c r="AK389" s="329"/>
      <c r="AL389" s="329"/>
      <c r="AM389" s="329"/>
      <c r="AN389" s="329"/>
      <c r="AO389" s="329"/>
      <c r="AP389" s="329"/>
      <c r="AQ389" s="329"/>
    </row>
    <row r="390" spans="4:43" s="157" customFormat="1" ht="12.75">
      <c r="E390" s="157" t="str">
        <f>Input!E390</f>
        <v>100% ‘revenue pool’ expenditure</v>
      </c>
      <c r="G390" s="157" t="s">
        <v>49</v>
      </c>
      <c r="AJ390" s="329"/>
      <c r="AK390" s="329"/>
      <c r="AL390" s="329"/>
      <c r="AM390" s="329"/>
      <c r="AN390" s="329"/>
      <c r="AO390" s="329"/>
      <c r="AP390" s="329"/>
      <c r="AQ390" s="329"/>
    </row>
    <row r="391" spans="4:43" s="157" customFormat="1" ht="12.75">
      <c r="E391" s="157" t="str">
        <f>Input!E391</f>
        <v>Controllable Opex</v>
      </c>
      <c r="G391" s="157" t="s">
        <v>49</v>
      </c>
      <c r="AJ391" s="329"/>
      <c r="AK391" s="329"/>
      <c r="AL391" s="329"/>
      <c r="AM391" s="329"/>
      <c r="AN391" s="329"/>
      <c r="AO391" s="329"/>
      <c r="AP391" s="329"/>
      <c r="AQ391" s="329"/>
    </row>
    <row r="392" spans="4:43" s="157" customFormat="1" ht="12.75">
      <c r="AJ392" s="239"/>
      <c r="AK392" s="239"/>
      <c r="AL392" s="239"/>
      <c r="AM392" s="239"/>
      <c r="AN392" s="239"/>
      <c r="AO392" s="239"/>
      <c r="AP392" s="239"/>
      <c r="AQ392" s="239"/>
    </row>
    <row r="393" spans="4:43" s="157" customFormat="1" ht="12.75">
      <c r="D393" s="201" t="s">
        <v>332</v>
      </c>
      <c r="E393" s="201"/>
      <c r="F393" s="201"/>
      <c r="G393" s="201"/>
      <c r="H393" s="201"/>
      <c r="I393" s="201"/>
      <c r="J393" s="201"/>
      <c r="K393" s="201"/>
      <c r="L393" s="201"/>
      <c r="M393" s="201"/>
      <c r="N393" s="201"/>
      <c r="O393" s="201"/>
      <c r="P393" s="201"/>
      <c r="Q393" s="201"/>
      <c r="R393" s="201"/>
      <c r="S393" s="201"/>
      <c r="T393" s="201"/>
      <c r="U393" s="201"/>
      <c r="V393" s="201"/>
      <c r="W393" s="201"/>
      <c r="X393" s="201"/>
      <c r="Y393" s="201"/>
      <c r="Z393" s="201"/>
      <c r="AA393" s="201"/>
      <c r="AB393" s="201"/>
      <c r="AC393" s="201"/>
      <c r="AD393" s="201"/>
      <c r="AE393" s="201"/>
      <c r="AF393" s="201"/>
      <c r="AG393" s="201"/>
      <c r="AH393" s="201"/>
      <c r="AI393" s="201"/>
      <c r="AJ393" s="333"/>
      <c r="AK393" s="333"/>
      <c r="AL393" s="333"/>
      <c r="AM393" s="333"/>
      <c r="AN393" s="333"/>
      <c r="AO393" s="333"/>
      <c r="AP393" s="333"/>
      <c r="AQ393" s="333"/>
    </row>
    <row r="394" spans="4:43" s="157" customFormat="1" ht="12.75">
      <c r="AJ394" s="241"/>
      <c r="AK394" s="241"/>
      <c r="AL394" s="241"/>
      <c r="AM394" s="241"/>
      <c r="AN394" s="241"/>
      <c r="AO394" s="241"/>
      <c r="AP394" s="241"/>
      <c r="AQ394" s="241"/>
    </row>
    <row r="395" spans="4:43" s="157" customFormat="1" ht="12.75">
      <c r="E395" s="93" t="str">
        <f>Input!E395</f>
        <v>Load Related</v>
      </c>
      <c r="G395" s="157" t="s">
        <v>49</v>
      </c>
      <c r="AJ395" s="329"/>
      <c r="AK395" s="329"/>
      <c r="AL395" s="329"/>
      <c r="AM395" s="329"/>
      <c r="AN395" s="329"/>
      <c r="AO395" s="329"/>
      <c r="AP395" s="329"/>
      <c r="AQ395" s="329"/>
    </row>
    <row r="396" spans="4:43" s="157" customFormat="1" ht="12.75">
      <c r="E396" s="93" t="str">
        <f>Input!E396</f>
        <v>Non-load related capex - asset replacement</v>
      </c>
      <c r="G396" s="157" t="s">
        <v>49</v>
      </c>
      <c r="AJ396" s="329"/>
      <c r="AK396" s="329"/>
      <c r="AL396" s="329"/>
      <c r="AM396" s="329"/>
      <c r="AN396" s="329"/>
      <c r="AO396" s="329"/>
      <c r="AP396" s="329"/>
      <c r="AQ396" s="329"/>
    </row>
    <row r="397" spans="4:43" s="157" customFormat="1" ht="12.75">
      <c r="E397" s="157" t="str">
        <f>Input!E397</f>
        <v>Non-Load Related - other</v>
      </c>
      <c r="G397" s="157" t="s">
        <v>49</v>
      </c>
      <c r="AJ397" s="329"/>
      <c r="AK397" s="329"/>
      <c r="AL397" s="329"/>
      <c r="AM397" s="329"/>
      <c r="AN397" s="329"/>
      <c r="AO397" s="329"/>
      <c r="AP397" s="329"/>
      <c r="AQ397" s="329"/>
    </row>
    <row r="398" spans="4:43" s="157" customFormat="1" ht="12.75">
      <c r="E398" s="157" t="str">
        <f>Input!E398</f>
        <v>Faults</v>
      </c>
      <c r="G398" s="157" t="s">
        <v>49</v>
      </c>
      <c r="AJ398" s="329"/>
      <c r="AK398" s="329"/>
      <c r="AL398" s="329"/>
      <c r="AM398" s="329"/>
      <c r="AN398" s="329"/>
      <c r="AO398" s="329"/>
      <c r="AP398" s="329"/>
      <c r="AQ398" s="329"/>
    </row>
    <row r="399" spans="4:43" s="157" customFormat="1" ht="12.75">
      <c r="E399" s="221" t="s">
        <v>992</v>
      </c>
      <c r="G399" s="157" t="s">
        <v>49</v>
      </c>
      <c r="AJ399" s="329"/>
      <c r="AK399" s="329"/>
      <c r="AL399" s="329"/>
      <c r="AM399" s="329"/>
      <c r="AN399" s="329"/>
      <c r="AO399" s="329"/>
      <c r="AP399" s="329"/>
      <c r="AQ399" s="329"/>
    </row>
    <row r="400" spans="4:43" s="157" customFormat="1" ht="12.75">
      <c r="E400" s="157" t="str">
        <f>Input!E400</f>
        <v>100% ‘revenue pool’ expenditure</v>
      </c>
      <c r="G400" s="157" t="s">
        <v>49</v>
      </c>
      <c r="AJ400" s="329"/>
      <c r="AK400" s="329"/>
      <c r="AL400" s="329"/>
      <c r="AM400" s="329"/>
      <c r="AN400" s="329"/>
      <c r="AO400" s="329"/>
      <c r="AP400" s="329"/>
      <c r="AQ400" s="329"/>
    </row>
    <row r="401" spans="4:43" s="157" customFormat="1" ht="12.75">
      <c r="E401" s="157" t="str">
        <f>Input!E401</f>
        <v>Controllable Opex</v>
      </c>
      <c r="G401" s="157" t="s">
        <v>49</v>
      </c>
      <c r="AJ401" s="329"/>
      <c r="AK401" s="329"/>
      <c r="AL401" s="329"/>
      <c r="AM401" s="329"/>
      <c r="AN401" s="329"/>
      <c r="AO401" s="329"/>
      <c r="AP401" s="329"/>
      <c r="AQ401" s="329"/>
    </row>
    <row r="402" spans="4:43" s="157" customFormat="1" ht="12.75">
      <c r="AJ402" s="239"/>
      <c r="AK402" s="239"/>
      <c r="AL402" s="239"/>
      <c r="AM402" s="239"/>
      <c r="AN402" s="239"/>
      <c r="AO402" s="239"/>
      <c r="AP402" s="239"/>
      <c r="AQ402" s="239"/>
    </row>
    <row r="403" spans="4:43" s="157" customFormat="1" ht="12.75">
      <c r="D403" s="201" t="s">
        <v>331</v>
      </c>
      <c r="E403" s="201"/>
      <c r="F403" s="201"/>
      <c r="G403" s="201"/>
      <c r="H403" s="201"/>
      <c r="I403" s="201"/>
      <c r="J403" s="201"/>
      <c r="K403" s="201"/>
      <c r="L403" s="201"/>
      <c r="M403" s="201"/>
      <c r="N403" s="201"/>
      <c r="O403" s="201"/>
      <c r="P403" s="201"/>
      <c r="Q403" s="201"/>
      <c r="R403" s="201"/>
      <c r="S403" s="201"/>
      <c r="T403" s="201"/>
      <c r="U403" s="201"/>
      <c r="V403" s="201"/>
      <c r="W403" s="201"/>
      <c r="X403" s="201"/>
      <c r="Y403" s="201"/>
      <c r="Z403" s="201"/>
      <c r="AA403" s="201"/>
      <c r="AB403" s="201"/>
      <c r="AC403" s="201"/>
      <c r="AD403" s="201"/>
      <c r="AE403" s="201"/>
      <c r="AF403" s="201"/>
      <c r="AG403" s="201"/>
      <c r="AH403" s="201"/>
      <c r="AI403" s="201"/>
      <c r="AJ403" s="333"/>
      <c r="AK403" s="333"/>
      <c r="AL403" s="333"/>
      <c r="AM403" s="333"/>
      <c r="AN403" s="333"/>
      <c r="AO403" s="333"/>
      <c r="AP403" s="333"/>
      <c r="AQ403" s="333"/>
    </row>
    <row r="404" spans="4:43" s="157" customFormat="1" ht="12.75">
      <c r="AJ404" s="241"/>
      <c r="AK404" s="241"/>
      <c r="AL404" s="241"/>
      <c r="AM404" s="241"/>
      <c r="AN404" s="241"/>
      <c r="AO404" s="241"/>
      <c r="AP404" s="241"/>
      <c r="AQ404" s="241"/>
    </row>
    <row r="405" spans="4:43" s="157" customFormat="1" ht="12.75">
      <c r="E405" s="93" t="str">
        <f>Input!E405</f>
        <v>Load Related</v>
      </c>
      <c r="G405" s="157" t="s">
        <v>49</v>
      </c>
      <c r="AJ405" s="329"/>
      <c r="AK405" s="329"/>
      <c r="AL405" s="329"/>
      <c r="AM405" s="329"/>
      <c r="AN405" s="329"/>
      <c r="AO405" s="329"/>
      <c r="AP405" s="329"/>
      <c r="AQ405" s="329"/>
    </row>
    <row r="406" spans="4:43" s="157" customFormat="1" ht="12.75">
      <c r="E406" s="93" t="str">
        <f>Input!E406</f>
        <v>Non-load related capex - asset replacement</v>
      </c>
      <c r="G406" s="157" t="s">
        <v>49</v>
      </c>
      <c r="AJ406" s="329"/>
      <c r="AK406" s="329"/>
      <c r="AL406" s="329"/>
      <c r="AM406" s="329"/>
      <c r="AN406" s="329"/>
      <c r="AO406" s="329"/>
      <c r="AP406" s="329"/>
      <c r="AQ406" s="329"/>
    </row>
    <row r="407" spans="4:43" s="157" customFormat="1" ht="12.75">
      <c r="E407" s="157" t="str">
        <f>Input!E407</f>
        <v>Non-Load Related - other</v>
      </c>
      <c r="G407" s="157" t="s">
        <v>49</v>
      </c>
      <c r="AJ407" s="329"/>
      <c r="AK407" s="329"/>
      <c r="AL407" s="329"/>
      <c r="AM407" s="329"/>
      <c r="AN407" s="329"/>
      <c r="AO407" s="329"/>
      <c r="AP407" s="329"/>
      <c r="AQ407" s="329"/>
    </row>
    <row r="408" spans="4:43" s="157" customFormat="1" ht="12.75">
      <c r="E408" s="157" t="str">
        <f>Input!E408</f>
        <v>Faults</v>
      </c>
      <c r="G408" s="157" t="s">
        <v>49</v>
      </c>
      <c r="AJ408" s="329"/>
      <c r="AK408" s="329"/>
      <c r="AL408" s="329"/>
      <c r="AM408" s="329"/>
      <c r="AN408" s="329"/>
      <c r="AO408" s="329"/>
      <c r="AP408" s="329"/>
      <c r="AQ408" s="329"/>
    </row>
    <row r="409" spans="4:43" s="157" customFormat="1" ht="12.75">
      <c r="E409" s="221" t="s">
        <v>992</v>
      </c>
      <c r="G409" s="157" t="s">
        <v>49</v>
      </c>
      <c r="AJ409" s="329"/>
      <c r="AK409" s="329"/>
      <c r="AL409" s="329"/>
      <c r="AM409" s="329"/>
      <c r="AN409" s="329"/>
      <c r="AO409" s="329"/>
      <c r="AP409" s="329"/>
      <c r="AQ409" s="329"/>
    </row>
    <row r="410" spans="4:43" s="157" customFormat="1" ht="12.75">
      <c r="E410" s="157" t="str">
        <f>Input!E410</f>
        <v>100% ‘revenue pool’ expenditure</v>
      </c>
      <c r="G410" s="157" t="s">
        <v>49</v>
      </c>
      <c r="AJ410" s="329"/>
      <c r="AK410" s="329"/>
      <c r="AL410" s="329"/>
      <c r="AM410" s="329"/>
      <c r="AN410" s="329"/>
      <c r="AO410" s="329"/>
      <c r="AP410" s="329"/>
      <c r="AQ410" s="329"/>
    </row>
    <row r="411" spans="4:43" s="157" customFormat="1" ht="12.75">
      <c r="E411" s="157" t="str">
        <f>Input!E411</f>
        <v>Controllable Opex</v>
      </c>
      <c r="G411" s="157" t="s">
        <v>49</v>
      </c>
      <c r="AJ411" s="329"/>
      <c r="AK411" s="329"/>
      <c r="AL411" s="329"/>
      <c r="AM411" s="329"/>
      <c r="AN411" s="329"/>
      <c r="AO411" s="329"/>
      <c r="AP411" s="329"/>
      <c r="AQ411" s="329"/>
    </row>
    <row r="412" spans="4:43" s="157" customFormat="1" ht="12.75">
      <c r="AJ412" s="239"/>
      <c r="AK412" s="239"/>
      <c r="AL412" s="239"/>
      <c r="AM412" s="239"/>
      <c r="AN412" s="239"/>
      <c r="AO412" s="239"/>
      <c r="AP412" s="239"/>
      <c r="AQ412" s="239"/>
    </row>
    <row r="413" spans="4:43" s="157" customFormat="1" ht="12.75">
      <c r="D413" s="201" t="s">
        <v>330</v>
      </c>
      <c r="E413" s="201"/>
      <c r="F413" s="201"/>
      <c r="G413" s="201"/>
      <c r="H413" s="201"/>
      <c r="I413" s="201"/>
      <c r="J413" s="201"/>
      <c r="K413" s="201"/>
      <c r="L413" s="201"/>
      <c r="M413" s="201"/>
      <c r="N413" s="201"/>
      <c r="O413" s="201"/>
      <c r="P413" s="201"/>
      <c r="Q413" s="201"/>
      <c r="R413" s="201"/>
      <c r="S413" s="201"/>
      <c r="T413" s="201"/>
      <c r="U413" s="201"/>
      <c r="V413" s="201"/>
      <c r="W413" s="201"/>
      <c r="X413" s="201"/>
      <c r="Y413" s="201"/>
      <c r="Z413" s="201"/>
      <c r="AA413" s="201"/>
      <c r="AB413" s="201"/>
      <c r="AC413" s="201"/>
      <c r="AD413" s="201"/>
      <c r="AE413" s="201"/>
      <c r="AF413" s="201"/>
      <c r="AG413" s="201"/>
      <c r="AH413" s="201"/>
      <c r="AI413" s="201"/>
      <c r="AJ413" s="333"/>
      <c r="AK413" s="333"/>
      <c r="AL413" s="333"/>
      <c r="AM413" s="333"/>
      <c r="AN413" s="333"/>
      <c r="AO413" s="333"/>
      <c r="AP413" s="333"/>
      <c r="AQ413" s="333"/>
    </row>
    <row r="414" spans="4:43" s="157" customFormat="1" ht="12.75">
      <c r="AJ414" s="241"/>
      <c r="AK414" s="241"/>
      <c r="AL414" s="241"/>
      <c r="AM414" s="241"/>
      <c r="AN414" s="241"/>
      <c r="AO414" s="241"/>
      <c r="AP414" s="241"/>
      <c r="AQ414" s="241"/>
    </row>
    <row r="415" spans="4:43" s="157" customFormat="1" ht="12.75">
      <c r="E415" s="93" t="str">
        <f>Input!E415</f>
        <v>Load Related</v>
      </c>
      <c r="G415" s="157" t="s">
        <v>49</v>
      </c>
      <c r="AJ415" s="329"/>
      <c r="AK415" s="329"/>
      <c r="AL415" s="329"/>
      <c r="AM415" s="329"/>
      <c r="AN415" s="329"/>
      <c r="AO415" s="329"/>
      <c r="AP415" s="329"/>
      <c r="AQ415" s="329"/>
    </row>
    <row r="416" spans="4:43" s="157" customFormat="1" ht="12.75">
      <c r="E416" s="93" t="str">
        <f>Input!E416</f>
        <v>Non-load related capex - asset replacement</v>
      </c>
      <c r="G416" s="157" t="s">
        <v>49</v>
      </c>
      <c r="AJ416" s="329"/>
      <c r="AK416" s="329"/>
      <c r="AL416" s="329"/>
      <c r="AM416" s="329"/>
      <c r="AN416" s="329"/>
      <c r="AO416" s="329"/>
      <c r="AP416" s="329"/>
      <c r="AQ416" s="329"/>
    </row>
    <row r="417" spans="4:43" s="157" customFormat="1" ht="12.75">
      <c r="E417" s="157" t="str">
        <f>Input!E417</f>
        <v>Non-Load Related - other</v>
      </c>
      <c r="G417" s="157" t="s">
        <v>49</v>
      </c>
      <c r="AG417" s="24"/>
      <c r="AJ417" s="329"/>
      <c r="AK417" s="329"/>
      <c r="AL417" s="329"/>
      <c r="AM417" s="329"/>
      <c r="AN417" s="329"/>
      <c r="AO417" s="329"/>
      <c r="AP417" s="329"/>
      <c r="AQ417" s="329"/>
    </row>
    <row r="418" spans="4:43" s="157" customFormat="1" ht="12.75">
      <c r="E418" s="157" t="str">
        <f>Input!E418</f>
        <v>Faults</v>
      </c>
      <c r="G418" s="157" t="s">
        <v>49</v>
      </c>
      <c r="AG418" s="24"/>
      <c r="AJ418" s="329"/>
      <c r="AK418" s="329"/>
      <c r="AL418" s="329"/>
      <c r="AM418" s="329"/>
      <c r="AN418" s="329"/>
      <c r="AO418" s="329"/>
      <c r="AP418" s="329"/>
      <c r="AQ418" s="329"/>
    </row>
    <row r="419" spans="4:43" s="157" customFormat="1" ht="12.75">
      <c r="E419" s="221" t="s">
        <v>992</v>
      </c>
      <c r="G419" s="157" t="s">
        <v>49</v>
      </c>
      <c r="AG419" s="24"/>
      <c r="AJ419" s="329"/>
      <c r="AK419" s="329"/>
      <c r="AL419" s="329"/>
      <c r="AM419" s="329"/>
      <c r="AN419" s="329"/>
      <c r="AO419" s="329"/>
      <c r="AP419" s="329"/>
      <c r="AQ419" s="329"/>
    </row>
    <row r="420" spans="4:43" s="157" customFormat="1" ht="12.75">
      <c r="E420" s="157" t="str">
        <f>Input!E420</f>
        <v>100% ‘revenue pool’ expenditure</v>
      </c>
      <c r="G420" s="157" t="s">
        <v>49</v>
      </c>
      <c r="AG420" s="24"/>
      <c r="AJ420" s="329"/>
      <c r="AK420" s="329"/>
      <c r="AL420" s="329"/>
      <c r="AM420" s="329"/>
      <c r="AN420" s="329"/>
      <c r="AO420" s="329"/>
      <c r="AP420" s="329"/>
      <c r="AQ420" s="329"/>
    </row>
    <row r="421" spans="4:43" s="157" customFormat="1" ht="12.75">
      <c r="E421" s="157" t="str">
        <f>Input!E421</f>
        <v>Controllable Opex</v>
      </c>
      <c r="G421" s="157" t="s">
        <v>49</v>
      </c>
      <c r="AG421" s="24"/>
      <c r="AJ421" s="329"/>
      <c r="AK421" s="329"/>
      <c r="AL421" s="329"/>
      <c r="AM421" s="329"/>
      <c r="AN421" s="329"/>
      <c r="AO421" s="329"/>
      <c r="AP421" s="329"/>
      <c r="AQ421" s="329"/>
    </row>
    <row r="422" spans="4:43" s="157" customFormat="1" ht="12.75">
      <c r="AG422" s="24"/>
      <c r="AJ422" s="246"/>
      <c r="AK422" s="246"/>
      <c r="AL422" s="246"/>
      <c r="AM422" s="246"/>
      <c r="AN422" s="246"/>
      <c r="AO422" s="246"/>
      <c r="AP422" s="246"/>
      <c r="AQ422" s="246"/>
    </row>
    <row r="423" spans="4:43" s="157" customFormat="1" ht="12.75">
      <c r="D423" s="201" t="s">
        <v>435</v>
      </c>
      <c r="E423" s="201"/>
      <c r="F423" s="201"/>
      <c r="G423" s="201"/>
      <c r="H423" s="201"/>
      <c r="I423" s="201"/>
      <c r="J423" s="201"/>
      <c r="K423" s="201"/>
      <c r="L423" s="201"/>
      <c r="M423" s="201"/>
      <c r="N423" s="201"/>
      <c r="O423" s="201"/>
      <c r="P423" s="201"/>
      <c r="Q423" s="201"/>
      <c r="R423" s="201"/>
      <c r="S423" s="201"/>
      <c r="T423" s="201"/>
      <c r="U423" s="201"/>
      <c r="V423" s="201"/>
      <c r="W423" s="201"/>
      <c r="X423" s="201"/>
      <c r="Y423" s="201"/>
      <c r="Z423" s="201"/>
      <c r="AA423" s="201"/>
      <c r="AB423" s="201"/>
      <c r="AC423" s="201"/>
      <c r="AD423" s="201"/>
      <c r="AE423" s="201"/>
      <c r="AF423" s="201"/>
      <c r="AG423" s="201"/>
      <c r="AH423" s="201"/>
      <c r="AI423" s="201"/>
      <c r="AJ423" s="201"/>
      <c r="AK423" s="201"/>
      <c r="AL423" s="201"/>
      <c r="AM423" s="201"/>
      <c r="AN423" s="201"/>
      <c r="AO423" s="201"/>
      <c r="AP423" s="201"/>
      <c r="AQ423" s="201"/>
    </row>
    <row r="424" spans="4:43" ht="15" customHeight="1">
      <c r="D424" s="199" t="s">
        <v>436</v>
      </c>
      <c r="E424" s="199"/>
      <c r="F424" s="199"/>
      <c r="G424" s="199"/>
      <c r="H424" s="199"/>
      <c r="I424" s="199"/>
      <c r="J424" s="199"/>
      <c r="K424" s="199"/>
      <c r="L424" s="199"/>
      <c r="M424" s="199"/>
      <c r="N424" s="199"/>
      <c r="O424" s="199"/>
      <c r="P424" s="199"/>
      <c r="Q424" s="199"/>
      <c r="R424" s="199"/>
      <c r="S424" s="199"/>
      <c r="T424" s="199"/>
      <c r="U424" s="199"/>
      <c r="V424" s="199"/>
      <c r="W424" s="199"/>
      <c r="X424" s="199"/>
      <c r="Y424" s="199"/>
      <c r="Z424" s="199"/>
      <c r="AA424" s="199"/>
      <c r="AB424" s="199"/>
      <c r="AC424" s="199"/>
      <c r="AD424" s="199"/>
      <c r="AE424" s="199"/>
      <c r="AF424" s="199"/>
      <c r="AG424" s="199"/>
      <c r="AH424" s="199"/>
      <c r="AI424" s="199"/>
      <c r="AJ424" s="209"/>
      <c r="AK424" s="209"/>
      <c r="AL424" s="209"/>
      <c r="AM424" s="209"/>
      <c r="AN424" s="209"/>
      <c r="AO424" s="209"/>
      <c r="AP424" s="209"/>
      <c r="AQ424" s="209"/>
    </row>
    <row r="425" spans="4:43" s="157" customFormat="1" ht="12.75">
      <c r="AL425" s="195"/>
      <c r="AM425" s="195"/>
      <c r="AN425" s="195"/>
      <c r="AO425" s="195"/>
      <c r="AP425" s="195"/>
      <c r="AQ425" s="195"/>
    </row>
    <row r="426" spans="4:43" s="157" customFormat="1" ht="12.75">
      <c r="E426" s="93" t="str">
        <f>Input!E426</f>
        <v>Load Related</v>
      </c>
      <c r="G426" s="157" t="s">
        <v>49</v>
      </c>
      <c r="AJ426" s="217"/>
      <c r="AK426" s="217"/>
      <c r="AL426" s="217"/>
      <c r="AM426" s="217"/>
      <c r="AN426" s="217"/>
      <c r="AO426" s="217"/>
      <c r="AP426" s="217"/>
      <c r="AQ426" s="217"/>
    </row>
    <row r="427" spans="4:43" s="157" customFormat="1" ht="12.75">
      <c r="E427" s="93" t="str">
        <f>Input!E427</f>
        <v>Non-load related capex - asset replacement</v>
      </c>
      <c r="G427" s="157" t="s">
        <v>49</v>
      </c>
      <c r="AJ427" s="217"/>
      <c r="AK427" s="217"/>
      <c r="AL427" s="217"/>
      <c r="AM427" s="217"/>
      <c r="AN427" s="217"/>
      <c r="AO427" s="217"/>
      <c r="AP427" s="217"/>
      <c r="AQ427" s="217"/>
    </row>
    <row r="428" spans="4:43" s="157" customFormat="1" ht="12.75">
      <c r="E428" s="157" t="str">
        <f>Input!E428</f>
        <v>Non-Load Related - other</v>
      </c>
      <c r="G428" s="157" t="s">
        <v>49</v>
      </c>
      <c r="AJ428" s="217"/>
      <c r="AK428" s="217"/>
      <c r="AL428" s="217"/>
      <c r="AM428" s="217"/>
      <c r="AN428" s="217"/>
      <c r="AO428" s="217"/>
      <c r="AP428" s="217"/>
      <c r="AQ428" s="217"/>
    </row>
    <row r="429" spans="4:43" s="157" customFormat="1" ht="12.75">
      <c r="E429" s="157" t="str">
        <f>Input!E429</f>
        <v>Faults</v>
      </c>
      <c r="G429" s="157" t="s">
        <v>49</v>
      </c>
      <c r="AJ429" s="217"/>
      <c r="AK429" s="217"/>
      <c r="AL429" s="217"/>
      <c r="AM429" s="217"/>
      <c r="AN429" s="217"/>
      <c r="AO429" s="217"/>
      <c r="AP429" s="217"/>
      <c r="AQ429" s="217"/>
    </row>
    <row r="430" spans="4:43" s="157" customFormat="1" ht="12.75">
      <c r="E430" s="221" t="s">
        <v>992</v>
      </c>
      <c r="G430" s="157" t="s">
        <v>49</v>
      </c>
      <c r="AJ430" s="217"/>
      <c r="AK430" s="217"/>
      <c r="AL430" s="217"/>
      <c r="AM430" s="217"/>
      <c r="AN430" s="217"/>
      <c r="AO430" s="217"/>
      <c r="AP430" s="217"/>
      <c r="AQ430" s="217"/>
    </row>
    <row r="431" spans="4:43" s="157" customFormat="1" ht="12.75">
      <c r="E431" s="157" t="str">
        <f>Input!E431</f>
        <v>100% ‘revenue pool’ expenditure</v>
      </c>
      <c r="G431" s="157" t="s">
        <v>49</v>
      </c>
      <c r="AJ431" s="217"/>
      <c r="AK431" s="217"/>
      <c r="AL431" s="217"/>
      <c r="AM431" s="217"/>
      <c r="AN431" s="217"/>
      <c r="AO431" s="217"/>
      <c r="AP431" s="217"/>
      <c r="AQ431" s="217"/>
    </row>
    <row r="432" spans="4:43" s="157" customFormat="1" ht="12.75">
      <c r="E432" s="157" t="str">
        <f>Input!E432</f>
        <v>Controllable Opex</v>
      </c>
      <c r="G432" s="157" t="s">
        <v>49</v>
      </c>
      <c r="AJ432" s="217"/>
      <c r="AK432" s="217"/>
      <c r="AL432" s="217"/>
      <c r="AM432" s="217"/>
      <c r="AN432" s="217"/>
      <c r="AO432" s="217"/>
      <c r="AP432" s="217"/>
      <c r="AQ432" s="217"/>
    </row>
    <row r="433" spans="1:43" s="157" customFormat="1" ht="12.75">
      <c r="AG433" s="24"/>
      <c r="AJ433" s="246"/>
      <c r="AK433" s="246"/>
      <c r="AL433" s="246"/>
      <c r="AM433" s="246"/>
      <c r="AN433" s="246"/>
      <c r="AO433" s="246"/>
      <c r="AP433" s="246"/>
      <c r="AQ433" s="246"/>
    </row>
    <row r="434" spans="1:43" ht="12.75">
      <c r="A434" s="400"/>
      <c r="B434" s="334"/>
      <c r="C434" s="334"/>
      <c r="D434" s="334" t="s">
        <v>577</v>
      </c>
      <c r="E434" s="334"/>
      <c r="F434" s="334"/>
      <c r="G434" s="334"/>
      <c r="H434" s="334"/>
      <c r="I434" s="334"/>
      <c r="J434" s="334"/>
      <c r="K434" s="334"/>
      <c r="L434" s="334"/>
      <c r="M434" s="334"/>
      <c r="N434" s="334"/>
      <c r="O434" s="334"/>
      <c r="P434" s="334"/>
      <c r="Q434" s="334"/>
      <c r="R434" s="334"/>
      <c r="S434" s="334"/>
      <c r="T434" s="334"/>
      <c r="U434" s="334"/>
      <c r="V434" s="334"/>
      <c r="W434" s="334"/>
      <c r="X434" s="334"/>
      <c r="Y434" s="334"/>
      <c r="Z434" s="334"/>
      <c r="AA434" s="334"/>
      <c r="AB434" s="334"/>
      <c r="AC434" s="334"/>
      <c r="AD434" s="334"/>
      <c r="AE434" s="334"/>
      <c r="AF434" s="334"/>
      <c r="AG434" s="334"/>
      <c r="AH434" s="334"/>
      <c r="AI434" s="334"/>
      <c r="AJ434" s="334"/>
      <c r="AK434" s="334"/>
      <c r="AL434" s="334"/>
      <c r="AM434" s="334"/>
      <c r="AN434" s="334"/>
      <c r="AO434" s="334"/>
      <c r="AP434" s="334"/>
      <c r="AQ434" s="334"/>
    </row>
    <row r="435" spans="1:43" ht="15" customHeight="1">
      <c r="A435" s="400"/>
    </row>
    <row r="436" spans="1:43" ht="15" customHeight="1">
      <c r="A436" s="400"/>
      <c r="E436" s="149" t="s">
        <v>578</v>
      </c>
      <c r="G436" s="149" t="s">
        <v>844</v>
      </c>
      <c r="H436" s="362"/>
      <c r="AJ436" s="227"/>
      <c r="AK436" s="227"/>
      <c r="AL436" s="227"/>
      <c r="AM436" s="227"/>
      <c r="AN436" s="227"/>
      <c r="AO436" s="227"/>
      <c r="AP436" s="227"/>
      <c r="AQ436" s="227"/>
    </row>
    <row r="437" spans="1:43" ht="15" customHeight="1">
      <c r="A437" s="400"/>
      <c r="E437" s="149" t="s">
        <v>579</v>
      </c>
      <c r="G437" s="149" t="s">
        <v>844</v>
      </c>
      <c r="H437" s="362"/>
      <c r="AJ437" s="227"/>
      <c r="AK437" s="227"/>
      <c r="AL437" s="227"/>
      <c r="AM437" s="227"/>
      <c r="AN437" s="227"/>
      <c r="AO437" s="227"/>
      <c r="AP437" s="227"/>
      <c r="AQ437" s="227"/>
    </row>
    <row r="438" spans="1:43" s="157" customFormat="1" ht="12.75">
      <c r="A438" s="414"/>
      <c r="AL438" s="195"/>
      <c r="AM438" s="195"/>
      <c r="AN438" s="195"/>
      <c r="AO438" s="195"/>
      <c r="AP438" s="195"/>
      <c r="AQ438" s="195"/>
    </row>
    <row r="439" spans="1:43" s="152" customFormat="1" ht="15" customHeight="1">
      <c r="B439" s="336"/>
      <c r="C439" s="336"/>
      <c r="D439" s="336"/>
      <c r="E439" s="336"/>
      <c r="F439" s="336"/>
      <c r="G439" s="336"/>
      <c r="H439" s="336"/>
      <c r="I439" s="336"/>
      <c r="J439" s="336"/>
      <c r="K439" s="336"/>
      <c r="L439" s="336"/>
      <c r="M439" s="336"/>
      <c r="N439" s="336"/>
      <c r="O439" s="336"/>
      <c r="P439" s="336"/>
      <c r="Q439" s="336"/>
      <c r="R439" s="336"/>
      <c r="S439" s="336"/>
      <c r="T439" s="336"/>
      <c r="U439" s="336"/>
      <c r="V439" s="336"/>
      <c r="W439" s="336"/>
      <c r="X439" s="336"/>
      <c r="Y439" s="336"/>
      <c r="Z439" s="336"/>
      <c r="AA439" s="336"/>
      <c r="AB439" s="336"/>
      <c r="AC439" s="336"/>
      <c r="AD439" s="336"/>
      <c r="AE439" s="336"/>
      <c r="AF439" s="336"/>
      <c r="AG439" s="336"/>
      <c r="AH439" s="336"/>
      <c r="AI439" s="336"/>
      <c r="AJ439" s="336"/>
      <c r="AK439" s="336"/>
      <c r="AL439" s="336"/>
      <c r="AM439" s="336"/>
      <c r="AN439" s="336"/>
      <c r="AO439" s="336"/>
      <c r="AP439" s="336"/>
      <c r="AQ439" s="336"/>
    </row>
    <row r="440" spans="1:43" ht="12.75">
      <c r="B440" s="334"/>
      <c r="C440" s="334"/>
      <c r="D440" s="334" t="s">
        <v>616</v>
      </c>
      <c r="E440" s="334"/>
      <c r="F440" s="334"/>
      <c r="G440" s="334"/>
      <c r="H440" s="334"/>
      <c r="I440" s="334"/>
      <c r="J440" s="334"/>
      <c r="K440" s="334"/>
      <c r="L440" s="334"/>
      <c r="M440" s="334"/>
      <c r="N440" s="334"/>
      <c r="O440" s="334"/>
      <c r="P440" s="334"/>
      <c r="Q440" s="334"/>
      <c r="R440" s="334"/>
      <c r="S440" s="334"/>
      <c r="T440" s="334"/>
      <c r="U440" s="334"/>
      <c r="V440" s="334"/>
      <c r="W440" s="334"/>
      <c r="X440" s="334"/>
      <c r="Y440" s="334"/>
      <c r="Z440" s="334"/>
      <c r="AA440" s="334"/>
      <c r="AB440" s="334"/>
      <c r="AC440" s="334"/>
      <c r="AD440" s="334"/>
      <c r="AE440" s="334"/>
      <c r="AF440" s="334"/>
      <c r="AG440" s="334"/>
      <c r="AH440" s="334"/>
      <c r="AI440" s="334"/>
      <c r="AJ440" s="334"/>
      <c r="AK440" s="334"/>
      <c r="AL440" s="334"/>
      <c r="AM440" s="334"/>
      <c r="AN440" s="334"/>
      <c r="AO440" s="334"/>
      <c r="AP440" s="334"/>
      <c r="AQ440" s="334"/>
    </row>
    <row r="442" spans="1:43" ht="15" customHeight="1">
      <c r="E442" s="149" t="s">
        <v>617</v>
      </c>
      <c r="G442" s="149" t="s">
        <v>844</v>
      </c>
      <c r="AJ442" s="227"/>
      <c r="AK442" s="227"/>
      <c r="AL442" s="227"/>
      <c r="AM442" s="227"/>
      <c r="AN442" s="227"/>
      <c r="AO442" s="227"/>
      <c r="AP442" s="227"/>
      <c r="AQ442" s="227"/>
    </row>
    <row r="444" spans="1:43" ht="12.75">
      <c r="B444" s="334"/>
      <c r="C444" s="334"/>
      <c r="D444" s="334" t="s">
        <v>804</v>
      </c>
      <c r="E444" s="334"/>
      <c r="F444" s="334"/>
      <c r="G444" s="334"/>
      <c r="H444" s="334"/>
      <c r="I444" s="334"/>
      <c r="J444" s="334"/>
      <c r="K444" s="334"/>
      <c r="L444" s="334"/>
      <c r="M444" s="334"/>
      <c r="N444" s="334"/>
      <c r="O444" s="334"/>
      <c r="P444" s="334"/>
      <c r="Q444" s="334"/>
      <c r="R444" s="334"/>
      <c r="S444" s="334"/>
      <c r="T444" s="334"/>
      <c r="U444" s="334"/>
      <c r="V444" s="334"/>
      <c r="W444" s="334"/>
      <c r="X444" s="334"/>
      <c r="Y444" s="334"/>
      <c r="Z444" s="334"/>
      <c r="AA444" s="334"/>
      <c r="AB444" s="334"/>
      <c r="AC444" s="334"/>
      <c r="AD444" s="334"/>
      <c r="AE444" s="334"/>
      <c r="AF444" s="334"/>
      <c r="AG444" s="334"/>
      <c r="AH444" s="334"/>
      <c r="AI444" s="334"/>
      <c r="AJ444" s="334"/>
      <c r="AK444" s="334"/>
      <c r="AL444" s="334"/>
      <c r="AM444" s="334"/>
      <c r="AN444" s="334"/>
      <c r="AO444" s="334"/>
      <c r="AP444" s="334"/>
      <c r="AQ444" s="334"/>
    </row>
    <row r="445" spans="1:43" s="152" customFormat="1" ht="15" customHeight="1"/>
    <row r="446" spans="1:43" s="152" customFormat="1" ht="15" customHeight="1">
      <c r="E446" s="152" t="s">
        <v>810</v>
      </c>
      <c r="G446" s="149" t="s">
        <v>844</v>
      </c>
      <c r="AJ446" s="236"/>
      <c r="AK446" s="236"/>
      <c r="AL446" s="236"/>
      <c r="AM446" s="236"/>
      <c r="AN446" s="236"/>
      <c r="AO446" s="236"/>
      <c r="AP446" s="236"/>
      <c r="AQ446" s="236"/>
    </row>
    <row r="447" spans="1:43" ht="15" customHeight="1">
      <c r="E447" s="149" t="s">
        <v>816</v>
      </c>
      <c r="G447" s="149" t="s">
        <v>844</v>
      </c>
      <c r="AJ447" s="236"/>
      <c r="AK447" s="236"/>
      <c r="AL447" s="236"/>
      <c r="AM447" s="236"/>
      <c r="AN447" s="236"/>
      <c r="AO447" s="236"/>
      <c r="AP447" s="236"/>
      <c r="AQ447" s="236"/>
    </row>
    <row r="448" spans="1:43" ht="15" customHeight="1">
      <c r="E448" s="149" t="s">
        <v>817</v>
      </c>
      <c r="G448" s="149" t="s">
        <v>844</v>
      </c>
    </row>
    <row r="450" spans="2:43" ht="15" customHeight="1">
      <c r="E450" s="149" t="s">
        <v>812</v>
      </c>
    </row>
    <row r="452" spans="2:43" ht="15" customHeight="1">
      <c r="E452" s="149" t="s">
        <v>815</v>
      </c>
      <c r="AJ452" s="406"/>
      <c r="AK452" s="406"/>
      <c r="AL452" s="406"/>
      <c r="AM452" s="406"/>
      <c r="AN452" s="406"/>
      <c r="AO452" s="406"/>
      <c r="AP452" s="406"/>
      <c r="AQ452" s="406"/>
    </row>
    <row r="453" spans="2:43" ht="15" customHeight="1">
      <c r="E453" s="149" t="s">
        <v>813</v>
      </c>
      <c r="AJ453" s="165"/>
      <c r="AK453" s="165"/>
      <c r="AL453" s="165"/>
      <c r="AM453" s="165"/>
      <c r="AN453" s="165"/>
      <c r="AO453" s="165"/>
      <c r="AP453" s="165"/>
      <c r="AQ453" s="165"/>
    </row>
    <row r="455" spans="2:43" ht="15" customHeight="1">
      <c r="E455" s="149" t="s">
        <v>814</v>
      </c>
    </row>
    <row r="456" spans="2:43" ht="15" customHeight="1">
      <c r="E456" s="157" t="s">
        <v>803</v>
      </c>
      <c r="AJ456" s="236"/>
      <c r="AK456" s="236"/>
      <c r="AL456" s="236"/>
      <c r="AM456" s="236"/>
      <c r="AN456" s="236"/>
      <c r="AO456" s="236"/>
      <c r="AP456" s="236"/>
      <c r="AQ456" s="236"/>
    </row>
    <row r="457" spans="2:43" ht="15" customHeight="1">
      <c r="E457" s="157" t="s">
        <v>805</v>
      </c>
      <c r="AJ457" s="236"/>
      <c r="AK457" s="236"/>
      <c r="AL457" s="236"/>
      <c r="AM457" s="236"/>
      <c r="AN457" s="236"/>
      <c r="AO457" s="236"/>
      <c r="AP457" s="236"/>
      <c r="AQ457" s="236"/>
    </row>
    <row r="458" spans="2:43" ht="15" customHeight="1">
      <c r="E458" s="195" t="s">
        <v>806</v>
      </c>
      <c r="AJ458" s="236"/>
      <c r="AK458" s="236"/>
      <c r="AL458" s="236"/>
      <c r="AM458" s="236"/>
      <c r="AN458" s="236"/>
      <c r="AO458" s="236"/>
      <c r="AP458" s="236"/>
      <c r="AQ458" s="236"/>
    </row>
    <row r="460" spans="2:43" ht="15" customHeight="1">
      <c r="E460" s="149" t="s">
        <v>811</v>
      </c>
    </row>
    <row r="462" spans="2:43" s="498" customFormat="1" ht="12.75">
      <c r="B462" s="334"/>
      <c r="C462" s="334"/>
      <c r="D462" s="334" t="s">
        <v>880</v>
      </c>
      <c r="E462" s="334"/>
      <c r="F462" s="334"/>
      <c r="G462" s="334"/>
      <c r="H462" s="334"/>
      <c r="I462" s="334"/>
      <c r="J462" s="334"/>
      <c r="K462" s="334"/>
      <c r="L462" s="334"/>
      <c r="M462" s="334"/>
      <c r="N462" s="334"/>
      <c r="O462" s="334"/>
      <c r="P462" s="334"/>
      <c r="Q462" s="334"/>
      <c r="R462" s="334"/>
      <c r="S462" s="334"/>
      <c r="T462" s="334"/>
      <c r="U462" s="334"/>
      <c r="V462" s="334"/>
      <c r="W462" s="334"/>
      <c r="X462" s="334"/>
      <c r="Y462" s="334"/>
      <c r="Z462" s="334"/>
      <c r="AA462" s="334"/>
      <c r="AB462" s="334"/>
      <c r="AC462" s="334"/>
      <c r="AD462" s="334"/>
      <c r="AE462" s="334"/>
      <c r="AF462" s="334"/>
      <c r="AG462" s="334"/>
      <c r="AH462" s="334"/>
      <c r="AI462" s="334"/>
      <c r="AJ462" s="334"/>
      <c r="AK462" s="334"/>
      <c r="AL462" s="334"/>
      <c r="AM462" s="334"/>
      <c r="AN462" s="334"/>
      <c r="AO462" s="334"/>
      <c r="AP462" s="334"/>
      <c r="AQ462" s="334"/>
    </row>
    <row r="463" spans="2:43" s="152" customFormat="1" ht="15" customHeight="1"/>
    <row r="464" spans="2:43" ht="15" customHeight="1">
      <c r="E464" s="498" t="s">
        <v>881</v>
      </c>
      <c r="AJ464" s="236"/>
      <c r="AK464" s="236"/>
      <c r="AL464" s="236"/>
      <c r="AM464" s="236"/>
      <c r="AN464" s="236"/>
      <c r="AO464" s="236"/>
      <c r="AP464" s="236"/>
      <c r="AQ464" s="236"/>
    </row>
  </sheetData>
  <conditionalFormatting sqref="AJ426:AQ432">
    <cfRule type="cellIs" dxfId="1" priority="1" operator="lessThan">
      <formula>1</formula>
    </cfRule>
    <cfRule type="cellIs" dxfId="0" priority="2" operator="greaterThan">
      <formula>1</formula>
    </cfRule>
  </conditionalFormatting>
  <pageMargins left="0.23622047244094491" right="0.23622047244094491" top="0.74803149606299213" bottom="0.74803149606299213" header="0.31496062992125984" footer="0.31496062992125984"/>
  <pageSetup paperSize="8" scale="28" fitToHeight="0" orientation="portrait" r:id="rId1"/>
  <headerFooter>
    <oddFooter>&amp;LDraft at &amp;D&amp;C&amp;P of &amp;N&amp;R"&amp;A" sheet</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Classification xmlns="eecedeb9-13b3-4e62-b003-046c92e1668a"/>
    <Descriptor xmlns="eecedeb9-13b3-4e62-b003-046c92e1668a" xsi:nil="true"/>
    <Applicable_x0020_Start_x0020_Date xmlns="eecedeb9-13b3-4e62-b003-046c92e1668a" xsi:nil="true"/>
    <_Status xmlns="http://schemas.microsoft.com/sharepoint/v3/fields" xsi:nil="true"/>
    <Applicable_x0020_Duration xmlns="eecedeb9-13b3-4e62-b003-046c92e1668a" xsi:nil="true"/>
    <Organisation xmlns="eecedeb9-13b3-4e62-b003-046c92e1668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Analysis" ma:contentTypeID="0x010100224D7ED41386EF40B8EE6E522BAA778100D5CC22A0DFF50941A80E13946CD8577A" ma:contentTypeVersion="24" ma:contentTypeDescription="This is used to create spreadsheets" ma:contentTypeScope="" ma:versionID="566df1fc581f37985a7d9316c9e8e6f5">
  <xsd:schema xmlns:xsd="http://www.w3.org/2001/XMLSchema" xmlns:p="http://schemas.microsoft.com/office/2006/metadata/properties" xmlns:ns2="eecedeb9-13b3-4e62-b003-046c92e1668a" xmlns:ns3="http://schemas.microsoft.com/sharepoint/v3/fields" targetNamespace="http://schemas.microsoft.com/office/2006/metadata/properties" ma:root="true" ma:fieldsID="5bdd17d8ef0c1ca8dfbfa8ed87da29af" ns2:_="" ns3:_="">
    <xsd:import namespace="eecedeb9-13b3-4e62-b003-046c92e1668a"/>
    <xsd:import namespace="http://schemas.microsoft.com/sharepoint/v3/fields"/>
    <xsd:element name="properties">
      <xsd:complexType>
        <xsd:sequence>
          <xsd:element name="documentManagement">
            <xsd:complexType>
              <xsd:all>
                <xsd:element ref="ns2:Applicable_x0020_Start_x0020_Date" minOccurs="0"/>
                <xsd:element ref="ns2:Applicable_x0020_Duration" minOccurs="0"/>
                <xsd:element ref="ns3:_Status" minOccurs="0"/>
                <xsd:element ref="ns2:Organisation" minOccurs="0"/>
                <xsd:element ref="ns2:Classification"/>
                <xsd:element ref="ns2:Descriptor" minOccurs="0"/>
              </xsd:all>
            </xsd:complexType>
          </xsd:element>
        </xsd:sequence>
      </xsd:complexType>
    </xsd:element>
  </xsd:schema>
  <xsd:schema xmlns:xsd="http://www.w3.org/2001/XMLSchema" xmlns:dms="http://schemas.microsoft.com/office/2006/documentManagement/types" targetNamespace="eecedeb9-13b3-4e62-b003-046c92e1668a" elementFormDefault="qualified">
    <xsd:import namespace="http://schemas.microsoft.com/office/2006/documentManagement/types"/>
    <xsd:element name="Applicable_x0020_Start_x0020_Date" ma:index="2" nillable="true" ma:displayName="Applicable Start Date" ma:default="[today]" ma:description="The Starting Date for the work - format is DD/MM/YYYY" ma:format="DateOnly" ma:internalName="Applicable_x0020_Start_x0020_Date" ma:readOnly="false">
      <xsd:simpleType>
        <xsd:restriction base="dms:DateTime"/>
      </xsd:simpleType>
    </xsd:element>
    <xsd:element name="Applicable_x0020_Duration" ma:index="3" nillable="true" ma:displayName="Applicable Duration" ma:default="-" ma:description="For how long is this document applicable, from the Applicable Start Date?" ma:format="Dropdown" ma:internalName="Applicable_x0020_Duration" ma:readOnly="false">
      <xsd:simpleType>
        <xsd:restriction base="dms:Choice">
          <xsd:enumeration value="-"/>
          <xsd:enumeration value="Day"/>
          <xsd:enumeration value="Week"/>
          <xsd:enumeration value="Month"/>
          <xsd:enumeration value="Quarter"/>
          <xsd:enumeration value="6 Months"/>
          <xsd:enumeration value="Winter"/>
          <xsd:enumeration value="Summer"/>
          <xsd:enumeration value="1 Year"/>
          <xsd:enumeration value="2 Years"/>
          <xsd:enumeration value="3 Years"/>
          <xsd:enumeration value="5 Years"/>
          <xsd:enumeration value="6 - 10 Years"/>
          <xsd:enumeration value="Enduring"/>
        </xsd:restriction>
      </xsd:simpleType>
    </xsd:element>
    <xsd:element name="Organisation" ma:index="5" nillable="true" ma:displayName="Organisation" ma:default="Choose an Organisation" ma:description="Choose from the drop-down menu or fill in a value" ma:format="Dropdown" ma:internalName="Organisation">
      <xsd:simpleType>
        <xsd:union memberTypes="dms:Text">
          <xsd:simpleType>
            <xsd:restriction base="dms:Choice">
              <xsd:enumeration value="Choose an Organisation"/>
              <xsd:enumeration value="Assoc Elec Producers"/>
              <xsd:enumeration value="Atomic Energy Auth"/>
              <xsd:enumeration value="BERR"/>
              <xsd:enumeration value="British Energy"/>
              <xsd:enumeration value="Brit Wind Energy Assoc"/>
              <xsd:enumeration value="Building Research Est"/>
              <xsd:enumeration value="Carbon Trust"/>
              <xsd:enumeration value="Cavendish"/>
              <xsd:enumeration value="Centrica"/>
              <xsd:enumeration value="Central Networks"/>
              <xsd:enumeration value="CE"/>
              <xsd:enumeration value="CEER"/>
              <xsd:enumeration value="CHPA"/>
              <xsd:enumeration value="Competition Commission"/>
              <xsd:enumeration value="DCLG"/>
              <xsd:enumeration value="DCUSA Ltd"/>
              <xsd:enumeration value="DECC"/>
              <xsd:enumeration value="DEFRA"/>
              <xsd:enumeration value="DETI (Northern Ireland)"/>
              <xsd:enumeration value="European Commission"/>
              <xsd:enumeration value="EdF"/>
              <xsd:enumeration value="Elec DNO"/>
              <xsd:enumeration value="ELEXON"/>
              <xsd:enumeration value="eon"/>
              <xsd:enumeration value="Electricity North West"/>
              <xsd:enumeration value="Energy Networks Association"/>
              <xsd:enumeration value="Energy Retail Association"/>
              <xsd:enumeration value="Energy Saving Trust"/>
              <xsd:enumeration value="energywatch"/>
              <xsd:enumeration value="ERGEG"/>
              <xsd:enumeration value="Ernst &amp; Young"/>
              <xsd:enumeration value="ESTA"/>
              <xsd:enumeration value="Gas DNs"/>
              <xsd:enumeration value="Gas Forum"/>
              <xsd:enumeration value="Gaz de France"/>
              <xsd:enumeration value="Government"/>
              <xsd:enumeration value="HM Revenue &amp; Customs"/>
              <xsd:enumeration value="HM Treasury"/>
              <xsd:enumeration value="House of Commons"/>
              <xsd:enumeration value="HSE"/>
              <xsd:enumeration value="IDNO"/>
              <xsd:enumeration value="IGT"/>
              <xsd:enumeration value="National Grid Gas"/>
              <xsd:enumeration value="National Grid Elec"/>
              <xsd:enumeration value="nPower"/>
              <xsd:enumeration value="NWOperators"/>
              <xsd:enumeration value="NEDL &amp;  YEDL"/>
              <xsd:enumeration value="Northern Gas Networks"/>
              <xsd:enumeration value="OFGEM"/>
              <xsd:enumeration value="OFREG"/>
              <xsd:enumeration value="OFT"/>
              <xsd:enumeration value="Parity"/>
              <xsd:enumeration value="Parl Renew &amp; Sustain Energy Grp"/>
              <xsd:enumeration value="Renewble Energy Assoc"/>
              <xsd:enumeration value="RWE"/>
              <xsd:enumeration value="Scotia Gas Networks"/>
              <xsd:enumeration value="Scottish and Southern"/>
              <xsd:enumeration value="Scottish Executive"/>
              <xsd:enumeration value="Scottish Power"/>
              <xsd:enumeration value="SmartestEnergy"/>
              <xsd:enumeration value="Suppliers"/>
              <xsd:enumeration value="UK Power Networks"/>
              <xsd:enumeration value="Wales &amp; West Utilities"/>
              <xsd:enumeration value="Welsh Assembly"/>
              <xsd:enumeration value="WPD"/>
              <xsd:enumeration value="Xoserve"/>
              <xsd:enumeration value="-"/>
            </xsd:restriction>
          </xsd:simpleType>
        </xsd:union>
      </xsd:simpleType>
    </xsd:element>
    <xsd:element name="Classification" ma:index="12" ma:displayName="Classification" ma:default="Unclassified" ma:format="Dropdown" ma:internalName="Classification">
      <xsd:simpleType>
        <xsd:restriction base="dms:Choice">
          <xsd:enumeration value="Unclassified"/>
          <xsd:enumeration value="Protect"/>
          <xsd:enumeration value="Restricted"/>
        </xsd:restriction>
      </xsd:simpleType>
    </xsd:element>
    <xsd:element name="Descriptor" ma:index="13" nillable="true" ma:displayName="Descriptor" ma:format="Dropdown" ma:internalName="Descriptor">
      <xsd:simpleType>
        <xsd:restriction base="dms:Choice">
          <xsd:enumeration value="Commercial"/>
          <xsd:enumeration value="Management"/>
          <xsd:enumeration value="Market Sensitive"/>
          <xsd:enumeration value="Staff"/>
        </xsd:restriction>
      </xsd:simple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tatus" ma:index="4" nillable="true" ma:displayName="Status" ma:default="Draft" ma:description="Choose the appropriate status from the drop-down" ma:format="Dropdown" ma:internalName="_Status">
      <xsd:simpleType>
        <xsd:restriction base="dms:Choice">
          <xsd:enumeration value="Draft"/>
          <xsd:enumeration value="For comment"/>
          <xsd:enumeration value="Peer Reviewed"/>
          <xsd:enumeration value="Head of Dept Reviewed"/>
          <xsd:enumeration value="Legally Reviewed"/>
          <xsd:enumeration value="MD Approved"/>
          <xsd:enumeration value="Final not for Registry"/>
          <xsd:enumeration value="Final and Sent to Registry"/>
          <xsd:enumeration value="Published"/>
          <xsd:enumeration value="For deletion review"/>
          <xsd:enumeration value="External Draft"/>
          <xsd:enumeration value="External for comment"/>
          <xsd:enumeration value="External for action"/>
          <xsd:enumeration value="External Final"/>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75074D-0FBD-4CEE-B0F1-EFED773218AE}">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sharepoint/v3/fields"/>
    <ds:schemaRef ds:uri="eecedeb9-13b3-4e62-b003-046c92e1668a"/>
    <ds:schemaRef ds:uri="http://www.w3.org/XML/1998/namespace"/>
  </ds:schemaRefs>
</ds:datastoreItem>
</file>

<file path=customXml/itemProps2.xml><?xml version="1.0" encoding="utf-8"?>
<ds:datastoreItem xmlns:ds="http://schemas.openxmlformats.org/officeDocument/2006/customXml" ds:itemID="{24DBE85E-6EFB-44EE-B5D4-8514BABB47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ecedeb9-13b3-4e62-b003-046c92e1668a"/>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5A8F784A-F9E9-4513-A5D0-4AC25ED363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35</vt:i4>
      </vt:variant>
      <vt:variant>
        <vt:lpstr>Named Ranges</vt:lpstr>
      </vt:variant>
      <vt:variant>
        <vt:i4>95</vt:i4>
      </vt:variant>
    </vt:vector>
  </HeadingPairs>
  <TitlesOfParts>
    <vt:vector size="130" baseType="lpstr">
      <vt:lpstr>Cover</vt:lpstr>
      <vt:lpstr>UserInterface</vt:lpstr>
      <vt:lpstr>Change Control</vt:lpstr>
      <vt:lpstr>TaxTrigger</vt:lpstr>
      <vt:lpstr>MOD</vt:lpstr>
      <vt:lpstr>Input</vt:lpstr>
      <vt:lpstr>Totex</vt:lpstr>
      <vt:lpstr>TIM</vt:lpstr>
      <vt:lpstr>DARTs</vt:lpstr>
      <vt:lpstr>Depn</vt:lpstr>
      <vt:lpstr>Return&amp;RAV</vt:lpstr>
      <vt:lpstr>TaxPools</vt:lpstr>
      <vt:lpstr>Finance&amp;Tax</vt:lpstr>
      <vt:lpstr>Revenue</vt:lpstr>
      <vt:lpstr>Revenue Profiling</vt:lpstr>
      <vt:lpstr>LiveResults</vt:lpstr>
      <vt:lpstr>SavedResults</vt:lpstr>
      <vt:lpstr>FinancialStatements</vt:lpstr>
      <vt:lpstr>FinancialRatios</vt:lpstr>
      <vt:lpstr>Bill impact</vt:lpstr>
      <vt:lpstr>RoRE</vt:lpstr>
      <vt:lpstr>ENWL</vt:lpstr>
      <vt:lpstr>NPgN</vt:lpstr>
      <vt:lpstr>NPgY</vt:lpstr>
      <vt:lpstr>WMID</vt:lpstr>
      <vt:lpstr>EMID</vt:lpstr>
      <vt:lpstr>SWALES</vt:lpstr>
      <vt:lpstr>SWEST</vt:lpstr>
      <vt:lpstr>LPN</vt:lpstr>
      <vt:lpstr>SPN</vt:lpstr>
      <vt:lpstr>EPN</vt:lpstr>
      <vt:lpstr>SPD</vt:lpstr>
      <vt:lpstr>SPMW</vt:lpstr>
      <vt:lpstr>SSEH</vt:lpstr>
      <vt:lpstr>SSES</vt:lpstr>
      <vt:lpstr>IncentiveStrength</vt:lpstr>
      <vt:lpstr>m_calculated_tax</vt:lpstr>
      <vt:lpstr>m_identity</vt:lpstr>
      <vt:lpstr>m_live_results</vt:lpstr>
      <vt:lpstr>m_live_results_end</vt:lpstr>
      <vt:lpstr>m_PCFM_year_t</vt:lpstr>
      <vt:lpstr>m_results_01</vt:lpstr>
      <vt:lpstr>m_results_02</vt:lpstr>
      <vt:lpstr>m_results_03</vt:lpstr>
      <vt:lpstr>m_results_04</vt:lpstr>
      <vt:lpstr>m_results_05</vt:lpstr>
      <vt:lpstr>m_results_06</vt:lpstr>
      <vt:lpstr>m_results_07</vt:lpstr>
      <vt:lpstr>m_results_08</vt:lpstr>
      <vt:lpstr>m_results_09</vt:lpstr>
      <vt:lpstr>m_results_10</vt:lpstr>
      <vt:lpstr>m_results_11</vt:lpstr>
      <vt:lpstr>m_results_12</vt:lpstr>
      <vt:lpstr>m_results_13</vt:lpstr>
      <vt:lpstr>m_results_14</vt:lpstr>
      <vt:lpstr>m_saved_original_test</vt:lpstr>
      <vt:lpstr>m_tax_trigger_results</vt:lpstr>
      <vt:lpstr>m_tax_trigger_state</vt:lpstr>
      <vt:lpstr>NumberofOperators</vt:lpstr>
      <vt:lpstr>'Bill impact'!Print_Area</vt:lpstr>
      <vt:lpstr>'Change Control'!Print_Area</vt:lpstr>
      <vt:lpstr>Cover!Print_Area</vt:lpstr>
      <vt:lpstr>DARTs!Print_Area</vt:lpstr>
      <vt:lpstr>Depn!Print_Area</vt:lpstr>
      <vt:lpstr>EMID!Print_Area</vt:lpstr>
      <vt:lpstr>ENWL!Print_Area</vt:lpstr>
      <vt:lpstr>EPN!Print_Area</vt:lpstr>
      <vt:lpstr>'Finance&amp;Tax'!Print_Area</vt:lpstr>
      <vt:lpstr>FinancialRatios!Print_Area</vt:lpstr>
      <vt:lpstr>FinancialStatements!Print_Area</vt:lpstr>
      <vt:lpstr>Input!Print_Area</vt:lpstr>
      <vt:lpstr>LiveResults!Print_Area</vt:lpstr>
      <vt:lpstr>LPN!Print_Area</vt:lpstr>
      <vt:lpstr>MOD!Print_Area</vt:lpstr>
      <vt:lpstr>NPgN!Print_Area</vt:lpstr>
      <vt:lpstr>NPgY!Print_Area</vt:lpstr>
      <vt:lpstr>'Return&amp;RAV'!Print_Area</vt:lpstr>
      <vt:lpstr>Revenue!Print_Area</vt:lpstr>
      <vt:lpstr>'Revenue Profiling'!Print_Area</vt:lpstr>
      <vt:lpstr>RoRE!Print_Area</vt:lpstr>
      <vt:lpstr>SPD!Print_Area</vt:lpstr>
      <vt:lpstr>SPMW!Print_Area</vt:lpstr>
      <vt:lpstr>SPN!Print_Area</vt:lpstr>
      <vt:lpstr>SSEH!Print_Area</vt:lpstr>
      <vt:lpstr>SSES!Print_Area</vt:lpstr>
      <vt:lpstr>SWALES!Print_Area</vt:lpstr>
      <vt:lpstr>SWEST!Print_Area</vt:lpstr>
      <vt:lpstr>TaxPools!Print_Area</vt:lpstr>
      <vt:lpstr>TaxTrigger!Print_Area</vt:lpstr>
      <vt:lpstr>TIM!Print_Area</vt:lpstr>
      <vt:lpstr>Totex!Print_Area</vt:lpstr>
      <vt:lpstr>UserInterface!Print_Area</vt:lpstr>
      <vt:lpstr>WMID!Print_Area</vt:lpstr>
      <vt:lpstr>'Bill impact'!Print_Titles</vt:lpstr>
      <vt:lpstr>Cover!Print_Titles</vt:lpstr>
      <vt:lpstr>DARTs!Print_Titles</vt:lpstr>
      <vt:lpstr>Depn!Print_Titles</vt:lpstr>
      <vt:lpstr>EMID!Print_Titles</vt:lpstr>
      <vt:lpstr>ENWL!Print_Titles</vt:lpstr>
      <vt:lpstr>EPN!Print_Titles</vt:lpstr>
      <vt:lpstr>'Finance&amp;Tax'!Print_Titles</vt:lpstr>
      <vt:lpstr>FinancialRatios!Print_Titles</vt:lpstr>
      <vt:lpstr>FinancialStatements!Print_Titles</vt:lpstr>
      <vt:lpstr>Input!Print_Titles</vt:lpstr>
      <vt:lpstr>LiveResults!Print_Titles</vt:lpstr>
      <vt:lpstr>LPN!Print_Titles</vt:lpstr>
      <vt:lpstr>MOD!Print_Titles</vt:lpstr>
      <vt:lpstr>NPgN!Print_Titles</vt:lpstr>
      <vt:lpstr>NPgY!Print_Titles</vt:lpstr>
      <vt:lpstr>'Return&amp;RAV'!Print_Titles</vt:lpstr>
      <vt:lpstr>Revenue!Print_Titles</vt:lpstr>
      <vt:lpstr>'Revenue Profiling'!Print_Titles</vt:lpstr>
      <vt:lpstr>RoRE!Print_Titles</vt:lpstr>
      <vt:lpstr>SavedResults!Print_Titles</vt:lpstr>
      <vt:lpstr>SPD!Print_Titles</vt:lpstr>
      <vt:lpstr>SPMW!Print_Titles</vt:lpstr>
      <vt:lpstr>SPN!Print_Titles</vt:lpstr>
      <vt:lpstr>SSEH!Print_Titles</vt:lpstr>
      <vt:lpstr>SSES!Print_Titles</vt:lpstr>
      <vt:lpstr>SWALES!Print_Titles</vt:lpstr>
      <vt:lpstr>SWEST!Print_Titles</vt:lpstr>
      <vt:lpstr>TaxPools!Print_Titles</vt:lpstr>
      <vt:lpstr>TaxTrigger!Print_Titles</vt:lpstr>
      <vt:lpstr>TIM!Print_Titles</vt:lpstr>
      <vt:lpstr>Totex!Print_Titles</vt:lpstr>
      <vt:lpstr>UserInterface!Print_Titles</vt:lpstr>
      <vt:lpstr>WMID!Print_Titles</vt:lpstr>
      <vt:lpstr>TVMcheck</vt:lpstr>
      <vt:lpstr>TVMcopy</vt:lpstr>
      <vt:lpstr>view</vt:lpstr>
    </vt:vector>
  </TitlesOfParts>
  <Company>Ofgem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doylet</dc:creator>
  <cp:lastModifiedBy>Downing, Michael</cp:lastModifiedBy>
  <cp:lastPrinted>2014-04-08T11:26:21Z</cp:lastPrinted>
  <dcterms:created xsi:type="dcterms:W3CDTF">2010-01-06T13:07:24Z</dcterms:created>
  <dcterms:modified xsi:type="dcterms:W3CDTF">2014-04-08T13:08:05Z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0x010100224D7ED41386EF40B8EE6E522BAA778100D5CC22A0DFF50941A80E13946CD8577A</vt:lpwstr>
  </property>
</Properties>
</file>